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updateLinks="never" codeName="DieseArbeitsmappe" hidePivotFieldList="1"/>
  <mc:AlternateContent xmlns:mc="http://schemas.openxmlformats.org/markup-compatibility/2006">
    <mc:Choice Requires="x15">
      <x15ac:absPath xmlns:x15ac="http://schemas.microsoft.com/office/spreadsheetml/2010/11/ac" url="Z:\04. ÖROK-UAs\04.01 STUA\1. UA-Sitzungen\110_2023-10-12\0_Aviso - bzw. Info vor Sitzung\2023-11-29 Aussendung Unterlagen FIA Veroeffentlichung\1 Excel-Tabellen\"/>
    </mc:Choice>
  </mc:AlternateContent>
  <xr:revisionPtr revIDLastSave="0" documentId="13_ncr:1_{A753240C-AA9A-4255-891C-3DD1148A94A2}" xr6:coauthVersionLast="47" xr6:coauthVersionMax="47" xr10:uidLastSave="{00000000-0000-0000-0000-000000000000}"/>
  <bookViews>
    <workbookView xWindow="-120" yWindow="-120" windowWidth="25440" windowHeight="15270" tabRatio="824" firstSheet="2" activeTab="3" xr2:uid="{00000000-000D-0000-FFFF-FFFF00000000}"/>
  </bookViews>
  <sheets>
    <sheet name="Konstanten" sheetId="3" state="hidden" r:id="rId1"/>
    <sheet name="Gebäudeflächen" sheetId="20" state="hidden" r:id="rId2"/>
    <sheet name="readme" sheetId="197" r:id="rId3"/>
    <sheet name="Ö Hauptergebnisse" sheetId="109" r:id="rId4"/>
    <sheet name="Ö Details" sheetId="156" r:id="rId5"/>
    <sheet name="BL-Template" sheetId="196" state="hidden" r:id="rId6"/>
    <sheet name="B" sheetId="195" r:id="rId7"/>
    <sheet name="K" sheetId="194" r:id="rId8"/>
    <sheet name="NÖ" sheetId="193" r:id="rId9"/>
    <sheet name="OÖ" sheetId="192" r:id="rId10"/>
    <sheet name="S" sheetId="190" r:id="rId11"/>
    <sheet name="St" sheetId="191" r:id="rId12"/>
    <sheet name="T" sheetId="189" r:id="rId13"/>
    <sheet name="V" sheetId="188" r:id="rId14"/>
    <sheet name="W" sheetId="187" r:id="rId15"/>
    <sheet name="Methodik und Quellen" sheetId="198" r:id="rId16"/>
    <sheet name="Erläuterungen" sheetId="199" r:id="rId17"/>
  </sheets>
  <externalReferences>
    <externalReference r:id="rId18"/>
    <externalReference r:id="rId19"/>
    <externalReference r:id="rId20"/>
    <externalReference r:id="rId21"/>
  </externalReferences>
  <definedNames>
    <definedName name="_xlnm._FilterDatabase" localSheetId="1" hidden="1">Gebäudeflächen!$A$1:$J$7827</definedName>
    <definedName name="_xlnm._FilterDatabase" localSheetId="0" hidden="1">Konstanten!$U$1:$W$117</definedName>
    <definedName name="Baulandwidmung" localSheetId="16">'[1]Ö gesamt'!$21:$21</definedName>
    <definedName name="Baulandwidmung" localSheetId="7">K!$40:$40</definedName>
    <definedName name="Baulandwidmung" localSheetId="8">NÖ!$40:$40</definedName>
    <definedName name="Baulandwidmung" localSheetId="4">'Ö Details'!$J$10:$S$10</definedName>
    <definedName name="Baulandwidmung" localSheetId="9">OÖ!$40:$40</definedName>
    <definedName name="Baulandwidmung" localSheetId="2">[2]B!$40:$40</definedName>
    <definedName name="Baulandwidmung" localSheetId="10">S!$40:$40</definedName>
    <definedName name="Baulandwidmung" localSheetId="11">St!$40:$40</definedName>
    <definedName name="Baulandwidmung" localSheetId="12">T!$40:$40</definedName>
    <definedName name="Baulandwidmung" localSheetId="13">V!$40:$40</definedName>
    <definedName name="Baulandwidmung" localSheetId="14">W!$40:$40</definedName>
    <definedName name="Baulandwidmung">B!$40:$40</definedName>
    <definedName name="Bezugsgroesse" localSheetId="6">B!$C$55</definedName>
    <definedName name="Bezugsgroesse" localSheetId="5">'BL-Template'!$C$36</definedName>
    <definedName name="Bezugsgroesse" localSheetId="7">K!$C$55</definedName>
    <definedName name="Bezugsgroesse" localSheetId="8">NÖ!$C$55</definedName>
    <definedName name="Bezugsgroesse" localSheetId="3">'Ö Hauptergebnisse'!$C$39</definedName>
    <definedName name="Bezugsgroesse" localSheetId="9">OÖ!$C$55</definedName>
    <definedName name="Bezugsgroesse" localSheetId="2">#REF!</definedName>
    <definedName name="Bezugsgroesse" localSheetId="10">S!$C$55</definedName>
    <definedName name="Bezugsgroesse" localSheetId="11">St!$C$55</definedName>
    <definedName name="Bezugsgroesse" localSheetId="12">T!$C$55</definedName>
    <definedName name="Bezugsgroesse" localSheetId="13">V!$C$55</definedName>
    <definedName name="Bezugsgroesse" localSheetId="14">W!$C$55</definedName>
    <definedName name="Bezugsgroesse">#REF!</definedName>
    <definedName name="Bezugsgroessenwaehler" localSheetId="16">[1]NÖ!$A$52</definedName>
    <definedName name="BL" localSheetId="6">B!$A$1</definedName>
    <definedName name="BL" localSheetId="5">'BL-Template'!$A$1</definedName>
    <definedName name="BL" localSheetId="16">'[1]Ö gesamt'!$7:$7</definedName>
    <definedName name="BL" localSheetId="7">K!$A$1</definedName>
    <definedName name="BL" localSheetId="8">NÖ!$A$1</definedName>
    <definedName name="BL" localSheetId="9">OÖ!$A$1</definedName>
    <definedName name="BL" localSheetId="2">#REF!</definedName>
    <definedName name="BL" localSheetId="10">S!$A$1</definedName>
    <definedName name="BL" localSheetId="11">St!$A$1</definedName>
    <definedName name="BL" localSheetId="12">T!$A$1</definedName>
    <definedName name="BL" localSheetId="13">V!$A$1</definedName>
    <definedName name="BL" localSheetId="14">W!$A$1</definedName>
    <definedName name="BL">#REF!</definedName>
    <definedName name="Darstellung" localSheetId="16">'[1]Ö gesamt'!#REF!</definedName>
    <definedName name="Darstellung">'[3]Ö Details'!#REF!</definedName>
    <definedName name="Darstellung_Vers">'[4]Ö Details'!#REF!</definedName>
    <definedName name="def_FI" localSheetId="16">[1]Konstanten!$B$26</definedName>
    <definedName name="denom_1" localSheetId="6">B!$C$6</definedName>
    <definedName name="denom_1" localSheetId="5">'BL-Template'!$C$6</definedName>
    <definedName name="denom_1" localSheetId="7">K!$C$6</definedName>
    <definedName name="denom_1" localSheetId="8">NÖ!$C$6</definedName>
    <definedName name="denom_1" localSheetId="4">'Ö Details'!$C$8</definedName>
    <definedName name="denom_1" localSheetId="9">OÖ!$C$6</definedName>
    <definedName name="denom_1" localSheetId="2">'[2]Ö Hauptergebnisse'!$C$8</definedName>
    <definedName name="denom_1" localSheetId="10">S!$C$6</definedName>
    <definedName name="denom_1" localSheetId="11">St!$C$6</definedName>
    <definedName name="denom_1" localSheetId="12">T!$C$6</definedName>
    <definedName name="denom_1" localSheetId="13">V!$C$6</definedName>
    <definedName name="denom_1" localSheetId="14">W!$C$6</definedName>
    <definedName name="denom_1">'Ö Hauptergebnisse'!$C$8</definedName>
    <definedName name="displayAbsRel_1" localSheetId="16">'[1]Ö gesamt'!$A$11</definedName>
    <definedName name="displayAbsRel_1">'[3]Ö Details'!$A$10</definedName>
    <definedName name="_xlnm.Print_Area" localSheetId="6">B!$B$1:$W$79</definedName>
    <definedName name="_xlnm.Print_Area" localSheetId="5">'BL-Template'!$B$1:$AL$60</definedName>
    <definedName name="_xlnm.Print_Area" localSheetId="7">K!$B$1:$X$79</definedName>
    <definedName name="_xlnm.Print_Area" localSheetId="8">NÖ!$B$1:$AL$79</definedName>
    <definedName name="_xlnm.Print_Area" localSheetId="4">'Ö Details'!$B$1:$W$35</definedName>
    <definedName name="_xlnm.Print_Area" localSheetId="3">'Ö Hauptergebnisse'!$E$3:$W$37</definedName>
    <definedName name="_xlnm.Print_Area" localSheetId="9">OÖ!$B$1:$AF$79</definedName>
    <definedName name="_xlnm.Print_Area" localSheetId="10">S!$B$1:$T$79</definedName>
    <definedName name="_xlnm.Print_Area" localSheetId="11">St!$B$1:$AA$79</definedName>
    <definedName name="_xlnm.Print_Area" localSheetId="12">T!$B$1:$W$79</definedName>
    <definedName name="_xlnm.Print_Area" localSheetId="13">V!$B$1:$R$79</definedName>
    <definedName name="_xlnm.Print_Area" localSheetId="14">W!$B$1:$AK$79</definedName>
    <definedName name="DSR" localSheetId="6">B!$J$60:$S$60</definedName>
    <definedName name="DSR" localSheetId="5">'BL-Template'!$J$41:$AG$41</definedName>
    <definedName name="DSR" localSheetId="16">'[1]Ö gesamt'!$48:$48</definedName>
    <definedName name="DSR" localSheetId="7">K!$J$60:$T$60</definedName>
    <definedName name="DSR" localSheetId="8">NÖ!$J$60:$AH$60</definedName>
    <definedName name="DSR" localSheetId="4">'Ö Details'!$34:$34</definedName>
    <definedName name="DSR" localSheetId="3">'Ö Hauptergebnisse'!$44:$44</definedName>
    <definedName name="DSR" localSheetId="9">OÖ!$J$60:$AB$60</definedName>
    <definedName name="DSR" localSheetId="10">S!$J$60:$P$60</definedName>
    <definedName name="DSR" localSheetId="11">St!$J$60:$W$60</definedName>
    <definedName name="DSR" localSheetId="12">T!$J$60:$S$60</definedName>
    <definedName name="DSR" localSheetId="13">V!$J$60:$N$60</definedName>
    <definedName name="DSR" localSheetId="14">W!$J$60:$AG$60</definedName>
    <definedName name="DSR">'[3]Ö Details'!$K$40:$T$40</definedName>
    <definedName name="Einheit" localSheetId="6">B!$C$3</definedName>
    <definedName name="Einheit" localSheetId="5">'BL-Template'!$C$3</definedName>
    <definedName name="Einheit" localSheetId="16">'[1]Ö gesamt'!$A$5</definedName>
    <definedName name="Einheit" localSheetId="7">K!$C$3</definedName>
    <definedName name="Einheit" localSheetId="8">NÖ!$C$3</definedName>
    <definedName name="Einheit" localSheetId="4">'Ö Details'!$C$5</definedName>
    <definedName name="Einheit" localSheetId="3">'Ö Hauptergebnisse'!$C$5</definedName>
    <definedName name="Einheit" localSheetId="9">OÖ!$C$3</definedName>
    <definedName name="Einheit" localSheetId="10">S!$C$3</definedName>
    <definedName name="Einheit" localSheetId="11">St!$C$3</definedName>
    <definedName name="Einheit" localSheetId="12">T!$C$3</definedName>
    <definedName name="Einheit" localSheetId="13">V!$C$3</definedName>
    <definedName name="Einheit" localSheetId="14">W!$C$3</definedName>
    <definedName name="Einheit">'[3]Ö Details'!$A$4</definedName>
    <definedName name="Einheit_numerisch" localSheetId="16">'[1]Ö gesamt'!$A$4</definedName>
    <definedName name="Einheit_numerisch">'[3]Ö Details'!$A$3</definedName>
    <definedName name="EW" localSheetId="6">B!$J$59:$S$59</definedName>
    <definedName name="EW" localSheetId="5">'BL-Template'!$J$40:$AG$40</definedName>
    <definedName name="EW" localSheetId="16">'[1]Ö gesamt'!$47:$47</definedName>
    <definedName name="EW" localSheetId="7">K!$J$59:$T$59</definedName>
    <definedName name="EW" localSheetId="8">NÖ!$J$59:$AH$59</definedName>
    <definedName name="EW" localSheetId="4">'Ö Details'!$33:$33</definedName>
    <definedName name="EW" localSheetId="3">'Ö Hauptergebnisse'!$43:$43</definedName>
    <definedName name="EW" localSheetId="9">OÖ!$J$59:$AB$59</definedName>
    <definedName name="EW" localSheetId="10">S!$J$59:$P$59</definedName>
    <definedName name="EW" localSheetId="11">St!$J$59:$W$59</definedName>
    <definedName name="EW" localSheetId="12">T!$J$59:$S$59</definedName>
    <definedName name="EW" localSheetId="13">V!$J$59:$N$59</definedName>
    <definedName name="EW" localSheetId="14">W!$J$59:$AG$59</definedName>
    <definedName name="EW">'[3]Ö Details'!$39:$39</definedName>
    <definedName name="Fak_1" localSheetId="6">B!$I$7:$S$7</definedName>
    <definedName name="Fak_1" localSheetId="5">'BL-Template'!$I$7:$AH$7</definedName>
    <definedName name="Fak_1" localSheetId="7">K!$I$7:$T$7</definedName>
    <definedName name="Fak_1" localSheetId="8">NÖ!$I$7:$AH$7</definedName>
    <definedName name="Fak_1" localSheetId="4">'Ö Details'!$I$9:$S$9</definedName>
    <definedName name="Fak_1" localSheetId="9">OÖ!$I$7:$AB$7</definedName>
    <definedName name="Fak_1" localSheetId="2">'[2]Ö Hauptergebnisse'!$I$9:$S$9</definedName>
    <definedName name="Fak_1" localSheetId="10">S!$I$7:$P$7</definedName>
    <definedName name="Fak_1" localSheetId="11">St!$I$7:$W$7</definedName>
    <definedName name="Fak_1" localSheetId="12">T!$I$7:$S$7</definedName>
    <definedName name="Fak_1" localSheetId="13">V!$I$7:$N$7</definedName>
    <definedName name="Fak_1" localSheetId="14">W!$I$7:$AG$7</definedName>
    <definedName name="Fak_1">'Ö Hauptergebnisse'!$I$9:$S$9</definedName>
    <definedName name="Fak_2" localSheetId="6">B!$J$23:$S$23</definedName>
    <definedName name="Fak_2" localSheetId="5">'BL-Template'!$J$23:$AH$23</definedName>
    <definedName name="Fak_2" localSheetId="7">K!$J$23:$T$23</definedName>
    <definedName name="Fak_2" localSheetId="8">NÖ!$J$23:$AH$23</definedName>
    <definedName name="Fak_2" localSheetId="9">OÖ!$J$23:$AB$23</definedName>
    <definedName name="Fak_2" localSheetId="2">'[2]Ö Hauptergebnisse'!$J$26:$S$26</definedName>
    <definedName name="Fak_2" localSheetId="10">S!$J$23:$P$23</definedName>
    <definedName name="Fak_2" localSheetId="11">St!$J$23:$W$23</definedName>
    <definedName name="Fak_2" localSheetId="12">T!$J$23:$S$23</definedName>
    <definedName name="Fak_2" localSheetId="13">V!$J$23:$N$23</definedName>
    <definedName name="Fak_2" localSheetId="14">W!$J$23:$AG$23</definedName>
    <definedName name="Fak_2">'Ö Hauptergebnisse'!$J$26:$S$26</definedName>
    <definedName name="Fak_3" localSheetId="6">B!$J$57:$S$57</definedName>
    <definedName name="Fak_3" localSheetId="5">'BL-Template'!$J$38:$AH$38</definedName>
    <definedName name="Fak_3" localSheetId="7">K!$J$57:$T$57</definedName>
    <definedName name="Fak_3" localSheetId="8">NÖ!$J$57:$AH$57</definedName>
    <definedName name="Fak_3" localSheetId="4">'Ö Details'!$J$31:$S$31</definedName>
    <definedName name="Fak_3" localSheetId="9">OÖ!$J$57:$AB$57</definedName>
    <definedName name="Fak_3" localSheetId="2">'[2]Ö Hauptergebnisse'!$J$41:$S$41</definedName>
    <definedName name="Fak_3" localSheetId="10">S!$J$57:$P$57</definedName>
    <definedName name="Fak_3" localSheetId="11">St!$J$57:$W$57</definedName>
    <definedName name="Fak_3" localSheetId="12">T!$J$57:$S$57</definedName>
    <definedName name="Fak_3" localSheetId="13">V!$J$57:$N$57</definedName>
    <definedName name="Fak_3" localSheetId="14">W!$J$57:$AG$57</definedName>
    <definedName name="Fak_3">'Ö Hauptergebnisse'!$J$41:$S$41</definedName>
    <definedName name="Fak_Einheit" localSheetId="6">B!$A$5</definedName>
    <definedName name="Fak_Einheit" localSheetId="5">'BL-Template'!$A$5</definedName>
    <definedName name="Fak_Einheit" localSheetId="7">K!$A$5</definedName>
    <definedName name="Fak_Einheit" localSheetId="8">NÖ!$A$5</definedName>
    <definedName name="Fak_Einheit" localSheetId="4">'Ö Details'!$A$7</definedName>
    <definedName name="Fak_Einheit" localSheetId="9">OÖ!$A$5</definedName>
    <definedName name="Fak_Einheit" localSheetId="2">'[2]Ö Hauptergebnisse'!$A$7</definedName>
    <definedName name="Fak_Einheit" localSheetId="10">S!$A$5</definedName>
    <definedName name="Fak_Einheit" localSheetId="11">St!$A$5</definedName>
    <definedName name="Fak_Einheit" localSheetId="12">T!$A$5</definedName>
    <definedName name="Fak_Einheit" localSheetId="13">V!$A$5</definedName>
    <definedName name="Fak_Einheit" localSheetId="14">W!$A$5</definedName>
    <definedName name="Fak_Einheit">'Ö Hauptergebnisse'!$A$7</definedName>
    <definedName name="Faktor">Konstanten!$M$2</definedName>
    <definedName name="FI_21x_beansprucht" localSheetId="6">B!$72:$72</definedName>
    <definedName name="FI_21x_beansprucht" localSheetId="5">'BL-Template'!$53:$53</definedName>
    <definedName name="FI_21x_beansprucht" localSheetId="7">K!$72:$72</definedName>
    <definedName name="FI_21x_beansprucht" localSheetId="8">NÖ!$72:$72</definedName>
    <definedName name="FI_21x_beansprucht" localSheetId="4">'Ö Details'!#REF!</definedName>
    <definedName name="FI_21x_beansprucht" localSheetId="3">'Ö Hauptergebnisse'!$56:$56</definedName>
    <definedName name="FI_21x_beansprucht" localSheetId="9">OÖ!$72:$72</definedName>
    <definedName name="FI_21x_beansprucht" localSheetId="10">S!$72:$72</definedName>
    <definedName name="FI_21x_beansprucht" localSheetId="11">St!$72:$72</definedName>
    <definedName name="FI_21x_beansprucht" localSheetId="12">T!$72:$72</definedName>
    <definedName name="FI_21x_beansprucht" localSheetId="13">V!$72:$72</definedName>
    <definedName name="FI_21x_beansprucht" localSheetId="14">W!$72:$72</definedName>
    <definedName name="FI_21x_beansprucht">'[3]Ö Details'!#REF!</definedName>
    <definedName name="FI_21x_unbeansprucht">'[3]Ö Details'!#REF!</definedName>
    <definedName name="FI_codes">Konstanten!$A$2:$D$15</definedName>
    <definedName name="FI_gesamt" localSheetId="6">B!$J$8:$S$8</definedName>
    <definedName name="FI_gesamt" localSheetId="5">'BL-Template'!$J$8:$AG$8</definedName>
    <definedName name="FI_gesamt" localSheetId="16">'[1]Ö gesamt'!$8:$8</definedName>
    <definedName name="FI_gesamt" localSheetId="7">K!$J$8:$T$8</definedName>
    <definedName name="FI_gesamt" localSheetId="8">NÖ!$J$8:$AH$8</definedName>
    <definedName name="FI_gesamt" localSheetId="4">'Ö Details'!$J$11:$S$11</definedName>
    <definedName name="FI_gesamt" localSheetId="3">'Ö Hauptergebnisse'!$J$10:$S$10</definedName>
    <definedName name="FI_gesamt" localSheetId="9">OÖ!$J$8:$AB$8</definedName>
    <definedName name="FI_gesamt" localSheetId="10">S!$J$8:$P$8</definedName>
    <definedName name="FI_gesamt" localSheetId="11">St!$J$8:$W$8</definedName>
    <definedName name="FI_gesamt" localSheetId="12">T!$J$8:$S$8</definedName>
    <definedName name="FI_gesamt" localSheetId="13">V!$J$8:$N$8</definedName>
    <definedName name="FI_gesamt" localSheetId="14">W!$J$8:$AG$8</definedName>
    <definedName name="FI_gesamt">'[3]Ö Details'!$7:$7</definedName>
    <definedName name="INVEKOS_auf_Bauland">'[3]Ö Details'!#REF!</definedName>
    <definedName name="lookup_BL" localSheetId="16">[1]Konstanten!$G$1:$H$9</definedName>
    <definedName name="lookup_BL">[3]Konstanten!$G$1:$H$9</definedName>
    <definedName name="PB" localSheetId="16">[1]NÖ!$8:$8</definedName>
    <definedName name="PB">#REF!</definedName>
    <definedName name="PB_NAME" localSheetId="16">[1]NÖ!$9:$9</definedName>
    <definedName name="PB_NAME">#REF!</definedName>
    <definedName name="Versatz" localSheetId="6">B!$A$55</definedName>
    <definedName name="Versatz" localSheetId="5">'BL-Template'!$A$36</definedName>
    <definedName name="Versatz" localSheetId="7">K!$A$55</definedName>
    <definedName name="Versatz" localSheetId="8">NÖ!$A$55</definedName>
    <definedName name="Versatz" localSheetId="9">OÖ!$A$55</definedName>
    <definedName name="Versatz" localSheetId="2">'[2]Ö Hauptergebnisse'!$A$39</definedName>
    <definedName name="Versatz" localSheetId="10">S!$A$55</definedName>
    <definedName name="Versatz" localSheetId="11">St!$A$55</definedName>
    <definedName name="Versatz" localSheetId="12">T!$A$55</definedName>
    <definedName name="Versatz" localSheetId="13">V!$A$55</definedName>
    <definedName name="Versatz" localSheetId="14">W!$A$55</definedName>
    <definedName name="Versatz">'Ö Hauptergebnisse'!$A$39</definedName>
    <definedName name="VS_gesamt" localSheetId="6">B!$J$22:$S$22</definedName>
    <definedName name="VS_gesamt" localSheetId="5">'BL-Template'!$J$22:$AG$22</definedName>
    <definedName name="VS_gesamt" localSheetId="7">K!$J$22:$T$22</definedName>
    <definedName name="VS_gesamt" localSheetId="8">NÖ!$J$22:$AH$22</definedName>
    <definedName name="VS_gesamt" localSheetId="9">OÖ!$J$22:$AB$22</definedName>
    <definedName name="VS_gesamt" localSheetId="2">'[2]Ö Hauptergebnisse'!$J$25:$S$25</definedName>
    <definedName name="VS_gesamt" localSheetId="10">S!$J$22:$P$22</definedName>
    <definedName name="VS_gesamt" localSheetId="11">St!$J$22:$W$22</definedName>
    <definedName name="VS_gesamt" localSheetId="12">T!$J$22:$S$22</definedName>
    <definedName name="VS_gesamt" localSheetId="13">V!$J$22:$N$22</definedName>
    <definedName name="VS_gesamt" localSheetId="14">W!$J$22:$AG$22</definedName>
    <definedName name="VS_gesamt">'Ö Hauptergebnisse'!$J$25:$S$25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92" l="1"/>
  <c r="E1" i="190"/>
  <c r="E1" i="191"/>
  <c r="E1" i="189"/>
  <c r="E1" i="188"/>
  <c r="E1" i="187"/>
  <c r="E1" i="193"/>
  <c r="E1" i="194"/>
  <c r="E1" i="195"/>
  <c r="AG18" i="187" l="1"/>
  <c r="AG32" i="187"/>
  <c r="N18" i="188"/>
  <c r="N32" i="188"/>
  <c r="S18" i="189"/>
  <c r="S32" i="189"/>
  <c r="W18" i="191"/>
  <c r="W32" i="191"/>
  <c r="AB18" i="192"/>
  <c r="AB32" i="192"/>
  <c r="AH18" i="193"/>
  <c r="AH32" i="193"/>
  <c r="S32" i="195"/>
  <c r="T32" i="194"/>
  <c r="T18" i="194"/>
  <c r="S18" i="195" l="1"/>
  <c r="S9" i="195" l="1"/>
  <c r="AB38" i="192" l="1"/>
  <c r="AB24" i="192"/>
  <c r="AB9" i="192"/>
  <c r="AG38" i="187"/>
  <c r="AG9" i="187"/>
  <c r="AG24" i="187"/>
  <c r="N38" i="188"/>
  <c r="N24" i="188"/>
  <c r="N9" i="188"/>
  <c r="S38" i="189"/>
  <c r="S24" i="189"/>
  <c r="S9" i="189"/>
  <c r="W38" i="191"/>
  <c r="W24" i="191"/>
  <c r="W9" i="191"/>
  <c r="P24" i="190"/>
  <c r="P38" i="190"/>
  <c r="P9" i="190"/>
  <c r="AH38" i="193"/>
  <c r="AH9" i="193"/>
  <c r="AH24" i="193"/>
  <c r="T9" i="194"/>
  <c r="T38" i="194"/>
  <c r="T24" i="194"/>
  <c r="S24" i="195"/>
  <c r="S38" i="195"/>
  <c r="I52" i="195" l="1"/>
  <c r="I52" i="194"/>
  <c r="I52" i="192"/>
  <c r="I52" i="190"/>
  <c r="I52" i="191"/>
  <c r="I52" i="189"/>
  <c r="I52" i="188"/>
  <c r="I52" i="187"/>
  <c r="I52" i="193"/>
  <c r="I48" i="195"/>
  <c r="I48" i="194"/>
  <c r="I48" i="192"/>
  <c r="I48" i="190"/>
  <c r="I48" i="191"/>
  <c r="I48" i="189"/>
  <c r="I48" i="188"/>
  <c r="I48" i="187"/>
  <c r="I48" i="193"/>
  <c r="I44" i="195"/>
  <c r="I44" i="194"/>
  <c r="I44" i="192"/>
  <c r="I44" i="190"/>
  <c r="I44" i="191"/>
  <c r="I44" i="189"/>
  <c r="I44" i="188"/>
  <c r="I44" i="187"/>
  <c r="I44" i="193"/>
  <c r="J39" i="195"/>
  <c r="J39" i="194"/>
  <c r="J39" i="192"/>
  <c r="J39" i="190"/>
  <c r="J39" i="191"/>
  <c r="J39" i="189"/>
  <c r="J39" i="188"/>
  <c r="J39" i="187"/>
  <c r="J39" i="193"/>
  <c r="H69" i="196" l="1"/>
  <c r="H68" i="196"/>
  <c r="H67" i="196"/>
  <c r="H66" i="196"/>
  <c r="H64" i="196"/>
  <c r="H63" i="196"/>
  <c r="H62" i="196"/>
  <c r="H61" i="196"/>
  <c r="BT57" i="196"/>
  <c r="AJ57" i="196"/>
  <c r="BT56" i="196"/>
  <c r="AJ56" i="196"/>
  <c r="BT55" i="196"/>
  <c r="AJ55" i="196"/>
  <c r="BT54" i="196"/>
  <c r="AJ54" i="196"/>
  <c r="BT53" i="196"/>
  <c r="AJ53" i="196"/>
  <c r="BT52" i="196"/>
  <c r="AJ52" i="196"/>
  <c r="H52" i="196"/>
  <c r="BT51" i="196"/>
  <c r="AJ51" i="196"/>
  <c r="H51" i="196"/>
  <c r="BT50" i="196"/>
  <c r="AJ50" i="196"/>
  <c r="H50" i="196"/>
  <c r="BT49" i="196"/>
  <c r="AJ49" i="196"/>
  <c r="H49" i="196"/>
  <c r="BT48" i="196"/>
  <c r="AJ48" i="196"/>
  <c r="BT47" i="196"/>
  <c r="AJ47" i="196"/>
  <c r="H47" i="196"/>
  <c r="BT46" i="196"/>
  <c r="AJ46" i="196"/>
  <c r="H46" i="196"/>
  <c r="BT45" i="196"/>
  <c r="AJ45" i="196"/>
  <c r="H45" i="196"/>
  <c r="BT44" i="196"/>
  <c r="AJ44" i="196"/>
  <c r="H44" i="196"/>
  <c r="AI41" i="196"/>
  <c r="AH40" i="196"/>
  <c r="A36" i="196"/>
  <c r="I59" i="196" s="1"/>
  <c r="AH32" i="196"/>
  <c r="AG32" i="196"/>
  <c r="AF32" i="196"/>
  <c r="AE32" i="196"/>
  <c r="AD32" i="196"/>
  <c r="AC32" i="196"/>
  <c r="AB32" i="196"/>
  <c r="AA32" i="196"/>
  <c r="Z32" i="196"/>
  <c r="Y32" i="196"/>
  <c r="X32" i="196"/>
  <c r="W32" i="196"/>
  <c r="V32" i="196"/>
  <c r="U32" i="196"/>
  <c r="T32" i="196"/>
  <c r="S32" i="196"/>
  <c r="R32" i="196"/>
  <c r="Q32" i="196"/>
  <c r="P32" i="196"/>
  <c r="O32" i="196"/>
  <c r="N32" i="196"/>
  <c r="M32" i="196"/>
  <c r="L32" i="196"/>
  <c r="K32" i="196"/>
  <c r="J32" i="196"/>
  <c r="AI30" i="196"/>
  <c r="AI29" i="196"/>
  <c r="AI28" i="196"/>
  <c r="AI27" i="196"/>
  <c r="AI26" i="196"/>
  <c r="AI25" i="196"/>
  <c r="AH24" i="196"/>
  <c r="AH60" i="196" s="1"/>
  <c r="AG24" i="196"/>
  <c r="AG60" i="196" s="1"/>
  <c r="AF24" i="196"/>
  <c r="AE24" i="196"/>
  <c r="AE60" i="196" s="1"/>
  <c r="AD24" i="196"/>
  <c r="AD60" i="196" s="1"/>
  <c r="AC24" i="196"/>
  <c r="AC60" i="196" s="1"/>
  <c r="AB24" i="196"/>
  <c r="AA24" i="196"/>
  <c r="AA60" i="196" s="1"/>
  <c r="Z24" i="196"/>
  <c r="Z60" i="196" s="1"/>
  <c r="Y24" i="196"/>
  <c r="Y60" i="196" s="1"/>
  <c r="X24" i="196"/>
  <c r="W24" i="196"/>
  <c r="W60" i="196" s="1"/>
  <c r="V24" i="196"/>
  <c r="V60" i="196" s="1"/>
  <c r="U24" i="196"/>
  <c r="U60" i="196" s="1"/>
  <c r="T24" i="196"/>
  <c r="S24" i="196"/>
  <c r="S60" i="196" s="1"/>
  <c r="R24" i="196"/>
  <c r="R60" i="196" s="1"/>
  <c r="Q24" i="196"/>
  <c r="Q60" i="196" s="1"/>
  <c r="P24" i="196"/>
  <c r="O24" i="196"/>
  <c r="O60" i="196" s="1"/>
  <c r="N24" i="196"/>
  <c r="N60" i="196" s="1"/>
  <c r="M24" i="196"/>
  <c r="M60" i="196" s="1"/>
  <c r="L24" i="196"/>
  <c r="K24" i="196"/>
  <c r="K60" i="196" s="1"/>
  <c r="J24" i="196"/>
  <c r="J60" i="196" s="1"/>
  <c r="AH18" i="196"/>
  <c r="AG18" i="196"/>
  <c r="AF18" i="196"/>
  <c r="AE18" i="196"/>
  <c r="AD18" i="196"/>
  <c r="AC18" i="196"/>
  <c r="AB18" i="196"/>
  <c r="AA18" i="196"/>
  <c r="Z18" i="196"/>
  <c r="Y18" i="196"/>
  <c r="X18" i="196"/>
  <c r="W18" i="196"/>
  <c r="V18" i="196"/>
  <c r="U18" i="196"/>
  <c r="T18" i="196"/>
  <c r="S18" i="196"/>
  <c r="R18" i="196"/>
  <c r="Q18" i="196"/>
  <c r="P18" i="196"/>
  <c r="O18" i="196"/>
  <c r="N18" i="196"/>
  <c r="M18" i="196"/>
  <c r="L18" i="196"/>
  <c r="K18" i="196"/>
  <c r="J18" i="196"/>
  <c r="AI15" i="196"/>
  <c r="AI14" i="196"/>
  <c r="AI13" i="196"/>
  <c r="AI12" i="196"/>
  <c r="AI11" i="196"/>
  <c r="AI10" i="196"/>
  <c r="A5" i="196"/>
  <c r="AD41" i="196" s="1"/>
  <c r="AD20" i="196" s="1"/>
  <c r="E1" i="196"/>
  <c r="M43" i="196" l="1"/>
  <c r="Q43" i="196"/>
  <c r="U43" i="196"/>
  <c r="Y43" i="196"/>
  <c r="AC43" i="196"/>
  <c r="AG43" i="196"/>
  <c r="R7" i="196"/>
  <c r="R12" i="196" s="1"/>
  <c r="Y23" i="196"/>
  <c r="Y27" i="196" s="1"/>
  <c r="AA7" i="196"/>
  <c r="AA15" i="196" s="1"/>
  <c r="AB7" i="196"/>
  <c r="AC23" i="196"/>
  <c r="AC30" i="196" s="1"/>
  <c r="P7" i="196"/>
  <c r="P10" i="196" s="1"/>
  <c r="Y38" i="196"/>
  <c r="Y50" i="196" s="1"/>
  <c r="AG23" i="196"/>
  <c r="AG25" i="196" s="1"/>
  <c r="AC38" i="196"/>
  <c r="AC54" i="196" s="1"/>
  <c r="AE41" i="196"/>
  <c r="AE20" i="196" s="1"/>
  <c r="J7" i="196"/>
  <c r="J15" i="196" s="1"/>
  <c r="T7" i="196"/>
  <c r="T11" i="196" s="1"/>
  <c r="AE7" i="196"/>
  <c r="AG38" i="196"/>
  <c r="AG70" i="196" s="1"/>
  <c r="L7" i="196"/>
  <c r="L13" i="196" s="1"/>
  <c r="W7" i="196"/>
  <c r="W10" i="196" s="1"/>
  <c r="AH7" i="196"/>
  <c r="M23" i="196"/>
  <c r="M25" i="196" s="1"/>
  <c r="I36" i="196"/>
  <c r="K41" i="196"/>
  <c r="K20" i="196" s="1"/>
  <c r="AD7" i="196"/>
  <c r="AD15" i="196" s="1"/>
  <c r="K7" i="196"/>
  <c r="K14" i="196" s="1"/>
  <c r="V7" i="196"/>
  <c r="V12" i="196" s="1"/>
  <c r="AF7" i="196"/>
  <c r="AF12" i="196" s="1"/>
  <c r="N7" i="196"/>
  <c r="N13" i="196" s="1"/>
  <c r="AA14" i="196"/>
  <c r="AA41" i="196"/>
  <c r="AA20" i="196" s="1"/>
  <c r="S7" i="196"/>
  <c r="S13" i="196" s="1"/>
  <c r="X7" i="196"/>
  <c r="X12" i="196" s="1"/>
  <c r="Q23" i="196"/>
  <c r="Q30" i="196" s="1"/>
  <c r="M38" i="196"/>
  <c r="M48" i="196" s="1"/>
  <c r="O41" i="196"/>
  <c r="O33" i="196" s="1"/>
  <c r="O7" i="196"/>
  <c r="O13" i="196" s="1"/>
  <c r="Z7" i="196"/>
  <c r="Z13" i="196" s="1"/>
  <c r="U23" i="196"/>
  <c r="U27" i="196" s="1"/>
  <c r="Q38" i="196"/>
  <c r="Q68" i="196" s="1"/>
  <c r="S41" i="196"/>
  <c r="U38" i="196"/>
  <c r="U48" i="196" s="1"/>
  <c r="W41" i="196"/>
  <c r="AF13" i="196"/>
  <c r="AF11" i="196"/>
  <c r="AF14" i="196"/>
  <c r="M28" i="196"/>
  <c r="M29" i="196"/>
  <c r="M26" i="196"/>
  <c r="L60" i="196"/>
  <c r="L43" i="196"/>
  <c r="T43" i="196"/>
  <c r="T60" i="196"/>
  <c r="AB60" i="196"/>
  <c r="AB43" i="196"/>
  <c r="L10" i="196"/>
  <c r="R14" i="196"/>
  <c r="W15" i="196"/>
  <c r="W13" i="196"/>
  <c r="W11" i="196"/>
  <c r="AB15" i="196"/>
  <c r="AB13" i="196"/>
  <c r="AB11" i="196"/>
  <c r="AB14" i="196"/>
  <c r="AB12" i="196"/>
  <c r="AB10" i="196"/>
  <c r="O12" i="196"/>
  <c r="Q28" i="196"/>
  <c r="Q29" i="196"/>
  <c r="Q25" i="196"/>
  <c r="AG28" i="196"/>
  <c r="AG29" i="196"/>
  <c r="M69" i="196"/>
  <c r="M47" i="196"/>
  <c r="M56" i="196"/>
  <c r="AC71" i="196"/>
  <c r="AC68" i="196"/>
  <c r="AC66" i="196"/>
  <c r="AC70" i="196"/>
  <c r="AC63" i="196"/>
  <c r="AC61" i="196"/>
  <c r="AC55" i="196"/>
  <c r="AC73" i="196"/>
  <c r="AC72" i="196"/>
  <c r="AC67" i="196"/>
  <c r="AC64" i="196"/>
  <c r="AC62" i="196"/>
  <c r="AC53" i="196"/>
  <c r="AC49" i="196"/>
  <c r="AC46" i="196"/>
  <c r="AC44" i="196"/>
  <c r="AC45" i="196"/>
  <c r="AC69" i="196"/>
  <c r="AC65" i="196"/>
  <c r="U46" i="196"/>
  <c r="P15" i="196"/>
  <c r="P14" i="196"/>
  <c r="P12" i="196"/>
  <c r="AC28" i="196"/>
  <c r="AC29" i="196"/>
  <c r="AC25" i="196"/>
  <c r="P60" i="196"/>
  <c r="P43" i="196"/>
  <c r="X60" i="196"/>
  <c r="X43" i="196"/>
  <c r="AF60" i="196"/>
  <c r="AF43" i="196"/>
  <c r="Y70" i="196"/>
  <c r="Y67" i="196"/>
  <c r="Y64" i="196"/>
  <c r="Y62" i="196"/>
  <c r="Y52" i="196"/>
  <c r="Y46" i="196"/>
  <c r="Y54" i="196"/>
  <c r="Y44" i="196"/>
  <c r="N14" i="196"/>
  <c r="N12" i="196"/>
  <c r="N10" i="196"/>
  <c r="N15" i="196"/>
  <c r="N11" i="196"/>
  <c r="X14" i="196"/>
  <c r="AD12" i="196"/>
  <c r="AD10" i="196"/>
  <c r="S14" i="196"/>
  <c r="U28" i="196"/>
  <c r="M27" i="196"/>
  <c r="AC27" i="196"/>
  <c r="Q52" i="196"/>
  <c r="AC48" i="196"/>
  <c r="V14" i="196"/>
  <c r="V13" i="196"/>
  <c r="J10" i="196"/>
  <c r="O15" i="196"/>
  <c r="T15" i="196"/>
  <c r="T13" i="196"/>
  <c r="Z12" i="196"/>
  <c r="W12" i="196"/>
  <c r="W14" i="196"/>
  <c r="Y29" i="196"/>
  <c r="Y25" i="196"/>
  <c r="AG27" i="196"/>
  <c r="U71" i="196"/>
  <c r="U68" i="196"/>
  <c r="U66" i="196"/>
  <c r="U70" i="196"/>
  <c r="U63" i="196"/>
  <c r="U64" i="196"/>
  <c r="U62" i="196"/>
  <c r="U61" i="196"/>
  <c r="U55" i="196"/>
  <c r="U73" i="196"/>
  <c r="U65" i="196"/>
  <c r="U72" i="196"/>
  <c r="U67" i="196"/>
  <c r="U69" i="196"/>
  <c r="U47" i="196"/>
  <c r="U56" i="196"/>
  <c r="U54" i="196"/>
  <c r="U52" i="196"/>
  <c r="U51" i="196"/>
  <c r="U49" i="196"/>
  <c r="U45" i="196"/>
  <c r="U50" i="196"/>
  <c r="U44" i="196"/>
  <c r="U53" i="196"/>
  <c r="M7" i="196"/>
  <c r="Q7" i="196"/>
  <c r="U7" i="196"/>
  <c r="Y7" i="196"/>
  <c r="AC7" i="196"/>
  <c r="AG7" i="196"/>
  <c r="O20" i="196"/>
  <c r="S20" i="196"/>
  <c r="W20" i="196"/>
  <c r="J23" i="196"/>
  <c r="N23" i="196"/>
  <c r="R23" i="196"/>
  <c r="V23" i="196"/>
  <c r="Z23" i="196"/>
  <c r="AD23" i="196"/>
  <c r="AH23" i="196"/>
  <c r="J38" i="196"/>
  <c r="N38" i="196"/>
  <c r="R38" i="196"/>
  <c r="V38" i="196"/>
  <c r="Z38" i="196"/>
  <c r="AD38" i="196"/>
  <c r="AH38" i="196"/>
  <c r="L41" i="196"/>
  <c r="L33" i="196" s="1"/>
  <c r="P41" i="196"/>
  <c r="P33" i="196" s="1"/>
  <c r="T41" i="196"/>
  <c r="T33" i="196" s="1"/>
  <c r="X41" i="196"/>
  <c r="X33" i="196" s="1"/>
  <c r="AB41" i="196"/>
  <c r="AB33" i="196" s="1"/>
  <c r="AF41" i="196"/>
  <c r="AF33" i="196" s="1"/>
  <c r="J43" i="196"/>
  <c r="N43" i="196"/>
  <c r="R43" i="196"/>
  <c r="V43" i="196"/>
  <c r="Z43" i="196"/>
  <c r="AD43" i="196"/>
  <c r="AH43" i="196"/>
  <c r="AA11" i="196"/>
  <c r="AE13" i="196"/>
  <c r="X20" i="196"/>
  <c r="K23" i="196"/>
  <c r="O23" i="196"/>
  <c r="S23" i="196"/>
  <c r="W23" i="196"/>
  <c r="AA23" i="196"/>
  <c r="AE23" i="196"/>
  <c r="AD33" i="196"/>
  <c r="K38" i="196"/>
  <c r="O38" i="196"/>
  <c r="S38" i="196"/>
  <c r="W38" i="196"/>
  <c r="AA38" i="196"/>
  <c r="AE38" i="196"/>
  <c r="M41" i="196"/>
  <c r="M33" i="196" s="1"/>
  <c r="Q41" i="196"/>
  <c r="Q33" i="196" s="1"/>
  <c r="U41" i="196"/>
  <c r="U33" i="196" s="1"/>
  <c r="Y41" i="196"/>
  <c r="Y20" i="196" s="1"/>
  <c r="AC41" i="196"/>
  <c r="AC33" i="196" s="1"/>
  <c r="AG41" i="196"/>
  <c r="AG33" i="196" s="1"/>
  <c r="K43" i="196"/>
  <c r="O43" i="196"/>
  <c r="S43" i="196"/>
  <c r="W43" i="196"/>
  <c r="AA43" i="196"/>
  <c r="AE43" i="196"/>
  <c r="L23" i="196"/>
  <c r="P23" i="196"/>
  <c r="T23" i="196"/>
  <c r="X23" i="196"/>
  <c r="AB23" i="196"/>
  <c r="AF23" i="196"/>
  <c r="S33" i="196"/>
  <c r="W33" i="196"/>
  <c r="AA33" i="196"/>
  <c r="L38" i="196"/>
  <c r="P38" i="196"/>
  <c r="T38" i="196"/>
  <c r="X38" i="196"/>
  <c r="AB38" i="196"/>
  <c r="AF38" i="196"/>
  <c r="J41" i="196"/>
  <c r="J33" i="196" s="1"/>
  <c r="N41" i="196"/>
  <c r="N20" i="196" s="1"/>
  <c r="R41" i="196"/>
  <c r="R20" i="196" s="1"/>
  <c r="V41" i="196"/>
  <c r="V20" i="196" s="1"/>
  <c r="Z41" i="196"/>
  <c r="Z20" i="196" s="1"/>
  <c r="T62" i="194"/>
  <c r="M65" i="196" l="1"/>
  <c r="M62" i="196"/>
  <c r="M64" i="196"/>
  <c r="M67" i="196"/>
  <c r="Y33" i="196"/>
  <c r="M73" i="196"/>
  <c r="AE33" i="196"/>
  <c r="M55" i="196"/>
  <c r="M54" i="196"/>
  <c r="M61" i="196"/>
  <c r="Q27" i="196"/>
  <c r="M44" i="196"/>
  <c r="M63" i="196"/>
  <c r="AC50" i="196"/>
  <c r="M46" i="196"/>
  <c r="M70" i="196"/>
  <c r="AF15" i="196"/>
  <c r="M45" i="196"/>
  <c r="M66" i="196"/>
  <c r="AC51" i="196"/>
  <c r="M50" i="196"/>
  <c r="M68" i="196"/>
  <c r="R11" i="196"/>
  <c r="AC52" i="196"/>
  <c r="M49" i="196"/>
  <c r="M71" i="196"/>
  <c r="R13" i="196"/>
  <c r="M72" i="196"/>
  <c r="S11" i="196"/>
  <c r="AC56" i="196"/>
  <c r="M53" i="196"/>
  <c r="M57" i="196" s="1"/>
  <c r="AG26" i="196"/>
  <c r="R15" i="196"/>
  <c r="AG66" i="196"/>
  <c r="Z15" i="196"/>
  <c r="AC26" i="196"/>
  <c r="AC47" i="196"/>
  <c r="M51" i="196"/>
  <c r="AG30" i="196"/>
  <c r="R10" i="196"/>
  <c r="Z10" i="196"/>
  <c r="M52" i="196"/>
  <c r="P20" i="196"/>
  <c r="Y28" i="196"/>
  <c r="O11" i="196"/>
  <c r="J14" i="196"/>
  <c r="AG64" i="196"/>
  <c r="X13" i="196"/>
  <c r="Y73" i="196"/>
  <c r="Y69" i="196"/>
  <c r="Y68" i="196"/>
  <c r="P11" i="196"/>
  <c r="L15" i="196"/>
  <c r="M30" i="196"/>
  <c r="J12" i="196"/>
  <c r="X11" i="196"/>
  <c r="Y66" i="196"/>
  <c r="L12" i="196"/>
  <c r="AA10" i="196"/>
  <c r="AA13" i="196"/>
  <c r="V11" i="196"/>
  <c r="AG69" i="196"/>
  <c r="X15" i="196"/>
  <c r="Y49" i="196"/>
  <c r="Y51" i="196"/>
  <c r="Y55" i="196"/>
  <c r="Y71" i="196"/>
  <c r="P13" i="196"/>
  <c r="J11" i="196"/>
  <c r="Y47" i="196"/>
  <c r="AA12" i="196"/>
  <c r="Y26" i="196"/>
  <c r="J13" i="196"/>
  <c r="V10" i="196"/>
  <c r="Q55" i="196"/>
  <c r="X10" i="196"/>
  <c r="Y48" i="196"/>
  <c r="Y56" i="196"/>
  <c r="Y57" i="196" s="1"/>
  <c r="Y61" i="196"/>
  <c r="Q20" i="196"/>
  <c r="M20" i="196"/>
  <c r="V15" i="196"/>
  <c r="Y45" i="196"/>
  <c r="Y72" i="196"/>
  <c r="AF20" i="196"/>
  <c r="Y30" i="196"/>
  <c r="Y53" i="196"/>
  <c r="Y65" i="196"/>
  <c r="Y74" i="196" s="1"/>
  <c r="Y63" i="196"/>
  <c r="Q53" i="196"/>
  <c r="Q50" i="196"/>
  <c r="Q45" i="196"/>
  <c r="AG50" i="196"/>
  <c r="Z14" i="196"/>
  <c r="AG46" i="196"/>
  <c r="AG52" i="196"/>
  <c r="AG67" i="196"/>
  <c r="Q46" i="196"/>
  <c r="Q47" i="196"/>
  <c r="Q67" i="196"/>
  <c r="S10" i="196"/>
  <c r="S15" i="196"/>
  <c r="L14" i="196"/>
  <c r="K12" i="196"/>
  <c r="K13" i="196"/>
  <c r="O14" i="196"/>
  <c r="O10" i="196"/>
  <c r="Q62" i="196"/>
  <c r="AE15" i="196"/>
  <c r="AE14" i="196"/>
  <c r="AE12" i="196"/>
  <c r="AE10" i="196"/>
  <c r="AG71" i="196"/>
  <c r="S12" i="196"/>
  <c r="AG20" i="196"/>
  <c r="AG45" i="196"/>
  <c r="T10" i="196"/>
  <c r="AG49" i="196"/>
  <c r="AG73" i="196"/>
  <c r="AG72" i="196"/>
  <c r="Q49" i="196"/>
  <c r="Q54" i="196"/>
  <c r="Q72" i="196"/>
  <c r="U26" i="196"/>
  <c r="K10" i="196"/>
  <c r="Q26" i="196"/>
  <c r="L11" i="196"/>
  <c r="AF10" i="196"/>
  <c r="K15" i="196"/>
  <c r="AE11" i="196"/>
  <c r="Q64" i="196"/>
  <c r="AD14" i="196"/>
  <c r="K33" i="196"/>
  <c r="AC20" i="196"/>
  <c r="V33" i="196"/>
  <c r="U57" i="196"/>
  <c r="T12" i="196"/>
  <c r="AG44" i="196"/>
  <c r="AG47" i="196"/>
  <c r="AG61" i="196"/>
  <c r="Q44" i="196"/>
  <c r="Q56" i="196"/>
  <c r="Q63" i="196"/>
  <c r="U30" i="196"/>
  <c r="AD11" i="196"/>
  <c r="AC74" i="196"/>
  <c r="AG68" i="196"/>
  <c r="Q61" i="196"/>
  <c r="AG51" i="196"/>
  <c r="K11" i="196"/>
  <c r="N33" i="196"/>
  <c r="Z11" i="196"/>
  <c r="T14" i="196"/>
  <c r="AG48" i="196"/>
  <c r="AG54" i="196"/>
  <c r="AG63" i="196"/>
  <c r="Q48" i="196"/>
  <c r="Q73" i="196"/>
  <c r="Q70" i="196"/>
  <c r="U25" i="196"/>
  <c r="AD13" i="196"/>
  <c r="AG53" i="196"/>
  <c r="AG55" i="196"/>
  <c r="AG57" i="196" s="1"/>
  <c r="Q71" i="196"/>
  <c r="AG65" i="196"/>
  <c r="Q65" i="196"/>
  <c r="U20" i="196"/>
  <c r="AG62" i="196"/>
  <c r="AG56" i="196"/>
  <c r="Q51" i="196"/>
  <c r="Q69" i="196"/>
  <c r="Q66" i="196"/>
  <c r="U29" i="196"/>
  <c r="T72" i="196"/>
  <c r="T71" i="196"/>
  <c r="T68" i="196"/>
  <c r="T66" i="196"/>
  <c r="T69" i="196"/>
  <c r="T63" i="196"/>
  <c r="T64" i="196"/>
  <c r="T62" i="196"/>
  <c r="T61" i="196"/>
  <c r="T73" i="196"/>
  <c r="T65" i="196"/>
  <c r="T56" i="196"/>
  <c r="T67" i="196"/>
  <c r="T53" i="196"/>
  <c r="T70" i="196"/>
  <c r="T55" i="196"/>
  <c r="T48" i="196"/>
  <c r="T46" i="196"/>
  <c r="T49" i="196"/>
  <c r="T47" i="196"/>
  <c r="T45" i="196"/>
  <c r="T54" i="196"/>
  <c r="T52" i="196"/>
  <c r="T50" i="196"/>
  <c r="T44" i="196"/>
  <c r="T51" i="196"/>
  <c r="T27" i="196"/>
  <c r="T28" i="196"/>
  <c r="T29" i="196"/>
  <c r="T25" i="196"/>
  <c r="T30" i="196"/>
  <c r="T26" i="196"/>
  <c r="N70" i="196"/>
  <c r="N73" i="196"/>
  <c r="N69" i="196"/>
  <c r="N67" i="196"/>
  <c r="N65" i="196"/>
  <c r="N68" i="196"/>
  <c r="N56" i="196"/>
  <c r="N72" i="196"/>
  <c r="N64" i="196"/>
  <c r="N63" i="196"/>
  <c r="N62" i="196"/>
  <c r="N71" i="196"/>
  <c r="N54" i="196"/>
  <c r="N55" i="196"/>
  <c r="N47" i="196"/>
  <c r="N46" i="196"/>
  <c r="N45" i="196"/>
  <c r="N66" i="196"/>
  <c r="N61" i="196"/>
  <c r="N52" i="196"/>
  <c r="N51" i="196"/>
  <c r="N50" i="196"/>
  <c r="N49" i="196"/>
  <c r="N48" i="196"/>
  <c r="N53" i="196"/>
  <c r="N44" i="196"/>
  <c r="R29" i="196"/>
  <c r="R25" i="196"/>
  <c r="R30" i="196"/>
  <c r="R26" i="196"/>
  <c r="R27" i="196"/>
  <c r="R28" i="196"/>
  <c r="AF72" i="196"/>
  <c r="AF71" i="196"/>
  <c r="AF68" i="196"/>
  <c r="AF66" i="196"/>
  <c r="AF73" i="196"/>
  <c r="AF64" i="196"/>
  <c r="AF62" i="196"/>
  <c r="AF70" i="196"/>
  <c r="AF67" i="196"/>
  <c r="AF65" i="196"/>
  <c r="AF69" i="196"/>
  <c r="AF56" i="196"/>
  <c r="AF53" i="196"/>
  <c r="AF63" i="196"/>
  <c r="AF61" i="196"/>
  <c r="AF54" i="196"/>
  <c r="AF51" i="196"/>
  <c r="AF45" i="196"/>
  <c r="AF50" i="196"/>
  <c r="AF48" i="196"/>
  <c r="AF44" i="196"/>
  <c r="AF46" i="196"/>
  <c r="AF52" i="196"/>
  <c r="AF47" i="196"/>
  <c r="AF55" i="196"/>
  <c r="AF49" i="196"/>
  <c r="P72" i="196"/>
  <c r="P71" i="196"/>
  <c r="P68" i="196"/>
  <c r="P66" i="196"/>
  <c r="P73" i="196"/>
  <c r="P64" i="196"/>
  <c r="P62" i="196"/>
  <c r="P70" i="196"/>
  <c r="P67" i="196"/>
  <c r="P65" i="196"/>
  <c r="P61" i="196"/>
  <c r="P69" i="196"/>
  <c r="P56" i="196"/>
  <c r="P63" i="196"/>
  <c r="P53" i="196"/>
  <c r="P54" i="196"/>
  <c r="P51" i="196"/>
  <c r="P50" i="196"/>
  <c r="P45" i="196"/>
  <c r="P55" i="196"/>
  <c r="P48" i="196"/>
  <c r="P44" i="196"/>
  <c r="P47" i="196"/>
  <c r="P49" i="196"/>
  <c r="P52" i="196"/>
  <c r="P46" i="196"/>
  <c r="AF27" i="196"/>
  <c r="AF28" i="196"/>
  <c r="AF29" i="196"/>
  <c r="AF25" i="196"/>
  <c r="AF26" i="196"/>
  <c r="AF30" i="196"/>
  <c r="P27" i="196"/>
  <c r="P28" i="196"/>
  <c r="P29" i="196"/>
  <c r="P25" i="196"/>
  <c r="P26" i="196"/>
  <c r="P30" i="196"/>
  <c r="AE73" i="196"/>
  <c r="AE69" i="196"/>
  <c r="AE67" i="196"/>
  <c r="AE72" i="196"/>
  <c r="AE64" i="196"/>
  <c r="AE62" i="196"/>
  <c r="AE63" i="196"/>
  <c r="AE61" i="196"/>
  <c r="AE71" i="196"/>
  <c r="AE70" i="196"/>
  <c r="AE66" i="196"/>
  <c r="AE65" i="196"/>
  <c r="AE55" i="196"/>
  <c r="AE52" i="196"/>
  <c r="AE51" i="196"/>
  <c r="AE50" i="196"/>
  <c r="AE49" i="196"/>
  <c r="AE48" i="196"/>
  <c r="AE56" i="196"/>
  <c r="AE53" i="196"/>
  <c r="AE54" i="196"/>
  <c r="AE47" i="196"/>
  <c r="AE46" i="196"/>
  <c r="AE68" i="196"/>
  <c r="AE45" i="196"/>
  <c r="AE44" i="196"/>
  <c r="O73" i="196"/>
  <c r="O69" i="196"/>
  <c r="O67" i="196"/>
  <c r="O72" i="196"/>
  <c r="O64" i="196"/>
  <c r="O62" i="196"/>
  <c r="O63" i="196"/>
  <c r="O71" i="196"/>
  <c r="O70" i="196"/>
  <c r="O66" i="196"/>
  <c r="O65" i="196"/>
  <c r="O61" i="196"/>
  <c r="O55" i="196"/>
  <c r="O52" i="196"/>
  <c r="O51" i="196"/>
  <c r="O50" i="196"/>
  <c r="O49" i="196"/>
  <c r="O48" i="196"/>
  <c r="O68" i="196"/>
  <c r="O56" i="196"/>
  <c r="O53" i="196"/>
  <c r="O47" i="196"/>
  <c r="O46" i="196"/>
  <c r="O45" i="196"/>
  <c r="O44" i="196"/>
  <c r="O54" i="196"/>
  <c r="Z33" i="196"/>
  <c r="S30" i="196"/>
  <c r="S26" i="196"/>
  <c r="S27" i="196"/>
  <c r="S28" i="196"/>
  <c r="S29" i="196"/>
  <c r="S25" i="196"/>
  <c r="AB20" i="196"/>
  <c r="L20" i="196"/>
  <c r="Z70" i="196"/>
  <c r="Z73" i="196"/>
  <c r="Z69" i="196"/>
  <c r="Z67" i="196"/>
  <c r="Z65" i="196"/>
  <c r="Z71" i="196"/>
  <c r="Z64" i="196"/>
  <c r="Z63" i="196"/>
  <c r="Z62" i="196"/>
  <c r="Z61" i="196"/>
  <c r="Z56" i="196"/>
  <c r="Z66" i="196"/>
  <c r="Z68" i="196"/>
  <c r="Z54" i="196"/>
  <c r="Z47" i="196"/>
  <c r="Z46" i="196"/>
  <c r="Z45" i="196"/>
  <c r="Z52" i="196"/>
  <c r="Z51" i="196"/>
  <c r="Z50" i="196"/>
  <c r="Z49" i="196"/>
  <c r="Z48" i="196"/>
  <c r="Z72" i="196"/>
  <c r="Z55" i="196"/>
  <c r="Z53" i="196"/>
  <c r="Z44" i="196"/>
  <c r="J70" i="196"/>
  <c r="J73" i="196"/>
  <c r="J69" i="196"/>
  <c r="J67" i="196"/>
  <c r="J65" i="196"/>
  <c r="J71" i="196"/>
  <c r="J64" i="196"/>
  <c r="J63" i="196"/>
  <c r="J62" i="196"/>
  <c r="J56" i="196"/>
  <c r="J68" i="196"/>
  <c r="J66" i="196"/>
  <c r="J72" i="196"/>
  <c r="J47" i="196"/>
  <c r="J46" i="196"/>
  <c r="J45" i="196"/>
  <c r="J52" i="196"/>
  <c r="J51" i="196"/>
  <c r="J50" i="196"/>
  <c r="J49" i="196"/>
  <c r="J48" i="196"/>
  <c r="J61" i="196"/>
  <c r="J55" i="196"/>
  <c r="J53" i="196"/>
  <c r="J54" i="196"/>
  <c r="J44" i="196"/>
  <c r="AD29" i="196"/>
  <c r="AD25" i="196"/>
  <c r="AD30" i="196"/>
  <c r="AD26" i="196"/>
  <c r="AD27" i="196"/>
  <c r="AD28" i="196"/>
  <c r="N29" i="196"/>
  <c r="N25" i="196"/>
  <c r="N30" i="196"/>
  <c r="N26" i="196"/>
  <c r="N27" i="196"/>
  <c r="N28" i="196"/>
  <c r="AG14" i="196"/>
  <c r="AG12" i="196"/>
  <c r="AG15" i="196"/>
  <c r="AG13" i="196"/>
  <c r="AG11" i="196"/>
  <c r="AG10" i="196"/>
  <c r="Q14" i="196"/>
  <c r="Q12" i="196"/>
  <c r="Q15" i="196"/>
  <c r="Q13" i="196"/>
  <c r="Q11" i="196"/>
  <c r="Q10" i="196"/>
  <c r="U74" i="196"/>
  <c r="AB72" i="196"/>
  <c r="AB71" i="196"/>
  <c r="AB68" i="196"/>
  <c r="AB66" i="196"/>
  <c r="AB69" i="196"/>
  <c r="AB65" i="196"/>
  <c r="AB73" i="196"/>
  <c r="AB63" i="196"/>
  <c r="AB61" i="196"/>
  <c r="AB56" i="196"/>
  <c r="AB70" i="196"/>
  <c r="AB64" i="196"/>
  <c r="AB62" i="196"/>
  <c r="AB53" i="196"/>
  <c r="AB55" i="196"/>
  <c r="AB54" i="196"/>
  <c r="AB52" i="196"/>
  <c r="AB48" i="196"/>
  <c r="AB51" i="196"/>
  <c r="AB49" i="196"/>
  <c r="AB47" i="196"/>
  <c r="AB50" i="196"/>
  <c r="AB46" i="196"/>
  <c r="AB44" i="196"/>
  <c r="AB67" i="196"/>
  <c r="AB45" i="196"/>
  <c r="L27" i="196"/>
  <c r="L28" i="196"/>
  <c r="L29" i="196"/>
  <c r="L25" i="196"/>
  <c r="L26" i="196"/>
  <c r="L30" i="196"/>
  <c r="AA73" i="196"/>
  <c r="AA69" i="196"/>
  <c r="AA67" i="196"/>
  <c r="AA72" i="196"/>
  <c r="AA64" i="196"/>
  <c r="AA62" i="196"/>
  <c r="AA70" i="196"/>
  <c r="AA66" i="196"/>
  <c r="AA68" i="196"/>
  <c r="AA65" i="196"/>
  <c r="AA55" i="196"/>
  <c r="AA52" i="196"/>
  <c r="AA51" i="196"/>
  <c r="AA50" i="196"/>
  <c r="AA49" i="196"/>
  <c r="AA48" i="196"/>
  <c r="AA71" i="196"/>
  <c r="AA53" i="196"/>
  <c r="AA63" i="196"/>
  <c r="AA61" i="196"/>
  <c r="AA54" i="196"/>
  <c r="AA45" i="196"/>
  <c r="AA56" i="196"/>
  <c r="AA47" i="196"/>
  <c r="AA46" i="196"/>
  <c r="AA44" i="196"/>
  <c r="K73" i="196"/>
  <c r="K69" i="196"/>
  <c r="K67" i="196"/>
  <c r="K72" i="196"/>
  <c r="K64" i="196"/>
  <c r="K62" i="196"/>
  <c r="K70" i="196"/>
  <c r="K68" i="196"/>
  <c r="K66" i="196"/>
  <c r="K65" i="196"/>
  <c r="K61" i="196"/>
  <c r="K55" i="196"/>
  <c r="K52" i="196"/>
  <c r="K51" i="196"/>
  <c r="K50" i="196"/>
  <c r="K49" i="196"/>
  <c r="K48" i="196"/>
  <c r="K63" i="196"/>
  <c r="K53" i="196"/>
  <c r="K54" i="196"/>
  <c r="K56" i="196"/>
  <c r="K45" i="196"/>
  <c r="K71" i="196"/>
  <c r="K47" i="196"/>
  <c r="K46" i="196"/>
  <c r="K44" i="196"/>
  <c r="AE30" i="196"/>
  <c r="AE26" i="196"/>
  <c r="AE27" i="196"/>
  <c r="AE28" i="196"/>
  <c r="AE29" i="196"/>
  <c r="AE25" i="196"/>
  <c r="O30" i="196"/>
  <c r="O26" i="196"/>
  <c r="O27" i="196"/>
  <c r="O28" i="196"/>
  <c r="O29" i="196"/>
  <c r="O25" i="196"/>
  <c r="V70" i="196"/>
  <c r="V73" i="196"/>
  <c r="V69" i="196"/>
  <c r="V67" i="196"/>
  <c r="V65" i="196"/>
  <c r="V68" i="196"/>
  <c r="V56" i="196"/>
  <c r="V72" i="196"/>
  <c r="V71" i="196"/>
  <c r="V54" i="196"/>
  <c r="V66" i="196"/>
  <c r="V55" i="196"/>
  <c r="V47" i="196"/>
  <c r="V46" i="196"/>
  <c r="V45" i="196"/>
  <c r="V64" i="196"/>
  <c r="V62" i="196"/>
  <c r="V52" i="196"/>
  <c r="V51" i="196"/>
  <c r="V50" i="196"/>
  <c r="V49" i="196"/>
  <c r="V48" i="196"/>
  <c r="V53" i="196"/>
  <c r="V61" i="196"/>
  <c r="V44" i="196"/>
  <c r="V63" i="196"/>
  <c r="Z29" i="196"/>
  <c r="Z25" i="196"/>
  <c r="Z30" i="196"/>
  <c r="Z26" i="196"/>
  <c r="Z27" i="196"/>
  <c r="Z28" i="196"/>
  <c r="J29" i="196"/>
  <c r="J25" i="196"/>
  <c r="J30" i="196"/>
  <c r="J26" i="196"/>
  <c r="J27" i="196"/>
  <c r="J28" i="196"/>
  <c r="AC14" i="196"/>
  <c r="AC12" i="196"/>
  <c r="AC10" i="196"/>
  <c r="AC11" i="196"/>
  <c r="AC15" i="196"/>
  <c r="AC13" i="196"/>
  <c r="M14" i="196"/>
  <c r="M12" i="196"/>
  <c r="M10" i="196"/>
  <c r="M11" i="196"/>
  <c r="M15" i="196"/>
  <c r="M13" i="196"/>
  <c r="AC57" i="196"/>
  <c r="AH41" i="196"/>
  <c r="AH20" i="196"/>
  <c r="J20" i="196"/>
  <c r="S73" i="196"/>
  <c r="S69" i="196"/>
  <c r="S67" i="196"/>
  <c r="S72" i="196"/>
  <c r="S64" i="196"/>
  <c r="S62" i="196"/>
  <c r="S70" i="196"/>
  <c r="S66" i="196"/>
  <c r="S68" i="196"/>
  <c r="S63" i="196"/>
  <c r="S61" i="196"/>
  <c r="S55" i="196"/>
  <c r="S54" i="196"/>
  <c r="S52" i="196"/>
  <c r="S51" i="196"/>
  <c r="S50" i="196"/>
  <c r="S49" i="196"/>
  <c r="S48" i="196"/>
  <c r="S65" i="196"/>
  <c r="S53" i="196"/>
  <c r="S71" i="196"/>
  <c r="S46" i="196"/>
  <c r="S47" i="196"/>
  <c r="S45" i="196"/>
  <c r="S56" i="196"/>
  <c r="S44" i="196"/>
  <c r="W30" i="196"/>
  <c r="W26" i="196"/>
  <c r="W27" i="196"/>
  <c r="W28" i="196"/>
  <c r="W25" i="196"/>
  <c r="W29" i="196"/>
  <c r="AD70" i="196"/>
  <c r="AD73" i="196"/>
  <c r="AD69" i="196"/>
  <c r="AD67" i="196"/>
  <c r="AD65" i="196"/>
  <c r="AD68" i="196"/>
  <c r="AD56" i="196"/>
  <c r="AD72" i="196"/>
  <c r="AD64" i="196"/>
  <c r="AD63" i="196"/>
  <c r="AD62" i="196"/>
  <c r="AD61" i="196"/>
  <c r="AD71" i="196"/>
  <c r="AD54" i="196"/>
  <c r="AD55" i="196"/>
  <c r="AD47" i="196"/>
  <c r="AD46" i="196"/>
  <c r="AD45" i="196"/>
  <c r="AD52" i="196"/>
  <c r="AD51" i="196"/>
  <c r="AD50" i="196"/>
  <c r="AD49" i="196"/>
  <c r="AD48" i="196"/>
  <c r="AD53" i="196"/>
  <c r="AD44" i="196"/>
  <c r="AD66" i="196"/>
  <c r="U14" i="196"/>
  <c r="U12" i="196"/>
  <c r="U10" i="196"/>
  <c r="U15" i="196"/>
  <c r="U13" i="196"/>
  <c r="U11" i="196"/>
  <c r="L72" i="196"/>
  <c r="L71" i="196"/>
  <c r="L68" i="196"/>
  <c r="L66" i="196"/>
  <c r="L69" i="196"/>
  <c r="L65" i="196"/>
  <c r="L61" i="196"/>
  <c r="L73" i="196"/>
  <c r="L63" i="196"/>
  <c r="L56" i="196"/>
  <c r="L53" i="196"/>
  <c r="L67" i="196"/>
  <c r="L55" i="196"/>
  <c r="L54" i="196"/>
  <c r="L70" i="196"/>
  <c r="L52" i="196"/>
  <c r="L48" i="196"/>
  <c r="L64" i="196"/>
  <c r="L51" i="196"/>
  <c r="L49" i="196"/>
  <c r="L47" i="196"/>
  <c r="L62" i="196"/>
  <c r="L50" i="196"/>
  <c r="L46" i="196"/>
  <c r="L44" i="196"/>
  <c r="L45" i="196"/>
  <c r="AB27" i="196"/>
  <c r="AB28" i="196"/>
  <c r="AB29" i="196"/>
  <c r="AB25" i="196"/>
  <c r="AB26" i="196"/>
  <c r="AB30" i="196"/>
  <c r="X72" i="196"/>
  <c r="X71" i="196"/>
  <c r="X68" i="196"/>
  <c r="X66" i="196"/>
  <c r="X73" i="196"/>
  <c r="X70" i="196"/>
  <c r="X67" i="196"/>
  <c r="X63" i="196"/>
  <c r="X61" i="196"/>
  <c r="X69" i="196"/>
  <c r="X64" i="196"/>
  <c r="X62" i="196"/>
  <c r="X56" i="196"/>
  <c r="X65" i="196"/>
  <c r="X54" i="196"/>
  <c r="X53" i="196"/>
  <c r="X55" i="196"/>
  <c r="X50" i="196"/>
  <c r="X52" i="196"/>
  <c r="X46" i="196"/>
  <c r="X51" i="196"/>
  <c r="X48" i="196"/>
  <c r="X45" i="196"/>
  <c r="X44" i="196"/>
  <c r="X49" i="196"/>
  <c r="X47" i="196"/>
  <c r="X27" i="196"/>
  <c r="X28" i="196"/>
  <c r="X29" i="196"/>
  <c r="X25" i="196"/>
  <c r="X30" i="196"/>
  <c r="X26" i="196"/>
  <c r="W73" i="196"/>
  <c r="W69" i="196"/>
  <c r="W67" i="196"/>
  <c r="W72" i="196"/>
  <c r="W64" i="196"/>
  <c r="W62" i="196"/>
  <c r="W65" i="196"/>
  <c r="W71" i="196"/>
  <c r="W70" i="196"/>
  <c r="W66" i="196"/>
  <c r="W63" i="196"/>
  <c r="W61" i="196"/>
  <c r="W55" i="196"/>
  <c r="W68" i="196"/>
  <c r="W52" i="196"/>
  <c r="W51" i="196"/>
  <c r="W50" i="196"/>
  <c r="W49" i="196"/>
  <c r="W48" i="196"/>
  <c r="W56" i="196"/>
  <c r="W54" i="196"/>
  <c r="W53" i="196"/>
  <c r="W47" i="196"/>
  <c r="W46" i="196"/>
  <c r="W45" i="196"/>
  <c r="W44" i="196"/>
  <c r="AH33" i="196"/>
  <c r="R33" i="196"/>
  <c r="AA30" i="196"/>
  <c r="AA26" i="196"/>
  <c r="AA27" i="196"/>
  <c r="AA28" i="196"/>
  <c r="AA25" i="196"/>
  <c r="AA29" i="196"/>
  <c r="K30" i="196"/>
  <c r="K26" i="196"/>
  <c r="K27" i="196"/>
  <c r="K28" i="196"/>
  <c r="K25" i="196"/>
  <c r="K29" i="196"/>
  <c r="T20" i="196"/>
  <c r="AH70" i="196"/>
  <c r="AH73" i="196"/>
  <c r="AH69" i="196"/>
  <c r="AH67" i="196"/>
  <c r="AH65" i="196"/>
  <c r="AH71" i="196"/>
  <c r="AH56" i="196"/>
  <c r="AH66" i="196"/>
  <c r="AH68" i="196"/>
  <c r="AH64" i="196"/>
  <c r="AH63" i="196"/>
  <c r="AH62" i="196"/>
  <c r="AH61" i="196"/>
  <c r="AH54" i="196"/>
  <c r="AH47" i="196"/>
  <c r="AH46" i="196"/>
  <c r="AH45" i="196"/>
  <c r="AH72" i="196"/>
  <c r="AH52" i="196"/>
  <c r="AH51" i="196"/>
  <c r="AH50" i="196"/>
  <c r="AH49" i="196"/>
  <c r="AH48" i="196"/>
  <c r="AH55" i="196"/>
  <c r="AH53" i="196"/>
  <c r="AH44" i="196"/>
  <c r="R70" i="196"/>
  <c r="R73" i="196"/>
  <c r="R69" i="196"/>
  <c r="R67" i="196"/>
  <c r="R65" i="196"/>
  <c r="R71" i="196"/>
  <c r="R56" i="196"/>
  <c r="R66" i="196"/>
  <c r="R68" i="196"/>
  <c r="R64" i="196"/>
  <c r="R63" i="196"/>
  <c r="R62" i="196"/>
  <c r="R54" i="196"/>
  <c r="R61" i="196"/>
  <c r="R47" i="196"/>
  <c r="R46" i="196"/>
  <c r="R45" i="196"/>
  <c r="R52" i="196"/>
  <c r="R51" i="196"/>
  <c r="R50" i="196"/>
  <c r="R49" i="196"/>
  <c r="R48" i="196"/>
  <c r="R55" i="196"/>
  <c r="R53" i="196"/>
  <c r="R44" i="196"/>
  <c r="R72" i="196"/>
  <c r="V29" i="196"/>
  <c r="V25" i="196"/>
  <c r="V30" i="196"/>
  <c r="V26" i="196"/>
  <c r="V27" i="196"/>
  <c r="V28" i="196"/>
  <c r="Y14" i="196"/>
  <c r="Y12" i="196"/>
  <c r="Y15" i="196"/>
  <c r="Y13" i="196"/>
  <c r="Y11" i="196"/>
  <c r="Y10" i="196"/>
  <c r="H88" i="195"/>
  <c r="H87" i="195"/>
  <c r="H86" i="195"/>
  <c r="H85" i="195"/>
  <c r="H83" i="195"/>
  <c r="H82" i="195"/>
  <c r="H81" i="195"/>
  <c r="H80" i="195"/>
  <c r="BE76" i="195"/>
  <c r="U76" i="195"/>
  <c r="BE75" i="195"/>
  <c r="U75" i="195"/>
  <c r="BE74" i="195"/>
  <c r="U74" i="195"/>
  <c r="BE73" i="195"/>
  <c r="U73" i="195"/>
  <c r="BE72" i="195"/>
  <c r="U72" i="195"/>
  <c r="BE71" i="195"/>
  <c r="U71" i="195"/>
  <c r="H71" i="195"/>
  <c r="BE70" i="195"/>
  <c r="U70" i="195"/>
  <c r="H70" i="195"/>
  <c r="BE69" i="195"/>
  <c r="U69" i="195"/>
  <c r="H69" i="195"/>
  <c r="BE68" i="195"/>
  <c r="U68" i="195"/>
  <c r="H68" i="195"/>
  <c r="BE67" i="195"/>
  <c r="U67" i="195"/>
  <c r="BE66" i="195"/>
  <c r="U66" i="195"/>
  <c r="H66" i="195"/>
  <c r="BE65" i="195"/>
  <c r="U65" i="195"/>
  <c r="H65" i="195"/>
  <c r="BE64" i="195"/>
  <c r="U64" i="195"/>
  <c r="H64" i="195"/>
  <c r="BE63" i="195"/>
  <c r="U63" i="195"/>
  <c r="H63" i="195"/>
  <c r="T60" i="195"/>
  <c r="A55" i="195"/>
  <c r="R32" i="195"/>
  <c r="Q32" i="195"/>
  <c r="P32" i="195"/>
  <c r="O32" i="195"/>
  <c r="N32" i="195"/>
  <c r="M32" i="195"/>
  <c r="L32" i="195"/>
  <c r="K32" i="195"/>
  <c r="J32" i="195"/>
  <c r="T30" i="195"/>
  <c r="T29" i="195"/>
  <c r="T28" i="195"/>
  <c r="T27" i="195"/>
  <c r="T26" i="195"/>
  <c r="T25" i="195"/>
  <c r="R24" i="195"/>
  <c r="R38" i="195" s="1"/>
  <c r="Q24" i="195"/>
  <c r="P24" i="195"/>
  <c r="O24" i="195"/>
  <c r="N24" i="195"/>
  <c r="N38" i="195" s="1"/>
  <c r="M24" i="195"/>
  <c r="L24" i="195"/>
  <c r="K24" i="195"/>
  <c r="J24" i="195"/>
  <c r="J38" i="195" s="1"/>
  <c r="R18" i="195"/>
  <c r="Q18" i="195"/>
  <c r="P18" i="195"/>
  <c r="O18" i="195"/>
  <c r="N18" i="195"/>
  <c r="M18" i="195"/>
  <c r="L18" i="195"/>
  <c r="K18" i="195"/>
  <c r="J18" i="195"/>
  <c r="T15" i="195"/>
  <c r="T14" i="195"/>
  <c r="T13" i="195"/>
  <c r="T12" i="195"/>
  <c r="T11" i="195"/>
  <c r="T10" i="195"/>
  <c r="A5" i="195"/>
  <c r="H88" i="194"/>
  <c r="H87" i="194"/>
  <c r="H86" i="194"/>
  <c r="H85" i="194"/>
  <c r="H83" i="194"/>
  <c r="H82" i="194"/>
  <c r="H81" i="194"/>
  <c r="H80" i="194"/>
  <c r="BF76" i="194"/>
  <c r="V76" i="194"/>
  <c r="BF75" i="194"/>
  <c r="V75" i="194"/>
  <c r="BF74" i="194"/>
  <c r="V74" i="194"/>
  <c r="BF73" i="194"/>
  <c r="V73" i="194"/>
  <c r="BF72" i="194"/>
  <c r="V72" i="194"/>
  <c r="BF71" i="194"/>
  <c r="V71" i="194"/>
  <c r="H71" i="194"/>
  <c r="BF70" i="194"/>
  <c r="V70" i="194"/>
  <c r="H70" i="194"/>
  <c r="BF69" i="194"/>
  <c r="V69" i="194"/>
  <c r="H69" i="194"/>
  <c r="BF68" i="194"/>
  <c r="V68" i="194"/>
  <c r="H68" i="194"/>
  <c r="BF67" i="194"/>
  <c r="V67" i="194"/>
  <c r="BF66" i="194"/>
  <c r="V66" i="194"/>
  <c r="H66" i="194"/>
  <c r="BF65" i="194"/>
  <c r="V65" i="194"/>
  <c r="H65" i="194"/>
  <c r="BF64" i="194"/>
  <c r="V64" i="194"/>
  <c r="H64" i="194"/>
  <c r="BF63" i="194"/>
  <c r="V63" i="194"/>
  <c r="H63" i="194"/>
  <c r="U60" i="194"/>
  <c r="A55" i="194"/>
  <c r="I78" i="194" s="1"/>
  <c r="S32" i="194"/>
  <c r="R32" i="194"/>
  <c r="Q32" i="194"/>
  <c r="P32" i="194"/>
  <c r="O32" i="194"/>
  <c r="N32" i="194"/>
  <c r="M32" i="194"/>
  <c r="L32" i="194"/>
  <c r="K32" i="194"/>
  <c r="J32" i="194"/>
  <c r="U30" i="194"/>
  <c r="U29" i="194"/>
  <c r="U28" i="194"/>
  <c r="U27" i="194"/>
  <c r="U26" i="194"/>
  <c r="U25" i="194"/>
  <c r="T79" i="194"/>
  <c r="S24" i="194"/>
  <c r="R24" i="194"/>
  <c r="Q24" i="194"/>
  <c r="P24" i="194"/>
  <c r="O24" i="194"/>
  <c r="N24" i="194"/>
  <c r="M24" i="194"/>
  <c r="L24" i="194"/>
  <c r="K24" i="194"/>
  <c r="J24" i="194"/>
  <c r="S18" i="194"/>
  <c r="R18" i="194"/>
  <c r="Q18" i="194"/>
  <c r="P18" i="194"/>
  <c r="O18" i="194"/>
  <c r="N18" i="194"/>
  <c r="M18" i="194"/>
  <c r="L18" i="194"/>
  <c r="K18" i="194"/>
  <c r="J18" i="194"/>
  <c r="U15" i="194"/>
  <c r="U14" i="194"/>
  <c r="U13" i="194"/>
  <c r="U12" i="194"/>
  <c r="U11" i="194"/>
  <c r="U10" i="194"/>
  <c r="A5" i="194"/>
  <c r="H88" i="193"/>
  <c r="H87" i="193"/>
  <c r="H86" i="193"/>
  <c r="H85" i="193"/>
  <c r="H83" i="193"/>
  <c r="H82" i="193"/>
  <c r="H81" i="193"/>
  <c r="H80" i="193"/>
  <c r="BT76" i="193"/>
  <c r="AJ76" i="193"/>
  <c r="BT75" i="193"/>
  <c r="AJ75" i="193"/>
  <c r="BT74" i="193"/>
  <c r="AJ74" i="193"/>
  <c r="BT73" i="193"/>
  <c r="AJ73" i="193"/>
  <c r="BT72" i="193"/>
  <c r="AJ72" i="193"/>
  <c r="BT71" i="193"/>
  <c r="AJ71" i="193"/>
  <c r="H71" i="193"/>
  <c r="BT70" i="193"/>
  <c r="AJ70" i="193"/>
  <c r="H70" i="193"/>
  <c r="BT69" i="193"/>
  <c r="AJ69" i="193"/>
  <c r="H69" i="193"/>
  <c r="BT68" i="193"/>
  <c r="AJ68" i="193"/>
  <c r="H68" i="193"/>
  <c r="BT67" i="193"/>
  <c r="AJ67" i="193"/>
  <c r="BT66" i="193"/>
  <c r="AJ66" i="193"/>
  <c r="H66" i="193"/>
  <c r="BT65" i="193"/>
  <c r="AJ65" i="193"/>
  <c r="H65" i="193"/>
  <c r="BT64" i="193"/>
  <c r="AJ64" i="193"/>
  <c r="H64" i="193"/>
  <c r="BT63" i="193"/>
  <c r="AJ63" i="193"/>
  <c r="H63" i="193"/>
  <c r="AI60" i="193"/>
  <c r="A55" i="193"/>
  <c r="AG32" i="193"/>
  <c r="AF32" i="193"/>
  <c r="AE32" i="193"/>
  <c r="AD32" i="193"/>
  <c r="AC32" i="193"/>
  <c r="AB32" i="193"/>
  <c r="AA32" i="193"/>
  <c r="Z32" i="193"/>
  <c r="Y32" i="193"/>
  <c r="X32" i="193"/>
  <c r="W32" i="193"/>
  <c r="V32" i="193"/>
  <c r="U32" i="193"/>
  <c r="T32" i="193"/>
  <c r="S32" i="193"/>
  <c r="R32" i="193"/>
  <c r="Q32" i="193"/>
  <c r="P32" i="193"/>
  <c r="O32" i="193"/>
  <c r="N32" i="193"/>
  <c r="M32" i="193"/>
  <c r="L32" i="193"/>
  <c r="K32" i="193"/>
  <c r="J32" i="193"/>
  <c r="AI30" i="193"/>
  <c r="AI29" i="193"/>
  <c r="AI28" i="193"/>
  <c r="AI27" i="193"/>
  <c r="AI26" i="193"/>
  <c r="AI25" i="193"/>
  <c r="AG24" i="193"/>
  <c r="AG38" i="193" s="1"/>
  <c r="AF24" i="193"/>
  <c r="AE24" i="193"/>
  <c r="AE38" i="193" s="1"/>
  <c r="AD24" i="193"/>
  <c r="AC24" i="193"/>
  <c r="AC38" i="193" s="1"/>
  <c r="AB24" i="193"/>
  <c r="AA24" i="193"/>
  <c r="AA38" i="193" s="1"/>
  <c r="Z24" i="193"/>
  <c r="Y24" i="193"/>
  <c r="Y38" i="193" s="1"/>
  <c r="X24" i="193"/>
  <c r="W24" i="193"/>
  <c r="W38" i="193" s="1"/>
  <c r="V24" i="193"/>
  <c r="U24" i="193"/>
  <c r="U38" i="193" s="1"/>
  <c r="T24" i="193"/>
  <c r="S24" i="193"/>
  <c r="S38" i="193" s="1"/>
  <c r="R24" i="193"/>
  <c r="Q24" i="193"/>
  <c r="Q38" i="193" s="1"/>
  <c r="P24" i="193"/>
  <c r="O24" i="193"/>
  <c r="O38" i="193" s="1"/>
  <c r="N24" i="193"/>
  <c r="M24" i="193"/>
  <c r="M38" i="193" s="1"/>
  <c r="L24" i="193"/>
  <c r="K24" i="193"/>
  <c r="K38" i="193" s="1"/>
  <c r="J24" i="193"/>
  <c r="AG18" i="193"/>
  <c r="AF18" i="193"/>
  <c r="AE18" i="193"/>
  <c r="AD18" i="193"/>
  <c r="AC18" i="193"/>
  <c r="AB18" i="193"/>
  <c r="AA18" i="193"/>
  <c r="Z18" i="193"/>
  <c r="Y18" i="193"/>
  <c r="X18" i="193"/>
  <c r="W18" i="193"/>
  <c r="V18" i="193"/>
  <c r="U18" i="193"/>
  <c r="T18" i="193"/>
  <c r="S18" i="193"/>
  <c r="R18" i="193"/>
  <c r="Q18" i="193"/>
  <c r="P18" i="193"/>
  <c r="O18" i="193"/>
  <c r="N18" i="193"/>
  <c r="M18" i="193"/>
  <c r="L18" i="193"/>
  <c r="K18" i="193"/>
  <c r="J18" i="193"/>
  <c r="AI15" i="193"/>
  <c r="AI14" i="193"/>
  <c r="AI13" i="193"/>
  <c r="AI12" i="193"/>
  <c r="AI11" i="193"/>
  <c r="AI10" i="193"/>
  <c r="A5" i="193"/>
  <c r="H88" i="192"/>
  <c r="H87" i="192"/>
  <c r="H86" i="192"/>
  <c r="H85" i="192"/>
  <c r="H83" i="192"/>
  <c r="H82" i="192"/>
  <c r="H81" i="192"/>
  <c r="H80" i="192"/>
  <c r="BN76" i="192"/>
  <c r="AD76" i="192"/>
  <c r="BN75" i="192"/>
  <c r="AD75" i="192"/>
  <c r="BN74" i="192"/>
  <c r="AD74" i="192"/>
  <c r="BN73" i="192"/>
  <c r="AD73" i="192"/>
  <c r="BN72" i="192"/>
  <c r="AD72" i="192"/>
  <c r="BN71" i="192"/>
  <c r="AD71" i="192"/>
  <c r="H71" i="192"/>
  <c r="BN70" i="192"/>
  <c r="AD70" i="192"/>
  <c r="H70" i="192"/>
  <c r="BN69" i="192"/>
  <c r="AD69" i="192"/>
  <c r="H69" i="192"/>
  <c r="BN68" i="192"/>
  <c r="AD68" i="192"/>
  <c r="H68" i="192"/>
  <c r="BN67" i="192"/>
  <c r="AD67" i="192"/>
  <c r="BN66" i="192"/>
  <c r="AD66" i="192"/>
  <c r="H66" i="192"/>
  <c r="BN65" i="192"/>
  <c r="AD65" i="192"/>
  <c r="H65" i="192"/>
  <c r="BN64" i="192"/>
  <c r="AD64" i="192"/>
  <c r="H64" i="192"/>
  <c r="BN63" i="192"/>
  <c r="AD63" i="192"/>
  <c r="H63" i="192"/>
  <c r="AC60" i="192"/>
  <c r="A55" i="192"/>
  <c r="I78" i="192" s="1"/>
  <c r="AA32" i="192"/>
  <c r="Z32" i="192"/>
  <c r="Y32" i="192"/>
  <c r="X32" i="192"/>
  <c r="W32" i="192"/>
  <c r="V32" i="192"/>
  <c r="U32" i="192"/>
  <c r="T32" i="192"/>
  <c r="S32" i="192"/>
  <c r="R32" i="192"/>
  <c r="Q32" i="192"/>
  <c r="P32" i="192"/>
  <c r="O32" i="192"/>
  <c r="N32" i="192"/>
  <c r="M32" i="192"/>
  <c r="L32" i="192"/>
  <c r="K32" i="192"/>
  <c r="J32" i="192"/>
  <c r="AC30" i="192"/>
  <c r="AC29" i="192"/>
  <c r="AC28" i="192"/>
  <c r="AC27" i="192"/>
  <c r="AC26" i="192"/>
  <c r="AC25" i="192"/>
  <c r="AA24" i="192"/>
  <c r="Z24" i="192"/>
  <c r="Y24" i="192"/>
  <c r="X24" i="192"/>
  <c r="W24" i="192"/>
  <c r="V24" i="192"/>
  <c r="U24" i="192"/>
  <c r="T24" i="192"/>
  <c r="S24" i="192"/>
  <c r="R24" i="192"/>
  <c r="Q24" i="192"/>
  <c r="P24" i="192"/>
  <c r="O24" i="192"/>
  <c r="N24" i="192"/>
  <c r="M24" i="192"/>
  <c r="L24" i="192"/>
  <c r="K24" i="192"/>
  <c r="J24" i="192"/>
  <c r="AA18" i="192"/>
  <c r="Z18" i="192"/>
  <c r="Y18" i="192"/>
  <c r="X18" i="192"/>
  <c r="W18" i="192"/>
  <c r="V18" i="192"/>
  <c r="U18" i="192"/>
  <c r="T18" i="192"/>
  <c r="S18" i="192"/>
  <c r="R18" i="192"/>
  <c r="Q18" i="192"/>
  <c r="P18" i="192"/>
  <c r="O18" i="192"/>
  <c r="N18" i="192"/>
  <c r="M18" i="192"/>
  <c r="L18" i="192"/>
  <c r="K18" i="192"/>
  <c r="J18" i="192"/>
  <c r="AC15" i="192"/>
  <c r="AC14" i="192"/>
  <c r="AC13" i="192"/>
  <c r="AC12" i="192"/>
  <c r="AC11" i="192"/>
  <c r="AC10" i="192"/>
  <c r="A5" i="192"/>
  <c r="H88" i="191"/>
  <c r="H87" i="191"/>
  <c r="H86" i="191"/>
  <c r="H85" i="191"/>
  <c r="H83" i="191"/>
  <c r="H82" i="191"/>
  <c r="H81" i="191"/>
  <c r="H80" i="191"/>
  <c r="BI76" i="191"/>
  <c r="Y76" i="191"/>
  <c r="BI75" i="191"/>
  <c r="Y75" i="191"/>
  <c r="BI74" i="191"/>
  <c r="Y74" i="191"/>
  <c r="BI73" i="191"/>
  <c r="Y73" i="191"/>
  <c r="BI72" i="191"/>
  <c r="Y72" i="191"/>
  <c r="BI71" i="191"/>
  <c r="Y71" i="191"/>
  <c r="H71" i="191"/>
  <c r="BI70" i="191"/>
  <c r="Y70" i="191"/>
  <c r="H70" i="191"/>
  <c r="BI69" i="191"/>
  <c r="Y69" i="191"/>
  <c r="H69" i="191"/>
  <c r="BI68" i="191"/>
  <c r="Y68" i="191"/>
  <c r="H68" i="191"/>
  <c r="BI67" i="191"/>
  <c r="Y67" i="191"/>
  <c r="BI66" i="191"/>
  <c r="Y66" i="191"/>
  <c r="H66" i="191"/>
  <c r="BI65" i="191"/>
  <c r="Y65" i="191"/>
  <c r="H65" i="191"/>
  <c r="BI64" i="191"/>
  <c r="Y64" i="191"/>
  <c r="H64" i="191"/>
  <c r="BI63" i="191"/>
  <c r="Y63" i="191"/>
  <c r="H63" i="191"/>
  <c r="X60" i="191"/>
  <c r="A55" i="191"/>
  <c r="V32" i="191"/>
  <c r="U32" i="191"/>
  <c r="T32" i="191"/>
  <c r="S32" i="191"/>
  <c r="R32" i="191"/>
  <c r="Q32" i="191"/>
  <c r="P32" i="191"/>
  <c r="O32" i="191"/>
  <c r="N32" i="191"/>
  <c r="M32" i="191"/>
  <c r="L32" i="191"/>
  <c r="K32" i="191"/>
  <c r="J32" i="191"/>
  <c r="X30" i="191"/>
  <c r="X29" i="191"/>
  <c r="X28" i="191"/>
  <c r="X27" i="191"/>
  <c r="X26" i="191"/>
  <c r="X25" i="191"/>
  <c r="W79" i="191"/>
  <c r="V24" i="191"/>
  <c r="U24" i="191"/>
  <c r="U38" i="191" s="1"/>
  <c r="T24" i="191"/>
  <c r="T38" i="191" s="1"/>
  <c r="S24" i="191"/>
  <c r="R24" i="191"/>
  <c r="Q24" i="191"/>
  <c r="Q38" i="191" s="1"/>
  <c r="P24" i="191"/>
  <c r="P38" i="191" s="1"/>
  <c r="O24" i="191"/>
  <c r="N24" i="191"/>
  <c r="M24" i="191"/>
  <c r="M38" i="191" s="1"/>
  <c r="L24" i="191"/>
  <c r="L38" i="191" s="1"/>
  <c r="K24" i="191"/>
  <c r="J24" i="191"/>
  <c r="V18" i="191"/>
  <c r="U18" i="191"/>
  <c r="T18" i="191"/>
  <c r="S18" i="191"/>
  <c r="R18" i="191"/>
  <c r="Q18" i="191"/>
  <c r="P18" i="191"/>
  <c r="O18" i="191"/>
  <c r="N18" i="191"/>
  <c r="M18" i="191"/>
  <c r="L18" i="191"/>
  <c r="K18" i="191"/>
  <c r="J18" i="191"/>
  <c r="X15" i="191"/>
  <c r="X14" i="191"/>
  <c r="X13" i="191"/>
  <c r="X12" i="191"/>
  <c r="X11" i="191"/>
  <c r="X10" i="191"/>
  <c r="A5" i="191"/>
  <c r="H88" i="190"/>
  <c r="H87" i="190"/>
  <c r="H86" i="190"/>
  <c r="H85" i="190"/>
  <c r="H83" i="190"/>
  <c r="H82" i="190"/>
  <c r="H81" i="190"/>
  <c r="H80" i="190"/>
  <c r="BB76" i="190"/>
  <c r="R76" i="190"/>
  <c r="BB75" i="190"/>
  <c r="R75" i="190"/>
  <c r="BB74" i="190"/>
  <c r="R74" i="190"/>
  <c r="BB73" i="190"/>
  <c r="R73" i="190"/>
  <c r="BB72" i="190"/>
  <c r="R72" i="190"/>
  <c r="BB71" i="190"/>
  <c r="R71" i="190"/>
  <c r="H71" i="190"/>
  <c r="BB70" i="190"/>
  <c r="R70" i="190"/>
  <c r="H70" i="190"/>
  <c r="BB69" i="190"/>
  <c r="R69" i="190"/>
  <c r="H69" i="190"/>
  <c r="BB68" i="190"/>
  <c r="R68" i="190"/>
  <c r="H68" i="190"/>
  <c r="BB67" i="190"/>
  <c r="R67" i="190"/>
  <c r="BB66" i="190"/>
  <c r="R66" i="190"/>
  <c r="H66" i="190"/>
  <c r="BB65" i="190"/>
  <c r="R65" i="190"/>
  <c r="H65" i="190"/>
  <c r="BB64" i="190"/>
  <c r="R64" i="190"/>
  <c r="H64" i="190"/>
  <c r="BB63" i="190"/>
  <c r="R63" i="190"/>
  <c r="H63" i="190"/>
  <c r="Q60" i="190"/>
  <c r="A55" i="190"/>
  <c r="O32" i="190"/>
  <c r="N32" i="190"/>
  <c r="M32" i="190"/>
  <c r="L32" i="190"/>
  <c r="K32" i="190"/>
  <c r="J32" i="190"/>
  <c r="Q30" i="190"/>
  <c r="Q29" i="190"/>
  <c r="Q28" i="190"/>
  <c r="Q27" i="190"/>
  <c r="Q26" i="190"/>
  <c r="Q25" i="190"/>
  <c r="P79" i="190"/>
  <c r="O24" i="190"/>
  <c r="N24" i="190"/>
  <c r="M24" i="190"/>
  <c r="L24" i="190"/>
  <c r="K24" i="190"/>
  <c r="J24" i="190"/>
  <c r="O18" i="190"/>
  <c r="N18" i="190"/>
  <c r="M18" i="190"/>
  <c r="L18" i="190"/>
  <c r="K18" i="190"/>
  <c r="J18" i="190"/>
  <c r="Q15" i="190"/>
  <c r="Q14" i="190"/>
  <c r="Q13" i="190"/>
  <c r="Q12" i="190"/>
  <c r="Q11" i="190"/>
  <c r="Q10" i="190"/>
  <c r="A5" i="190"/>
  <c r="N23" i="190" s="1"/>
  <c r="N30" i="190" s="1"/>
  <c r="H88" i="189"/>
  <c r="H87" i="189"/>
  <c r="H86" i="189"/>
  <c r="H85" i="189"/>
  <c r="H83" i="189"/>
  <c r="H82" i="189"/>
  <c r="H81" i="189"/>
  <c r="H80" i="189"/>
  <c r="BE76" i="189"/>
  <c r="U76" i="189"/>
  <c r="BE75" i="189"/>
  <c r="U75" i="189"/>
  <c r="BE74" i="189"/>
  <c r="U74" i="189"/>
  <c r="BE73" i="189"/>
  <c r="U73" i="189"/>
  <c r="BE72" i="189"/>
  <c r="U72" i="189"/>
  <c r="BE71" i="189"/>
  <c r="U71" i="189"/>
  <c r="H71" i="189"/>
  <c r="BE70" i="189"/>
  <c r="U70" i="189"/>
  <c r="H70" i="189"/>
  <c r="BE69" i="189"/>
  <c r="U69" i="189"/>
  <c r="H69" i="189"/>
  <c r="BE68" i="189"/>
  <c r="U68" i="189"/>
  <c r="H68" i="189"/>
  <c r="BE67" i="189"/>
  <c r="U67" i="189"/>
  <c r="BE66" i="189"/>
  <c r="U66" i="189"/>
  <c r="H66" i="189"/>
  <c r="BE65" i="189"/>
  <c r="U65" i="189"/>
  <c r="H65" i="189"/>
  <c r="BE64" i="189"/>
  <c r="U64" i="189"/>
  <c r="H64" i="189"/>
  <c r="BE63" i="189"/>
  <c r="U63" i="189"/>
  <c r="H63" i="189"/>
  <c r="T60" i="189"/>
  <c r="A55" i="189"/>
  <c r="I78" i="189" s="1"/>
  <c r="R32" i="189"/>
  <c r="Q32" i="189"/>
  <c r="P32" i="189"/>
  <c r="O32" i="189"/>
  <c r="N32" i="189"/>
  <c r="M32" i="189"/>
  <c r="L32" i="189"/>
  <c r="K32" i="189"/>
  <c r="J32" i="189"/>
  <c r="T30" i="189"/>
  <c r="T29" i="189"/>
  <c r="T28" i="189"/>
  <c r="T27" i="189"/>
  <c r="T26" i="189"/>
  <c r="T25" i="189"/>
  <c r="R24" i="189"/>
  <c r="R38" i="189" s="1"/>
  <c r="Q24" i="189"/>
  <c r="Q38" i="189" s="1"/>
  <c r="P24" i="189"/>
  <c r="P38" i="189" s="1"/>
  <c r="O24" i="189"/>
  <c r="O38" i="189" s="1"/>
  <c r="N24" i="189"/>
  <c r="N38" i="189" s="1"/>
  <c r="M24" i="189"/>
  <c r="M38" i="189" s="1"/>
  <c r="L24" i="189"/>
  <c r="L38" i="189" s="1"/>
  <c r="K24" i="189"/>
  <c r="K38" i="189" s="1"/>
  <c r="J24" i="189"/>
  <c r="J38" i="189" s="1"/>
  <c r="R18" i="189"/>
  <c r="Q18" i="189"/>
  <c r="P18" i="189"/>
  <c r="O18" i="189"/>
  <c r="N18" i="189"/>
  <c r="M18" i="189"/>
  <c r="L18" i="189"/>
  <c r="K18" i="189"/>
  <c r="J18" i="189"/>
  <c r="T15" i="189"/>
  <c r="T14" i="189"/>
  <c r="T13" i="189"/>
  <c r="T12" i="189"/>
  <c r="T11" i="189"/>
  <c r="T10" i="189"/>
  <c r="A5" i="189"/>
  <c r="H88" i="188"/>
  <c r="H87" i="188"/>
  <c r="H86" i="188"/>
  <c r="H85" i="188"/>
  <c r="H83" i="188"/>
  <c r="H82" i="188"/>
  <c r="H81" i="188"/>
  <c r="H80" i="188"/>
  <c r="AZ76" i="188"/>
  <c r="P76" i="188"/>
  <c r="AZ75" i="188"/>
  <c r="P75" i="188"/>
  <c r="AZ74" i="188"/>
  <c r="P74" i="188"/>
  <c r="AZ73" i="188"/>
  <c r="P73" i="188"/>
  <c r="AZ72" i="188"/>
  <c r="P72" i="188"/>
  <c r="AZ71" i="188"/>
  <c r="P71" i="188"/>
  <c r="H71" i="188"/>
  <c r="AZ70" i="188"/>
  <c r="P70" i="188"/>
  <c r="H70" i="188"/>
  <c r="AZ69" i="188"/>
  <c r="P69" i="188"/>
  <c r="H69" i="188"/>
  <c r="AZ68" i="188"/>
  <c r="P68" i="188"/>
  <c r="H68" i="188"/>
  <c r="AZ67" i="188"/>
  <c r="P67" i="188"/>
  <c r="AZ66" i="188"/>
  <c r="P66" i="188"/>
  <c r="H66" i="188"/>
  <c r="AZ65" i="188"/>
  <c r="P65" i="188"/>
  <c r="H65" i="188"/>
  <c r="AZ64" i="188"/>
  <c r="P64" i="188"/>
  <c r="H64" i="188"/>
  <c r="AZ63" i="188"/>
  <c r="P63" i="188"/>
  <c r="H63" i="188"/>
  <c r="O60" i="188"/>
  <c r="A55" i="188"/>
  <c r="M32" i="188"/>
  <c r="L32" i="188"/>
  <c r="K32" i="188"/>
  <c r="J32" i="188"/>
  <c r="O30" i="188"/>
  <c r="O29" i="188"/>
  <c r="O28" i="188"/>
  <c r="O27" i="188"/>
  <c r="O26" i="188"/>
  <c r="O25" i="188"/>
  <c r="M24" i="188"/>
  <c r="M38" i="188" s="1"/>
  <c r="L24" i="188"/>
  <c r="K24" i="188"/>
  <c r="K38" i="188" s="1"/>
  <c r="J24" i="188"/>
  <c r="M18" i="188"/>
  <c r="L18" i="188"/>
  <c r="K18" i="188"/>
  <c r="J18" i="188"/>
  <c r="O15" i="188"/>
  <c r="O14" i="188"/>
  <c r="O13" i="188"/>
  <c r="O12" i="188"/>
  <c r="O11" i="188"/>
  <c r="O10" i="188"/>
  <c r="A5" i="188"/>
  <c r="H88" i="187"/>
  <c r="H87" i="187"/>
  <c r="H86" i="187"/>
  <c r="H85" i="187"/>
  <c r="H83" i="187"/>
  <c r="H82" i="187"/>
  <c r="H81" i="187"/>
  <c r="H80" i="187"/>
  <c r="BS76" i="187"/>
  <c r="AI76" i="187"/>
  <c r="BS75" i="187"/>
  <c r="AI75" i="187"/>
  <c r="BS74" i="187"/>
  <c r="AI74" i="187"/>
  <c r="BS73" i="187"/>
  <c r="AI73" i="187"/>
  <c r="BS72" i="187"/>
  <c r="AI72" i="187"/>
  <c r="BS71" i="187"/>
  <c r="AI71" i="187"/>
  <c r="H71" i="187"/>
  <c r="BS70" i="187"/>
  <c r="AI70" i="187"/>
  <c r="H70" i="187"/>
  <c r="BS69" i="187"/>
  <c r="AI69" i="187"/>
  <c r="H69" i="187"/>
  <c r="BS68" i="187"/>
  <c r="AI68" i="187"/>
  <c r="H68" i="187"/>
  <c r="BS67" i="187"/>
  <c r="AI67" i="187"/>
  <c r="BS66" i="187"/>
  <c r="AI66" i="187"/>
  <c r="H66" i="187"/>
  <c r="BS65" i="187"/>
  <c r="AI65" i="187"/>
  <c r="H65" i="187"/>
  <c r="BS64" i="187"/>
  <c r="AI64" i="187"/>
  <c r="H64" i="187"/>
  <c r="BS63" i="187"/>
  <c r="AI63" i="187"/>
  <c r="H63" i="187"/>
  <c r="AH60" i="187"/>
  <c r="A55" i="187"/>
  <c r="I78" i="187" s="1"/>
  <c r="R32" i="187"/>
  <c r="Q32" i="187"/>
  <c r="P32" i="187"/>
  <c r="O32" i="187"/>
  <c r="N32" i="187"/>
  <c r="M32" i="187"/>
  <c r="L32" i="187"/>
  <c r="AF32" i="187"/>
  <c r="AE32" i="187"/>
  <c r="AD32" i="187"/>
  <c r="AC32" i="187"/>
  <c r="K32" i="187"/>
  <c r="AB32" i="187"/>
  <c r="AA32" i="187"/>
  <c r="Z32" i="187"/>
  <c r="Y32" i="187"/>
  <c r="X32" i="187"/>
  <c r="W32" i="187"/>
  <c r="V32" i="187"/>
  <c r="U32" i="187"/>
  <c r="T32" i="187"/>
  <c r="S32" i="187"/>
  <c r="J32" i="187"/>
  <c r="AH30" i="187"/>
  <c r="AH29" i="187"/>
  <c r="AH28" i="187"/>
  <c r="AH27" i="187"/>
  <c r="AH26" i="187"/>
  <c r="AH25" i="187"/>
  <c r="R24" i="187"/>
  <c r="R38" i="187" s="1"/>
  <c r="Q24" i="187"/>
  <c r="Q38" i="187" s="1"/>
  <c r="P24" i="187"/>
  <c r="P38" i="187" s="1"/>
  <c r="O24" i="187"/>
  <c r="O38" i="187" s="1"/>
  <c r="N24" i="187"/>
  <c r="N38" i="187" s="1"/>
  <c r="M24" i="187"/>
  <c r="M38" i="187" s="1"/>
  <c r="L24" i="187"/>
  <c r="L38" i="187" s="1"/>
  <c r="AF24" i="187"/>
  <c r="AF38" i="187" s="1"/>
  <c r="AE24" i="187"/>
  <c r="AE38" i="187" s="1"/>
  <c r="AD24" i="187"/>
  <c r="AD38" i="187" s="1"/>
  <c r="AC24" i="187"/>
  <c r="AC38" i="187" s="1"/>
  <c r="K24" i="187"/>
  <c r="K38" i="187" s="1"/>
  <c r="AB24" i="187"/>
  <c r="AB38" i="187" s="1"/>
  <c r="AA24" i="187"/>
  <c r="AA38" i="187" s="1"/>
  <c r="Z24" i="187"/>
  <c r="Z38" i="187" s="1"/>
  <c r="Y24" i="187"/>
  <c r="Y38" i="187" s="1"/>
  <c r="X24" i="187"/>
  <c r="X38" i="187" s="1"/>
  <c r="W24" i="187"/>
  <c r="W38" i="187" s="1"/>
  <c r="V24" i="187"/>
  <c r="V38" i="187" s="1"/>
  <c r="U24" i="187"/>
  <c r="U38" i="187" s="1"/>
  <c r="T24" i="187"/>
  <c r="T38" i="187" s="1"/>
  <c r="S24" i="187"/>
  <c r="S38" i="187" s="1"/>
  <c r="J24" i="187"/>
  <c r="J38" i="187" s="1"/>
  <c r="R18" i="187"/>
  <c r="Q18" i="187"/>
  <c r="P18" i="187"/>
  <c r="O18" i="187"/>
  <c r="N18" i="187"/>
  <c r="M18" i="187"/>
  <c r="L18" i="187"/>
  <c r="AF18" i="187"/>
  <c r="AE18" i="187"/>
  <c r="AD18" i="187"/>
  <c r="AC18" i="187"/>
  <c r="K18" i="187"/>
  <c r="AB18" i="187"/>
  <c r="AA18" i="187"/>
  <c r="Z18" i="187"/>
  <c r="Y18" i="187"/>
  <c r="X18" i="187"/>
  <c r="W18" i="187"/>
  <c r="V18" i="187"/>
  <c r="U18" i="187"/>
  <c r="T18" i="187"/>
  <c r="S18" i="187"/>
  <c r="J18" i="187"/>
  <c r="AH15" i="187"/>
  <c r="AH14" i="187"/>
  <c r="AH13" i="187"/>
  <c r="AH12" i="187"/>
  <c r="AH11" i="187"/>
  <c r="AH10" i="187"/>
  <c r="A5" i="187"/>
  <c r="K74" i="196" l="1"/>
  <c r="M74" i="196"/>
  <c r="S33" i="195"/>
  <c r="S20" i="195"/>
  <c r="O60" i="194"/>
  <c r="O33" i="194" s="1"/>
  <c r="T20" i="194"/>
  <c r="T33" i="194"/>
  <c r="U7" i="193"/>
  <c r="U52" i="193" s="1"/>
  <c r="AH20" i="193"/>
  <c r="AH33" i="193"/>
  <c r="J7" i="192"/>
  <c r="J52" i="192" s="1"/>
  <c r="AB20" i="192"/>
  <c r="AB33" i="192"/>
  <c r="P7" i="191"/>
  <c r="P52" i="191" s="1"/>
  <c r="W33" i="191"/>
  <c r="W20" i="191"/>
  <c r="S20" i="189"/>
  <c r="S33" i="189"/>
  <c r="N20" i="188"/>
  <c r="N33" i="188"/>
  <c r="W7" i="187"/>
  <c r="W52" i="187" s="1"/>
  <c r="AG33" i="187"/>
  <c r="AG20" i="187"/>
  <c r="Q74" i="196"/>
  <c r="AG74" i="196"/>
  <c r="X74" i="196"/>
  <c r="AH15" i="196"/>
  <c r="CD15" i="196" s="1"/>
  <c r="AH14" i="196"/>
  <c r="CD14" i="196" s="1"/>
  <c r="AF74" i="196"/>
  <c r="P57" i="196"/>
  <c r="Q57" i="196"/>
  <c r="AH11" i="196"/>
  <c r="CD11" i="196" s="1"/>
  <c r="K57" i="196"/>
  <c r="T57" i="196"/>
  <c r="AH13" i="196"/>
  <c r="CD13" i="196" s="1"/>
  <c r="W74" i="196"/>
  <c r="AH12" i="196"/>
  <c r="CD12" i="196" s="1"/>
  <c r="AH10" i="196"/>
  <c r="CD10" i="196" s="1"/>
  <c r="AE57" i="196"/>
  <c r="L62" i="190"/>
  <c r="L38" i="190"/>
  <c r="M79" i="192"/>
  <c r="M38" i="192"/>
  <c r="Q79" i="192"/>
  <c r="Q38" i="192"/>
  <c r="U79" i="192"/>
  <c r="U38" i="192"/>
  <c r="Y79" i="192"/>
  <c r="Y38" i="192"/>
  <c r="J79" i="193"/>
  <c r="J38" i="193"/>
  <c r="N79" i="193"/>
  <c r="N38" i="193"/>
  <c r="R79" i="193"/>
  <c r="R38" i="193"/>
  <c r="V79" i="193"/>
  <c r="V38" i="193"/>
  <c r="Z79" i="193"/>
  <c r="Z38" i="193"/>
  <c r="AD79" i="193"/>
  <c r="AD38" i="193"/>
  <c r="J79" i="194"/>
  <c r="J38" i="194"/>
  <c r="J62" i="194"/>
  <c r="N79" i="194"/>
  <c r="N38" i="194"/>
  <c r="N62" i="194"/>
  <c r="R79" i="194"/>
  <c r="R38" i="194"/>
  <c r="R62" i="194"/>
  <c r="J79" i="188"/>
  <c r="J38" i="188"/>
  <c r="M79" i="190"/>
  <c r="M38" i="190"/>
  <c r="P14" i="191"/>
  <c r="P40" i="191"/>
  <c r="P44" i="191"/>
  <c r="P48" i="191"/>
  <c r="J79" i="192"/>
  <c r="J38" i="192"/>
  <c r="N79" i="192"/>
  <c r="N38" i="192"/>
  <c r="R79" i="192"/>
  <c r="R38" i="192"/>
  <c r="V79" i="192"/>
  <c r="V38" i="192"/>
  <c r="Z79" i="192"/>
  <c r="Z38" i="192"/>
  <c r="K38" i="194"/>
  <c r="K62" i="194"/>
  <c r="O38" i="194"/>
  <c r="O62" i="194"/>
  <c r="S38" i="194"/>
  <c r="S62" i="194"/>
  <c r="K79" i="195"/>
  <c r="K38" i="195"/>
  <c r="O79" i="195"/>
  <c r="O38" i="195"/>
  <c r="J79" i="190"/>
  <c r="J38" i="190"/>
  <c r="N79" i="190"/>
  <c r="N38" i="190"/>
  <c r="J79" i="191"/>
  <c r="J38" i="191"/>
  <c r="N79" i="191"/>
  <c r="N38" i="191"/>
  <c r="R79" i="191"/>
  <c r="R38" i="191"/>
  <c r="V79" i="191"/>
  <c r="V38" i="191"/>
  <c r="K79" i="192"/>
  <c r="K38" i="192"/>
  <c r="O79" i="192"/>
  <c r="O38" i="192"/>
  <c r="S79" i="192"/>
  <c r="S38" i="192"/>
  <c r="W79" i="192"/>
  <c r="W38" i="192"/>
  <c r="AA79" i="192"/>
  <c r="AA38" i="192"/>
  <c r="L79" i="193"/>
  <c r="L38" i="193"/>
  <c r="P79" i="193"/>
  <c r="P38" i="193"/>
  <c r="T79" i="193"/>
  <c r="T38" i="193"/>
  <c r="X79" i="193"/>
  <c r="X38" i="193"/>
  <c r="AB79" i="193"/>
  <c r="AB38" i="193"/>
  <c r="AF79" i="193"/>
  <c r="AF38" i="193"/>
  <c r="L79" i="194"/>
  <c r="L38" i="194"/>
  <c r="L62" i="194"/>
  <c r="P79" i="194"/>
  <c r="P38" i="194"/>
  <c r="P62" i="194"/>
  <c r="L79" i="195"/>
  <c r="L38" i="195"/>
  <c r="P79" i="195"/>
  <c r="P38" i="195"/>
  <c r="L79" i="188"/>
  <c r="L38" i="188"/>
  <c r="K62" i="190"/>
  <c r="K38" i="190"/>
  <c r="O62" i="190"/>
  <c r="O38" i="190"/>
  <c r="K79" i="191"/>
  <c r="K38" i="191"/>
  <c r="O79" i="191"/>
  <c r="O38" i="191"/>
  <c r="S79" i="191"/>
  <c r="S38" i="191"/>
  <c r="J48" i="192"/>
  <c r="J44" i="192"/>
  <c r="L79" i="192"/>
  <c r="L38" i="192"/>
  <c r="P79" i="192"/>
  <c r="P38" i="192"/>
  <c r="T79" i="192"/>
  <c r="T38" i="192"/>
  <c r="X79" i="192"/>
  <c r="X38" i="192"/>
  <c r="AB79" i="192"/>
  <c r="M79" i="194"/>
  <c r="M38" i="194"/>
  <c r="M62" i="194"/>
  <c r="Q79" i="194"/>
  <c r="Q38" i="194"/>
  <c r="Q62" i="194"/>
  <c r="M79" i="195"/>
  <c r="M38" i="195"/>
  <c r="Q79" i="195"/>
  <c r="Q38" i="195"/>
  <c r="AH26" i="196"/>
  <c r="CE11" i="196" s="1"/>
  <c r="R57" i="196"/>
  <c r="AH74" i="196"/>
  <c r="L57" i="196"/>
  <c r="L74" i="196"/>
  <c r="AD57" i="196"/>
  <c r="S74" i="196"/>
  <c r="AH30" i="196"/>
  <c r="CE15" i="196" s="1"/>
  <c r="V57" i="196"/>
  <c r="AA57" i="196"/>
  <c r="Z74" i="196"/>
  <c r="O57" i="196"/>
  <c r="N57" i="196"/>
  <c r="T74" i="196"/>
  <c r="X57" i="196"/>
  <c r="AH28" i="196"/>
  <c r="CE13" i="196" s="1"/>
  <c r="AH25" i="196"/>
  <c r="CE10" i="196" s="1"/>
  <c r="AA74" i="196"/>
  <c r="AB57" i="196"/>
  <c r="AB74" i="196"/>
  <c r="J57" i="196"/>
  <c r="O74" i="196"/>
  <c r="R74" i="196"/>
  <c r="AH57" i="196"/>
  <c r="W57" i="196"/>
  <c r="AD74" i="196"/>
  <c r="S57" i="196"/>
  <c r="AH27" i="196"/>
  <c r="CE12" i="196" s="1"/>
  <c r="AH29" i="196"/>
  <c r="CE14" i="196" s="1"/>
  <c r="V74" i="196"/>
  <c r="J74" i="196"/>
  <c r="Z57" i="196"/>
  <c r="AE74" i="196"/>
  <c r="P74" i="196"/>
  <c r="AF57" i="196"/>
  <c r="N74" i="196"/>
  <c r="I78" i="195"/>
  <c r="J57" i="195"/>
  <c r="N57" i="195"/>
  <c r="R57" i="195"/>
  <c r="K57" i="195"/>
  <c r="O57" i="195"/>
  <c r="S57" i="195"/>
  <c r="Q57" i="195"/>
  <c r="L57" i="195"/>
  <c r="P57" i="195"/>
  <c r="M57" i="195"/>
  <c r="M7" i="193"/>
  <c r="M52" i="193" s="1"/>
  <c r="AC7" i="193"/>
  <c r="AC52" i="193" s="1"/>
  <c r="M7" i="190"/>
  <c r="M52" i="190" s="1"/>
  <c r="P7" i="190"/>
  <c r="K7" i="190"/>
  <c r="K52" i="190" s="1"/>
  <c r="J23" i="190"/>
  <c r="J30" i="190" s="1"/>
  <c r="L23" i="190"/>
  <c r="L28" i="190" s="1"/>
  <c r="O7" i="190"/>
  <c r="O52" i="190" s="1"/>
  <c r="I55" i="190"/>
  <c r="T7" i="191"/>
  <c r="T52" i="191" s="1"/>
  <c r="L7" i="191"/>
  <c r="L52" i="191" s="1"/>
  <c r="R7" i="192"/>
  <c r="R52" i="192" s="1"/>
  <c r="Z7" i="192"/>
  <c r="Z52" i="192" s="1"/>
  <c r="O7" i="193"/>
  <c r="O52" i="193" s="1"/>
  <c r="W7" i="193"/>
  <c r="W52" i="193" s="1"/>
  <c r="AE7" i="193"/>
  <c r="AE52" i="193" s="1"/>
  <c r="Q7" i="193"/>
  <c r="Q52" i="193" s="1"/>
  <c r="Y7" i="193"/>
  <c r="Y52" i="193" s="1"/>
  <c r="AG7" i="193"/>
  <c r="AG52" i="193" s="1"/>
  <c r="K7" i="193"/>
  <c r="K52" i="193" s="1"/>
  <c r="S7" i="193"/>
  <c r="S52" i="193" s="1"/>
  <c r="AA7" i="193"/>
  <c r="AA52" i="193" s="1"/>
  <c r="AH7" i="193"/>
  <c r="J7" i="194"/>
  <c r="J52" i="194" s="1"/>
  <c r="R7" i="194"/>
  <c r="R52" i="194" s="1"/>
  <c r="K7" i="194"/>
  <c r="K52" i="194" s="1"/>
  <c r="S7" i="194"/>
  <c r="S52" i="194" s="1"/>
  <c r="L23" i="194"/>
  <c r="L26" i="194" s="1"/>
  <c r="S60" i="194"/>
  <c r="S33" i="194" s="1"/>
  <c r="N7" i="194"/>
  <c r="N52" i="194" s="1"/>
  <c r="P23" i="194"/>
  <c r="P26" i="194" s="1"/>
  <c r="O7" i="194"/>
  <c r="O52" i="194" s="1"/>
  <c r="I55" i="194"/>
  <c r="K60" i="194"/>
  <c r="J7" i="195"/>
  <c r="J52" i="195" s="1"/>
  <c r="O7" i="195"/>
  <c r="O52" i="195" s="1"/>
  <c r="S7" i="195"/>
  <c r="K7" i="195"/>
  <c r="K52" i="195" s="1"/>
  <c r="P7" i="195"/>
  <c r="P52" i="195" s="1"/>
  <c r="N7" i="195"/>
  <c r="N52" i="195" s="1"/>
  <c r="L7" i="195"/>
  <c r="L52" i="195" s="1"/>
  <c r="R7" i="195"/>
  <c r="R52" i="195" s="1"/>
  <c r="O23" i="195"/>
  <c r="O29" i="195" s="1"/>
  <c r="N25" i="190"/>
  <c r="N29" i="190"/>
  <c r="K60" i="190"/>
  <c r="K20" i="190" s="1"/>
  <c r="O60" i="190"/>
  <c r="O20" i="190" s="1"/>
  <c r="M62" i="190"/>
  <c r="P62" i="190"/>
  <c r="K79" i="190"/>
  <c r="O79" i="190"/>
  <c r="S60" i="191"/>
  <c r="S33" i="191" s="1"/>
  <c r="O60" i="191"/>
  <c r="O33" i="191" s="1"/>
  <c r="K60" i="191"/>
  <c r="K20" i="191" s="1"/>
  <c r="T23" i="191"/>
  <c r="P23" i="191"/>
  <c r="L23" i="191"/>
  <c r="U60" i="191"/>
  <c r="U33" i="191" s="1"/>
  <c r="Q60" i="191"/>
  <c r="Q33" i="191" s="1"/>
  <c r="M60" i="191"/>
  <c r="M33" i="191" s="1"/>
  <c r="J7" i="191"/>
  <c r="J52" i="191" s="1"/>
  <c r="N7" i="191"/>
  <c r="N52" i="191" s="1"/>
  <c r="R7" i="191"/>
  <c r="R52" i="191" s="1"/>
  <c r="V7" i="191"/>
  <c r="V52" i="191" s="1"/>
  <c r="N23" i="191"/>
  <c r="S23" i="191"/>
  <c r="L62" i="191"/>
  <c r="L79" i="191"/>
  <c r="P62" i="191"/>
  <c r="P79" i="191"/>
  <c r="T62" i="191"/>
  <c r="T79" i="191"/>
  <c r="I78" i="191"/>
  <c r="I55" i="191"/>
  <c r="M57" i="191"/>
  <c r="U57" i="191"/>
  <c r="P60" i="191"/>
  <c r="P57" i="191" s="1"/>
  <c r="V62" i="191"/>
  <c r="L7" i="190"/>
  <c r="L52" i="190" s="1"/>
  <c r="M23" i="190"/>
  <c r="P23" i="190"/>
  <c r="N28" i="190"/>
  <c r="L60" i="190"/>
  <c r="L33" i="190" s="1"/>
  <c r="J62" i="190"/>
  <c r="N62" i="190"/>
  <c r="I78" i="190"/>
  <c r="L79" i="190"/>
  <c r="K7" i="191"/>
  <c r="K52" i="191" s="1"/>
  <c r="O7" i="191"/>
  <c r="O52" i="191" s="1"/>
  <c r="S7" i="191"/>
  <c r="S52" i="191" s="1"/>
  <c r="W7" i="191"/>
  <c r="P11" i="191"/>
  <c r="P13" i="191"/>
  <c r="P15" i="191"/>
  <c r="J23" i="191"/>
  <c r="O23" i="191"/>
  <c r="U23" i="191"/>
  <c r="M62" i="191"/>
  <c r="M79" i="191"/>
  <c r="Q62" i="191"/>
  <c r="Q79" i="191"/>
  <c r="U62" i="191"/>
  <c r="U79" i="191"/>
  <c r="O57" i="191"/>
  <c r="J60" i="191"/>
  <c r="R60" i="191"/>
  <c r="R33" i="191" s="1"/>
  <c r="J62" i="191"/>
  <c r="N27" i="190"/>
  <c r="M60" i="190"/>
  <c r="M20" i="190" s="1"/>
  <c r="K23" i="191"/>
  <c r="Q23" i="191"/>
  <c r="V23" i="191"/>
  <c r="W23" i="191"/>
  <c r="Q57" i="191"/>
  <c r="L60" i="191"/>
  <c r="L20" i="191" s="1"/>
  <c r="T60" i="191"/>
  <c r="T20" i="191" s="1"/>
  <c r="N62" i="191"/>
  <c r="J7" i="190"/>
  <c r="J52" i="190" s="1"/>
  <c r="N7" i="190"/>
  <c r="N52" i="190" s="1"/>
  <c r="K23" i="190"/>
  <c r="O23" i="190"/>
  <c r="N26" i="190"/>
  <c r="K57" i="190"/>
  <c r="O57" i="190"/>
  <c r="J60" i="190"/>
  <c r="N60" i="190"/>
  <c r="N20" i="190" s="1"/>
  <c r="M7" i="191"/>
  <c r="M52" i="191" s="1"/>
  <c r="Q7" i="191"/>
  <c r="Q52" i="191" s="1"/>
  <c r="U7" i="191"/>
  <c r="U52" i="191" s="1"/>
  <c r="P10" i="191"/>
  <c r="P12" i="191"/>
  <c r="M23" i="191"/>
  <c r="R23" i="191"/>
  <c r="S57" i="191"/>
  <c r="N60" i="191"/>
  <c r="N33" i="191" s="1"/>
  <c r="V60" i="191"/>
  <c r="V20" i="191" s="1"/>
  <c r="R62" i="191"/>
  <c r="K62" i="191"/>
  <c r="O62" i="191"/>
  <c r="S62" i="191"/>
  <c r="W62" i="191"/>
  <c r="V7" i="192"/>
  <c r="V52" i="192" s="1"/>
  <c r="J14" i="192"/>
  <c r="J12" i="192"/>
  <c r="J10" i="192"/>
  <c r="J15" i="192"/>
  <c r="J13" i="192"/>
  <c r="J11" i="192"/>
  <c r="AA60" i="192"/>
  <c r="AA33" i="192" s="1"/>
  <c r="W60" i="192"/>
  <c r="W33" i="192" s="1"/>
  <c r="S60" i="192"/>
  <c r="S20" i="192" s="1"/>
  <c r="O60" i="192"/>
  <c r="O33" i="192" s="1"/>
  <c r="K60" i="192"/>
  <c r="K33" i="192" s="1"/>
  <c r="X23" i="192"/>
  <c r="T23" i="192"/>
  <c r="P23" i="192"/>
  <c r="L23" i="192"/>
  <c r="AB7" i="192"/>
  <c r="AA7" i="192"/>
  <c r="AA52" i="192" s="1"/>
  <c r="W7" i="192"/>
  <c r="W52" i="192" s="1"/>
  <c r="S7" i="192"/>
  <c r="S52" i="192" s="1"/>
  <c r="O7" i="192"/>
  <c r="O52" i="192" s="1"/>
  <c r="K7" i="192"/>
  <c r="K52" i="192" s="1"/>
  <c r="Z60" i="192"/>
  <c r="Z33" i="192" s="1"/>
  <c r="V60" i="192"/>
  <c r="V20" i="192" s="1"/>
  <c r="R60" i="192"/>
  <c r="R33" i="192" s="1"/>
  <c r="N60" i="192"/>
  <c r="N20" i="192" s="1"/>
  <c r="J60" i="192"/>
  <c r="AB23" i="192"/>
  <c r="AA23" i="192"/>
  <c r="W23" i="192"/>
  <c r="S23" i="192"/>
  <c r="O23" i="192"/>
  <c r="K23" i="192"/>
  <c r="Y60" i="192"/>
  <c r="Y20" i="192" s="1"/>
  <c r="U60" i="192"/>
  <c r="U33" i="192" s="1"/>
  <c r="Q60" i="192"/>
  <c r="Q20" i="192" s="1"/>
  <c r="M60" i="192"/>
  <c r="M20" i="192" s="1"/>
  <c r="Z23" i="192"/>
  <c r="V23" i="192"/>
  <c r="R23" i="192"/>
  <c r="N23" i="192"/>
  <c r="J23" i="192"/>
  <c r="Y7" i="192"/>
  <c r="Y52" i="192" s="1"/>
  <c r="U7" i="192"/>
  <c r="U52" i="192" s="1"/>
  <c r="Q7" i="192"/>
  <c r="Q52" i="192" s="1"/>
  <c r="M7" i="192"/>
  <c r="M52" i="192" s="1"/>
  <c r="X60" i="192"/>
  <c r="X20" i="192" s="1"/>
  <c r="T60" i="192"/>
  <c r="T20" i="192" s="1"/>
  <c r="P60" i="192"/>
  <c r="P20" i="192" s="1"/>
  <c r="L60" i="192"/>
  <c r="L20" i="192" s="1"/>
  <c r="Y23" i="192"/>
  <c r="U23" i="192"/>
  <c r="Q23" i="192"/>
  <c r="M23" i="192"/>
  <c r="X7" i="192"/>
  <c r="X52" i="192" s="1"/>
  <c r="T7" i="192"/>
  <c r="T52" i="192" s="1"/>
  <c r="P7" i="192"/>
  <c r="P52" i="192" s="1"/>
  <c r="L7" i="192"/>
  <c r="L52" i="192" s="1"/>
  <c r="N7" i="192"/>
  <c r="N52" i="192" s="1"/>
  <c r="Q57" i="192"/>
  <c r="U57" i="192"/>
  <c r="J62" i="192"/>
  <c r="N62" i="192"/>
  <c r="R62" i="192"/>
  <c r="V62" i="192"/>
  <c r="Z62" i="192"/>
  <c r="I55" i="192"/>
  <c r="R57" i="192"/>
  <c r="V57" i="192"/>
  <c r="K62" i="192"/>
  <c r="O62" i="192"/>
  <c r="S62" i="192"/>
  <c r="W62" i="192"/>
  <c r="AA62" i="192"/>
  <c r="AB62" i="192"/>
  <c r="L62" i="192"/>
  <c r="P62" i="192"/>
  <c r="T62" i="192"/>
  <c r="X62" i="192"/>
  <c r="L57" i="192"/>
  <c r="T57" i="192"/>
  <c r="X57" i="192"/>
  <c r="M62" i="192"/>
  <c r="Q62" i="192"/>
  <c r="U62" i="192"/>
  <c r="Y62" i="192"/>
  <c r="L7" i="193"/>
  <c r="L52" i="193" s="1"/>
  <c r="P7" i="193"/>
  <c r="P52" i="193" s="1"/>
  <c r="T7" i="193"/>
  <c r="T52" i="193" s="1"/>
  <c r="X7" i="193"/>
  <c r="X52" i="193" s="1"/>
  <c r="AB7" i="193"/>
  <c r="AB52" i="193" s="1"/>
  <c r="AF7" i="193"/>
  <c r="AF52" i="193" s="1"/>
  <c r="U15" i="193"/>
  <c r="M23" i="193"/>
  <c r="Q23" i="193"/>
  <c r="U23" i="193"/>
  <c r="Y23" i="193"/>
  <c r="AC23" i="193"/>
  <c r="AG23" i="193"/>
  <c r="N60" i="193"/>
  <c r="N20" i="193" s="1"/>
  <c r="V60" i="193"/>
  <c r="V20" i="193" s="1"/>
  <c r="AD60" i="193"/>
  <c r="AD20" i="193" s="1"/>
  <c r="P62" i="193"/>
  <c r="X62" i="193"/>
  <c r="AF62" i="193"/>
  <c r="J23" i="193"/>
  <c r="N23" i="193"/>
  <c r="R23" i="193"/>
  <c r="V23" i="193"/>
  <c r="Z23" i="193"/>
  <c r="AD23" i="193"/>
  <c r="M62" i="193"/>
  <c r="M79" i="193"/>
  <c r="Q62" i="193"/>
  <c r="Q79" i="193"/>
  <c r="U62" i="193"/>
  <c r="U79" i="193"/>
  <c r="Y62" i="193"/>
  <c r="Y79" i="193"/>
  <c r="AC62" i="193"/>
  <c r="AC79" i="193"/>
  <c r="AG62" i="193"/>
  <c r="AG79" i="193"/>
  <c r="I78" i="193"/>
  <c r="V57" i="193"/>
  <c r="R57" i="193"/>
  <c r="N57" i="193"/>
  <c r="I55" i="193"/>
  <c r="M57" i="193"/>
  <c r="P60" i="193"/>
  <c r="P20" i="193" s="1"/>
  <c r="X60" i="193"/>
  <c r="X20" i="193" s="1"/>
  <c r="AF60" i="193"/>
  <c r="AF33" i="193" s="1"/>
  <c r="J62" i="193"/>
  <c r="R62" i="193"/>
  <c r="Z62" i="193"/>
  <c r="AE60" i="193"/>
  <c r="AE20" i="193" s="1"/>
  <c r="AA60" i="193"/>
  <c r="AA20" i="193" s="1"/>
  <c r="W60" i="193"/>
  <c r="W20" i="193" s="1"/>
  <c r="S60" i="193"/>
  <c r="S33" i="193" s="1"/>
  <c r="O60" i="193"/>
  <c r="O20" i="193" s="1"/>
  <c r="K60" i="193"/>
  <c r="K20" i="193" s="1"/>
  <c r="AG60" i="193"/>
  <c r="AG33" i="193" s="1"/>
  <c r="AC60" i="193"/>
  <c r="AC57" i="193" s="1"/>
  <c r="Y60" i="193"/>
  <c r="Y33" i="193" s="1"/>
  <c r="U60" i="193"/>
  <c r="U20" i="193" s="1"/>
  <c r="Q60" i="193"/>
  <c r="Q33" i="193" s="1"/>
  <c r="M60" i="193"/>
  <c r="M20" i="193" s="1"/>
  <c r="J7" i="193"/>
  <c r="J52" i="193" s="1"/>
  <c r="N7" i="193"/>
  <c r="N52" i="193" s="1"/>
  <c r="R7" i="193"/>
  <c r="R52" i="193" s="1"/>
  <c r="V7" i="193"/>
  <c r="V52" i="193" s="1"/>
  <c r="Z7" i="193"/>
  <c r="Z52" i="193" s="1"/>
  <c r="AD7" i="193"/>
  <c r="AD52" i="193" s="1"/>
  <c r="K23" i="193"/>
  <c r="O23" i="193"/>
  <c r="S23" i="193"/>
  <c r="W23" i="193"/>
  <c r="AA23" i="193"/>
  <c r="AE23" i="193"/>
  <c r="AH23" i="193"/>
  <c r="AE57" i="193"/>
  <c r="J60" i="193"/>
  <c r="R60" i="193"/>
  <c r="R33" i="193" s="1"/>
  <c r="Z60" i="193"/>
  <c r="Z20" i="193" s="1"/>
  <c r="L62" i="193"/>
  <c r="T62" i="193"/>
  <c r="AB62" i="193"/>
  <c r="L23" i="193"/>
  <c r="P23" i="193"/>
  <c r="T23" i="193"/>
  <c r="X23" i="193"/>
  <c r="AB23" i="193"/>
  <c r="AF23" i="193"/>
  <c r="K79" i="193"/>
  <c r="K62" i="193"/>
  <c r="O79" i="193"/>
  <c r="O62" i="193"/>
  <c r="S79" i="193"/>
  <c r="S62" i="193"/>
  <c r="W79" i="193"/>
  <c r="W62" i="193"/>
  <c r="AA79" i="193"/>
  <c r="AA62" i="193"/>
  <c r="AE79" i="193"/>
  <c r="AE62" i="193"/>
  <c r="AH79" i="193"/>
  <c r="AH62" i="193"/>
  <c r="L60" i="193"/>
  <c r="L33" i="193" s="1"/>
  <c r="T60" i="193"/>
  <c r="T33" i="193" s="1"/>
  <c r="AB60" i="193"/>
  <c r="AB33" i="193" s="1"/>
  <c r="N62" i="193"/>
  <c r="V62" i="193"/>
  <c r="AD62" i="193"/>
  <c r="K79" i="194"/>
  <c r="O79" i="194"/>
  <c r="S79" i="194"/>
  <c r="M7" i="194"/>
  <c r="M52" i="194" s="1"/>
  <c r="Q7" i="194"/>
  <c r="Q52" i="194" s="1"/>
  <c r="T7" i="194"/>
  <c r="O20" i="194"/>
  <c r="J23" i="194"/>
  <c r="N23" i="194"/>
  <c r="R23" i="194"/>
  <c r="M60" i="194"/>
  <c r="M20" i="194" s="1"/>
  <c r="Q60" i="194"/>
  <c r="Q20" i="194" s="1"/>
  <c r="K23" i="194"/>
  <c r="O23" i="194"/>
  <c r="S23" i="194"/>
  <c r="K57" i="194"/>
  <c r="O57" i="194"/>
  <c r="S57" i="194"/>
  <c r="J60" i="194"/>
  <c r="N60" i="194"/>
  <c r="N20" i="194" s="1"/>
  <c r="R60" i="194"/>
  <c r="R33" i="194" s="1"/>
  <c r="L7" i="194"/>
  <c r="L52" i="194" s="1"/>
  <c r="P7" i="194"/>
  <c r="P52" i="194" s="1"/>
  <c r="M23" i="194"/>
  <c r="Q23" i="194"/>
  <c r="T23" i="194"/>
  <c r="Q57" i="194"/>
  <c r="L60" i="194"/>
  <c r="L20" i="194" s="1"/>
  <c r="P60" i="194"/>
  <c r="P33" i="194" s="1"/>
  <c r="J79" i="195"/>
  <c r="N79" i="195"/>
  <c r="R79" i="195"/>
  <c r="S79" i="195"/>
  <c r="S62" i="195"/>
  <c r="J60" i="195"/>
  <c r="N60" i="195"/>
  <c r="Q60" i="195"/>
  <c r="M60" i="195"/>
  <c r="S23" i="195"/>
  <c r="R23" i="195"/>
  <c r="N23" i="195"/>
  <c r="J23" i="195"/>
  <c r="P60" i="195"/>
  <c r="L60" i="195"/>
  <c r="Q23" i="195"/>
  <c r="M23" i="195"/>
  <c r="O60" i="195"/>
  <c r="K60" i="195"/>
  <c r="P23" i="195"/>
  <c r="L23" i="195"/>
  <c r="M7" i="195"/>
  <c r="M52" i="195" s="1"/>
  <c r="Q7" i="195"/>
  <c r="Q52" i="195" s="1"/>
  <c r="K23" i="195"/>
  <c r="R60" i="195"/>
  <c r="I55" i="195"/>
  <c r="K7" i="187"/>
  <c r="K52" i="187" s="1"/>
  <c r="L7" i="189"/>
  <c r="L52" i="189" s="1"/>
  <c r="P7" i="189"/>
  <c r="P52" i="189" s="1"/>
  <c r="AA7" i="187"/>
  <c r="AA52" i="187" s="1"/>
  <c r="O60" i="189"/>
  <c r="O33" i="189" s="1"/>
  <c r="K60" i="189"/>
  <c r="K33" i="189" s="1"/>
  <c r="R60" i="189"/>
  <c r="R33" i="189" s="1"/>
  <c r="N60" i="189"/>
  <c r="N33" i="189" s="1"/>
  <c r="J60" i="189"/>
  <c r="Q60" i="189"/>
  <c r="Q33" i="189" s="1"/>
  <c r="M60" i="189"/>
  <c r="M33" i="189" s="1"/>
  <c r="P60" i="189"/>
  <c r="P20" i="189" s="1"/>
  <c r="L60" i="189"/>
  <c r="L33" i="189" s="1"/>
  <c r="O23" i="189"/>
  <c r="K23" i="189"/>
  <c r="S23" i="189"/>
  <c r="R23" i="189"/>
  <c r="N23" i="189"/>
  <c r="J23" i="189"/>
  <c r="Q23" i="189"/>
  <c r="M23" i="189"/>
  <c r="P23" i="189"/>
  <c r="L23" i="189"/>
  <c r="M7" i="189"/>
  <c r="M52" i="189" s="1"/>
  <c r="Q7" i="189"/>
  <c r="Q52" i="189" s="1"/>
  <c r="J7" i="189"/>
  <c r="J52" i="189" s="1"/>
  <c r="N7" i="189"/>
  <c r="N52" i="189" s="1"/>
  <c r="R7" i="189"/>
  <c r="R52" i="189" s="1"/>
  <c r="S7" i="189"/>
  <c r="K7" i="189"/>
  <c r="K52" i="189" s="1"/>
  <c r="O7" i="189"/>
  <c r="O52" i="189" s="1"/>
  <c r="K79" i="189"/>
  <c r="K62" i="189"/>
  <c r="O79" i="189"/>
  <c r="O62" i="189"/>
  <c r="L79" i="189"/>
  <c r="L62" i="189"/>
  <c r="P79" i="189"/>
  <c r="P62" i="189"/>
  <c r="M79" i="189"/>
  <c r="M62" i="189"/>
  <c r="Q79" i="189"/>
  <c r="Q62" i="189"/>
  <c r="J79" i="189"/>
  <c r="J62" i="189"/>
  <c r="N79" i="189"/>
  <c r="N62" i="189"/>
  <c r="R79" i="189"/>
  <c r="R62" i="189"/>
  <c r="S79" i="189"/>
  <c r="S62" i="189"/>
  <c r="I55" i="189"/>
  <c r="M57" i="189"/>
  <c r="Q57" i="189"/>
  <c r="J57" i="189"/>
  <c r="R57" i="189"/>
  <c r="K57" i="189"/>
  <c r="L57" i="189"/>
  <c r="O7" i="187"/>
  <c r="O52" i="187" s="1"/>
  <c r="AE7" i="187"/>
  <c r="AE52" i="187" s="1"/>
  <c r="M7" i="188"/>
  <c r="M52" i="188" s="1"/>
  <c r="N7" i="188"/>
  <c r="J7" i="188"/>
  <c r="J52" i="188" s="1"/>
  <c r="S7" i="187"/>
  <c r="S52" i="187" s="1"/>
  <c r="K7" i="188"/>
  <c r="K52" i="188" s="1"/>
  <c r="M60" i="188"/>
  <c r="M33" i="188" s="1"/>
  <c r="K60" i="188"/>
  <c r="K33" i="188" s="1"/>
  <c r="L60" i="188"/>
  <c r="L33" i="188" s="1"/>
  <c r="J23" i="188"/>
  <c r="J60" i="188"/>
  <c r="J57" i="188" s="1"/>
  <c r="N23" i="188"/>
  <c r="M23" i="188"/>
  <c r="L23" i="188"/>
  <c r="K23" i="188"/>
  <c r="L7" i="188"/>
  <c r="L52" i="188" s="1"/>
  <c r="K79" i="188"/>
  <c r="K62" i="188"/>
  <c r="J62" i="188"/>
  <c r="I78" i="188"/>
  <c r="I55" i="188"/>
  <c r="L62" i="188"/>
  <c r="M79" i="188"/>
  <c r="M62" i="188"/>
  <c r="N79" i="188"/>
  <c r="N62" i="188"/>
  <c r="Q60" i="187"/>
  <c r="M60" i="187"/>
  <c r="AD60" i="187"/>
  <c r="AA60" i="187"/>
  <c r="W60" i="187"/>
  <c r="S60" i="187"/>
  <c r="P60" i="187"/>
  <c r="L60" i="187"/>
  <c r="AC60" i="187"/>
  <c r="Z60" i="187"/>
  <c r="V60" i="187"/>
  <c r="V33" i="187" s="1"/>
  <c r="J60" i="187"/>
  <c r="J57" i="187" s="1"/>
  <c r="O60" i="187"/>
  <c r="AF60" i="187"/>
  <c r="K60" i="187"/>
  <c r="Y60" i="187"/>
  <c r="U60" i="187"/>
  <c r="R60" i="187"/>
  <c r="N60" i="187"/>
  <c r="N33" i="187" s="1"/>
  <c r="AE60" i="187"/>
  <c r="AE33" i="187" s="1"/>
  <c r="AB60" i="187"/>
  <c r="X60" i="187"/>
  <c r="T60" i="187"/>
  <c r="Q23" i="187"/>
  <c r="M23" i="187"/>
  <c r="AD23" i="187"/>
  <c r="AA23" i="187"/>
  <c r="W23" i="187"/>
  <c r="S23" i="187"/>
  <c r="P23" i="187"/>
  <c r="L23" i="187"/>
  <c r="AC23" i="187"/>
  <c r="Z23" i="187"/>
  <c r="V23" i="187"/>
  <c r="J23" i="187"/>
  <c r="AG23" i="187"/>
  <c r="O23" i="187"/>
  <c r="AF23" i="187"/>
  <c r="K23" i="187"/>
  <c r="Y23" i="187"/>
  <c r="U23" i="187"/>
  <c r="R23" i="187"/>
  <c r="N23" i="187"/>
  <c r="AE23" i="187"/>
  <c r="AB23" i="187"/>
  <c r="X23" i="187"/>
  <c r="T23" i="187"/>
  <c r="L7" i="187"/>
  <c r="L52" i="187" s="1"/>
  <c r="P7" i="187"/>
  <c r="P52" i="187" s="1"/>
  <c r="T7" i="187"/>
  <c r="T52" i="187" s="1"/>
  <c r="X7" i="187"/>
  <c r="X52" i="187" s="1"/>
  <c r="AB7" i="187"/>
  <c r="AB52" i="187" s="1"/>
  <c r="AF7" i="187"/>
  <c r="AF52" i="187" s="1"/>
  <c r="M7" i="187"/>
  <c r="M52" i="187" s="1"/>
  <c r="Q7" i="187"/>
  <c r="Q52" i="187" s="1"/>
  <c r="U7" i="187"/>
  <c r="U52" i="187" s="1"/>
  <c r="Y7" i="187"/>
  <c r="Y52" i="187" s="1"/>
  <c r="AC7" i="187"/>
  <c r="AC52" i="187" s="1"/>
  <c r="AG7" i="187"/>
  <c r="J7" i="187"/>
  <c r="J52" i="187" s="1"/>
  <c r="N7" i="187"/>
  <c r="N52" i="187" s="1"/>
  <c r="R7" i="187"/>
  <c r="R52" i="187" s="1"/>
  <c r="V7" i="187"/>
  <c r="V52" i="187" s="1"/>
  <c r="Z7" i="187"/>
  <c r="Z52" i="187" s="1"/>
  <c r="AD7" i="187"/>
  <c r="K79" i="187"/>
  <c r="S62" i="187"/>
  <c r="O79" i="187"/>
  <c r="W62" i="187"/>
  <c r="S79" i="187"/>
  <c r="AA62" i="187"/>
  <c r="W79" i="187"/>
  <c r="AD62" i="187"/>
  <c r="AA79" i="187"/>
  <c r="M62" i="187"/>
  <c r="AE79" i="187"/>
  <c r="Q62" i="187"/>
  <c r="L79" i="187"/>
  <c r="T62" i="187"/>
  <c r="P79" i="187"/>
  <c r="X62" i="187"/>
  <c r="T79" i="187"/>
  <c r="AB62" i="187"/>
  <c r="X79" i="187"/>
  <c r="AE62" i="187"/>
  <c r="AB79" i="187"/>
  <c r="N62" i="187"/>
  <c r="AF79" i="187"/>
  <c r="R62" i="187"/>
  <c r="M79" i="187"/>
  <c r="U62" i="187"/>
  <c r="Q79" i="187"/>
  <c r="Y62" i="187"/>
  <c r="U79" i="187"/>
  <c r="K62" i="187"/>
  <c r="Y79" i="187"/>
  <c r="AF62" i="187"/>
  <c r="AC79" i="187"/>
  <c r="O62" i="187"/>
  <c r="AG79" i="187"/>
  <c r="AG62" i="187"/>
  <c r="J79" i="187"/>
  <c r="J62" i="187"/>
  <c r="N79" i="187"/>
  <c r="V62" i="187"/>
  <c r="R79" i="187"/>
  <c r="Z62" i="187"/>
  <c r="V79" i="187"/>
  <c r="AC62" i="187"/>
  <c r="Z79" i="187"/>
  <c r="L62" i="187"/>
  <c r="AD79" i="187"/>
  <c r="P62" i="187"/>
  <c r="U57" i="187"/>
  <c r="O57" i="187"/>
  <c r="Z57" i="187"/>
  <c r="W57" i="187"/>
  <c r="AD57" i="187"/>
  <c r="Q57" i="187"/>
  <c r="I55" i="187"/>
  <c r="X57" i="187"/>
  <c r="AB57" i="187"/>
  <c r="AE57" i="187"/>
  <c r="R57" i="187"/>
  <c r="J13" i="156"/>
  <c r="H34" i="156"/>
  <c r="I26" i="156"/>
  <c r="I22" i="156"/>
  <c r="I18" i="156"/>
  <c r="A7" i="156"/>
  <c r="N9" i="156" s="1"/>
  <c r="J40" i="192" l="1"/>
  <c r="U40" i="193"/>
  <c r="U13" i="193"/>
  <c r="U44" i="193"/>
  <c r="U12" i="193"/>
  <c r="U11" i="193"/>
  <c r="U14" i="193"/>
  <c r="U10" i="193"/>
  <c r="U48" i="193"/>
  <c r="U47" i="193" s="1"/>
  <c r="AG30" i="187"/>
  <c r="CD15" i="187" s="1"/>
  <c r="AG26" i="187"/>
  <c r="CD11" i="187" s="1"/>
  <c r="AG29" i="187"/>
  <c r="CD14" i="187" s="1"/>
  <c r="AG25" i="187"/>
  <c r="CD10" i="187" s="1"/>
  <c r="AG28" i="187"/>
  <c r="CD13" i="187" s="1"/>
  <c r="AG27" i="187"/>
  <c r="CD12" i="187" s="1"/>
  <c r="AG52" i="187"/>
  <c r="AG13" i="187"/>
  <c r="CC13" i="187" s="1"/>
  <c r="AG12" i="187"/>
  <c r="CC12" i="187" s="1"/>
  <c r="AG15" i="187"/>
  <c r="CC15" i="187" s="1"/>
  <c r="AG11" i="187"/>
  <c r="CC11" i="187" s="1"/>
  <c r="AG14" i="187"/>
  <c r="CC14" i="187" s="1"/>
  <c r="AG10" i="187"/>
  <c r="CC10" i="187" s="1"/>
  <c r="N52" i="188"/>
  <c r="N15" i="188"/>
  <c r="BJ15" i="188" s="1"/>
  <c r="N11" i="188"/>
  <c r="BJ11" i="188" s="1"/>
  <c r="N14" i="188"/>
  <c r="BJ14" i="188" s="1"/>
  <c r="N10" i="188"/>
  <c r="BJ10" i="188" s="1"/>
  <c r="N13" i="188"/>
  <c r="BJ13" i="188" s="1"/>
  <c r="N12" i="188"/>
  <c r="BJ12" i="188" s="1"/>
  <c r="N28" i="188"/>
  <c r="BK13" i="188" s="1"/>
  <c r="N25" i="188"/>
  <c r="BK10" i="188" s="1"/>
  <c r="N27" i="188"/>
  <c r="BK12" i="188" s="1"/>
  <c r="N29" i="188"/>
  <c r="BK14" i="188" s="1"/>
  <c r="N30" i="188"/>
  <c r="BK15" i="188" s="1"/>
  <c r="N26" i="188"/>
  <c r="BK11" i="188" s="1"/>
  <c r="S52" i="189"/>
  <c r="S15" i="189"/>
  <c r="BO15" i="189" s="1"/>
  <c r="S11" i="189"/>
  <c r="BO11" i="189" s="1"/>
  <c r="S12" i="189"/>
  <c r="BO12" i="189" s="1"/>
  <c r="S14" i="189"/>
  <c r="BO14" i="189" s="1"/>
  <c r="S10" i="189"/>
  <c r="BO10" i="189" s="1"/>
  <c r="S13" i="189"/>
  <c r="BO13" i="189" s="1"/>
  <c r="S28" i="189"/>
  <c r="BP13" i="189" s="1"/>
  <c r="S26" i="189"/>
  <c r="BP11" i="189" s="1"/>
  <c r="S29" i="189"/>
  <c r="BP14" i="189" s="1"/>
  <c r="S27" i="189"/>
  <c r="BP12" i="189" s="1"/>
  <c r="S30" i="189"/>
  <c r="BP15" i="189" s="1"/>
  <c r="S25" i="189"/>
  <c r="BP10" i="189" s="1"/>
  <c r="W52" i="191"/>
  <c r="W13" i="191"/>
  <c r="BS13" i="191" s="1"/>
  <c r="W12" i="191"/>
  <c r="BS12" i="191" s="1"/>
  <c r="W15" i="191"/>
  <c r="BS15" i="191" s="1"/>
  <c r="W11" i="191"/>
  <c r="BS11" i="191" s="1"/>
  <c r="W14" i="191"/>
  <c r="BS14" i="191" s="1"/>
  <c r="W10" i="191"/>
  <c r="BS10" i="191" s="1"/>
  <c r="W30" i="191"/>
  <c r="BT15" i="191" s="1"/>
  <c r="W26" i="191"/>
  <c r="BT11" i="191" s="1"/>
  <c r="W29" i="191"/>
  <c r="BT14" i="191" s="1"/>
  <c r="W25" i="191"/>
  <c r="BT10" i="191" s="1"/>
  <c r="W28" i="191"/>
  <c r="BT13" i="191" s="1"/>
  <c r="W27" i="191"/>
  <c r="BT12" i="191" s="1"/>
  <c r="P13" i="190"/>
  <c r="BL13" i="190" s="1"/>
  <c r="P14" i="190"/>
  <c r="BL14" i="190" s="1"/>
  <c r="P12" i="190"/>
  <c r="P15" i="190"/>
  <c r="BL15" i="190" s="1"/>
  <c r="P11" i="190"/>
  <c r="BL11" i="190" s="1"/>
  <c r="P10" i="190"/>
  <c r="BL10" i="190" s="1"/>
  <c r="P30" i="190"/>
  <c r="P26" i="190"/>
  <c r="BM11" i="190" s="1"/>
  <c r="P29" i="190"/>
  <c r="BM14" i="190" s="1"/>
  <c r="P25" i="190"/>
  <c r="BM10" i="190" s="1"/>
  <c r="P27" i="190"/>
  <c r="BM12" i="190" s="1"/>
  <c r="P28" i="190"/>
  <c r="BM13" i="190" s="1"/>
  <c r="BL12" i="190"/>
  <c r="BM15" i="190"/>
  <c r="P52" i="190"/>
  <c r="AB52" i="192"/>
  <c r="AB13" i="192"/>
  <c r="BX13" i="192" s="1"/>
  <c r="AB12" i="192"/>
  <c r="BX12" i="192" s="1"/>
  <c r="AB15" i="192"/>
  <c r="BX15" i="192" s="1"/>
  <c r="AB11" i="192"/>
  <c r="BX11" i="192" s="1"/>
  <c r="AB14" i="192"/>
  <c r="BX14" i="192" s="1"/>
  <c r="AB10" i="192"/>
  <c r="BX10" i="192" s="1"/>
  <c r="AB25" i="192"/>
  <c r="BY10" i="192" s="1"/>
  <c r="AB29" i="192"/>
  <c r="BY14" i="192" s="1"/>
  <c r="AB26" i="192"/>
  <c r="BY11" i="192" s="1"/>
  <c r="AB30" i="192"/>
  <c r="BY15" i="192" s="1"/>
  <c r="AB27" i="192"/>
  <c r="BY12" i="192" s="1"/>
  <c r="AB28" i="192"/>
  <c r="BY13" i="192" s="1"/>
  <c r="AH52" i="193"/>
  <c r="AH13" i="193"/>
  <c r="CD13" i="193" s="1"/>
  <c r="AH12" i="193"/>
  <c r="CD12" i="193" s="1"/>
  <c r="AH14" i="193"/>
  <c r="CD14" i="193" s="1"/>
  <c r="AH15" i="193"/>
  <c r="CD15" i="193" s="1"/>
  <c r="AH11" i="193"/>
  <c r="CD11" i="193" s="1"/>
  <c r="AH10" i="193"/>
  <c r="CD10" i="193" s="1"/>
  <c r="AH30" i="193"/>
  <c r="CE15" i="193" s="1"/>
  <c r="AH26" i="193"/>
  <c r="CE11" i="193" s="1"/>
  <c r="AH27" i="193"/>
  <c r="CE12" i="193" s="1"/>
  <c r="AH29" i="193"/>
  <c r="CE14" i="193" s="1"/>
  <c r="AH25" i="193"/>
  <c r="CE10" i="193" s="1"/>
  <c r="AH28" i="193"/>
  <c r="CE13" i="193" s="1"/>
  <c r="T30" i="194"/>
  <c r="BQ15" i="194" s="1"/>
  <c r="T26" i="194"/>
  <c r="BQ11" i="194" s="1"/>
  <c r="T29" i="194"/>
  <c r="BQ14" i="194" s="1"/>
  <c r="T25" i="194"/>
  <c r="BQ10" i="194" s="1"/>
  <c r="T27" i="194"/>
  <c r="BQ12" i="194" s="1"/>
  <c r="T28" i="194"/>
  <c r="BQ13" i="194" s="1"/>
  <c r="T52" i="194"/>
  <c r="T13" i="194"/>
  <c r="BP13" i="194" s="1"/>
  <c r="T14" i="194"/>
  <c r="BP14" i="194" s="1"/>
  <c r="T12" i="194"/>
  <c r="BP12" i="194" s="1"/>
  <c r="T10" i="194"/>
  <c r="BP10" i="194" s="1"/>
  <c r="T15" i="194"/>
  <c r="BP15" i="194" s="1"/>
  <c r="T11" i="194"/>
  <c r="BP11" i="194" s="1"/>
  <c r="S30" i="195"/>
  <c r="BP15" i="195" s="1"/>
  <c r="S26" i="195"/>
  <c r="BP11" i="195" s="1"/>
  <c r="S27" i="195"/>
  <c r="BP12" i="195" s="1"/>
  <c r="S29" i="195"/>
  <c r="BP14" i="195" s="1"/>
  <c r="S25" i="195"/>
  <c r="BP10" i="195" s="1"/>
  <c r="S28" i="195"/>
  <c r="BP13" i="195" s="1"/>
  <c r="S52" i="195"/>
  <c r="S13" i="195"/>
  <c r="BO13" i="195" s="1"/>
  <c r="S12" i="195"/>
  <c r="BO12" i="195" s="1"/>
  <c r="S10" i="195"/>
  <c r="BO10" i="195" s="1"/>
  <c r="S15" i="195"/>
  <c r="BO15" i="195" s="1"/>
  <c r="S11" i="195"/>
  <c r="BO11" i="195" s="1"/>
  <c r="S14" i="195"/>
  <c r="BO14" i="195" s="1"/>
  <c r="X33" i="192"/>
  <c r="CF15" i="196"/>
  <c r="O20" i="191"/>
  <c r="R20" i="187"/>
  <c r="K14" i="190"/>
  <c r="AD15" i="187"/>
  <c r="AD52" i="187"/>
  <c r="Y33" i="192"/>
  <c r="N10" i="156"/>
  <c r="N26" i="156"/>
  <c r="R33" i="187"/>
  <c r="L33" i="187"/>
  <c r="P33" i="187"/>
  <c r="AD33" i="187"/>
  <c r="Z20" i="187"/>
  <c r="AD14" i="187"/>
  <c r="AD11" i="187"/>
  <c r="AC20" i="187"/>
  <c r="AD13" i="187"/>
  <c r="AD10" i="187"/>
  <c r="AD12" i="187"/>
  <c r="AB20" i="187"/>
  <c r="AD48" i="187"/>
  <c r="S20" i="187"/>
  <c r="Y33" i="187"/>
  <c r="AA33" i="187"/>
  <c r="T33" i="187"/>
  <c r="K33" i="187"/>
  <c r="X33" i="187"/>
  <c r="AF33" i="187"/>
  <c r="M33" i="187"/>
  <c r="U33" i="187"/>
  <c r="O33" i="187"/>
  <c r="W33" i="187"/>
  <c r="Q33" i="187"/>
  <c r="U51" i="193"/>
  <c r="J51" i="192"/>
  <c r="P43" i="191"/>
  <c r="P51" i="191"/>
  <c r="P47" i="191"/>
  <c r="U43" i="193"/>
  <c r="AD40" i="187"/>
  <c r="AD44" i="187"/>
  <c r="P44" i="187"/>
  <c r="P40" i="187"/>
  <c r="P48" i="187"/>
  <c r="AF48" i="187"/>
  <c r="AF44" i="187"/>
  <c r="AF40" i="187"/>
  <c r="AB48" i="187"/>
  <c r="AB40" i="187"/>
  <c r="AB44" i="187"/>
  <c r="K44" i="188"/>
  <c r="K48" i="188"/>
  <c r="K40" i="188"/>
  <c r="K51" i="188" s="1"/>
  <c r="M44" i="188"/>
  <c r="M48" i="188"/>
  <c r="M40" i="188"/>
  <c r="S48" i="189"/>
  <c r="S44" i="189"/>
  <c r="S40" i="189"/>
  <c r="Q48" i="189"/>
  <c r="Q44" i="189"/>
  <c r="Q40" i="189"/>
  <c r="S13" i="187"/>
  <c r="S44" i="187"/>
  <c r="S40" i="187"/>
  <c r="S48" i="187"/>
  <c r="Q48" i="195"/>
  <c r="Q44" i="195"/>
  <c r="Q40" i="195"/>
  <c r="M48" i="194"/>
  <c r="M40" i="194"/>
  <c r="M44" i="194"/>
  <c r="V48" i="193"/>
  <c r="V40" i="193"/>
  <c r="V44" i="193"/>
  <c r="T44" i="193"/>
  <c r="T48" i="193"/>
  <c r="T40" i="193"/>
  <c r="P48" i="192"/>
  <c r="P44" i="192"/>
  <c r="P40" i="192"/>
  <c r="M48" i="192"/>
  <c r="M40" i="192"/>
  <c r="M44" i="192"/>
  <c r="W44" i="192"/>
  <c r="W40" i="192"/>
  <c r="W51" i="192" s="1"/>
  <c r="W48" i="192"/>
  <c r="U44" i="191"/>
  <c r="U48" i="191"/>
  <c r="U40" i="191"/>
  <c r="O40" i="191"/>
  <c r="O44" i="191"/>
  <c r="O48" i="191"/>
  <c r="N48" i="191"/>
  <c r="N40" i="191"/>
  <c r="N44" i="191"/>
  <c r="R40" i="195"/>
  <c r="R44" i="195"/>
  <c r="R48" i="195"/>
  <c r="K44" i="195"/>
  <c r="K48" i="195"/>
  <c r="K40" i="195"/>
  <c r="S10" i="194"/>
  <c r="S40" i="194"/>
  <c r="S44" i="194"/>
  <c r="S48" i="194"/>
  <c r="AH48" i="193"/>
  <c r="AH44" i="193"/>
  <c r="AH40" i="193"/>
  <c r="AG14" i="193"/>
  <c r="AG44" i="193"/>
  <c r="AG48" i="193"/>
  <c r="AG40" i="193"/>
  <c r="W15" i="193"/>
  <c r="W44" i="193"/>
  <c r="W40" i="193"/>
  <c r="W48" i="193"/>
  <c r="L10" i="191"/>
  <c r="L44" i="191"/>
  <c r="L40" i="191"/>
  <c r="L48" i="191"/>
  <c r="M14" i="190"/>
  <c r="M44" i="190"/>
  <c r="M48" i="190"/>
  <c r="M40" i="190"/>
  <c r="AG48" i="187"/>
  <c r="AG44" i="187"/>
  <c r="AG40" i="187"/>
  <c r="N48" i="187"/>
  <c r="N44" i="187"/>
  <c r="N40" i="187"/>
  <c r="W10" i="187"/>
  <c r="W44" i="187"/>
  <c r="W40" i="187"/>
  <c r="W48" i="187"/>
  <c r="N44" i="189"/>
  <c r="N48" i="189"/>
  <c r="N40" i="189"/>
  <c r="P48" i="189"/>
  <c r="P40" i="189"/>
  <c r="P44" i="189"/>
  <c r="T44" i="194"/>
  <c r="T48" i="194"/>
  <c r="T40" i="194"/>
  <c r="N44" i="193"/>
  <c r="N48" i="193"/>
  <c r="N40" i="193"/>
  <c r="N51" i="193" s="1"/>
  <c r="L44" i="193"/>
  <c r="L40" i="193"/>
  <c r="L48" i="193"/>
  <c r="X44" i="192"/>
  <c r="X48" i="192"/>
  <c r="X40" i="192"/>
  <c r="AB44" i="192"/>
  <c r="AB48" i="192"/>
  <c r="AB40" i="192"/>
  <c r="V44" i="187"/>
  <c r="V40" i="187"/>
  <c r="V48" i="187"/>
  <c r="L44" i="187"/>
  <c r="L40" i="187"/>
  <c r="L48" i="187"/>
  <c r="J44" i="187"/>
  <c r="J40" i="187"/>
  <c r="J48" i="187"/>
  <c r="K48" i="187"/>
  <c r="K44" i="187"/>
  <c r="K40" i="187"/>
  <c r="R48" i="187"/>
  <c r="R44" i="187"/>
  <c r="R40" i="187"/>
  <c r="X48" i="187"/>
  <c r="X44" i="187"/>
  <c r="X40" i="187"/>
  <c r="AA11" i="187"/>
  <c r="AA44" i="187"/>
  <c r="AA40" i="187"/>
  <c r="AA48" i="187"/>
  <c r="Q11" i="187"/>
  <c r="Q44" i="187"/>
  <c r="Q40" i="187"/>
  <c r="Q48" i="187"/>
  <c r="R44" i="189"/>
  <c r="R48" i="189"/>
  <c r="R40" i="189"/>
  <c r="M44" i="189"/>
  <c r="M40" i="189"/>
  <c r="M48" i="189"/>
  <c r="M14" i="187"/>
  <c r="M44" i="187"/>
  <c r="M40" i="187"/>
  <c r="M48" i="187"/>
  <c r="M48" i="195"/>
  <c r="M40" i="195"/>
  <c r="M44" i="195"/>
  <c r="P40" i="194"/>
  <c r="P48" i="194"/>
  <c r="P44" i="194"/>
  <c r="R44" i="193"/>
  <c r="R40" i="193"/>
  <c r="R48" i="193"/>
  <c r="AF44" i="193"/>
  <c r="AF48" i="193"/>
  <c r="AF40" i="193"/>
  <c r="P44" i="193"/>
  <c r="P40" i="193"/>
  <c r="P48" i="193"/>
  <c r="T48" i="192"/>
  <c r="T44" i="192"/>
  <c r="T40" i="192"/>
  <c r="Q48" i="192"/>
  <c r="Q40" i="192"/>
  <c r="Q44" i="192"/>
  <c r="K44" i="192"/>
  <c r="K40" i="192"/>
  <c r="K48" i="192"/>
  <c r="AA44" i="192"/>
  <c r="AA48" i="192"/>
  <c r="AA40" i="192"/>
  <c r="Q44" i="191"/>
  <c r="Q48" i="191"/>
  <c r="Q40" i="191"/>
  <c r="K44" i="191"/>
  <c r="K48" i="191"/>
  <c r="K40" i="191"/>
  <c r="J48" i="191"/>
  <c r="J40" i="191"/>
  <c r="J44" i="191"/>
  <c r="L40" i="195"/>
  <c r="L44" i="195"/>
  <c r="L48" i="195"/>
  <c r="S48" i="195"/>
  <c r="S44" i="195"/>
  <c r="S40" i="195"/>
  <c r="N12" i="194"/>
  <c r="N48" i="194"/>
  <c r="N40" i="194"/>
  <c r="N44" i="194"/>
  <c r="K12" i="194"/>
  <c r="K44" i="194"/>
  <c r="K48" i="194"/>
  <c r="K40" i="194"/>
  <c r="AA15" i="193"/>
  <c r="AA44" i="193"/>
  <c r="AA40" i="193"/>
  <c r="AA48" i="193"/>
  <c r="Y14" i="193"/>
  <c r="Y44" i="193"/>
  <c r="Y48" i="193"/>
  <c r="Y40" i="193"/>
  <c r="O15" i="193"/>
  <c r="O48" i="193"/>
  <c r="O40" i="193"/>
  <c r="O44" i="193"/>
  <c r="T14" i="191"/>
  <c r="T40" i="191"/>
  <c r="T44" i="191"/>
  <c r="T48" i="191"/>
  <c r="AC14" i="193"/>
  <c r="AC44" i="193"/>
  <c r="AC48" i="193"/>
  <c r="AC40" i="193"/>
  <c r="J47" i="192"/>
  <c r="V44" i="191"/>
  <c r="V48" i="191"/>
  <c r="V40" i="191"/>
  <c r="N48" i="195"/>
  <c r="N40" i="195"/>
  <c r="N44" i="195"/>
  <c r="O44" i="195"/>
  <c r="O40" i="195"/>
  <c r="O48" i="195"/>
  <c r="O15" i="194"/>
  <c r="O44" i="194"/>
  <c r="O40" i="194"/>
  <c r="O48" i="194"/>
  <c r="R10" i="194"/>
  <c r="R40" i="194"/>
  <c r="R51" i="194" s="1"/>
  <c r="R48" i="194"/>
  <c r="R44" i="194"/>
  <c r="S13" i="193"/>
  <c r="S44" i="193"/>
  <c r="S40" i="193"/>
  <c r="S48" i="193"/>
  <c r="Q14" i="193"/>
  <c r="Q44" i="193"/>
  <c r="Q48" i="193"/>
  <c r="Q40" i="193"/>
  <c r="Z10" i="192"/>
  <c r="Z48" i="192"/>
  <c r="Z40" i="192"/>
  <c r="Z44" i="192"/>
  <c r="K15" i="190"/>
  <c r="K40" i="190"/>
  <c r="K51" i="190" s="1"/>
  <c r="K48" i="190"/>
  <c r="K44" i="190"/>
  <c r="M14" i="193"/>
  <c r="M44" i="193"/>
  <c r="M48" i="193"/>
  <c r="M40" i="193"/>
  <c r="AC44" i="187"/>
  <c r="AC40" i="187"/>
  <c r="AC48" i="187"/>
  <c r="Y48" i="187"/>
  <c r="Y44" i="187"/>
  <c r="Y40" i="187"/>
  <c r="T48" i="187"/>
  <c r="T44" i="187"/>
  <c r="T40" i="187"/>
  <c r="L48" i="188"/>
  <c r="L40" i="188"/>
  <c r="L51" i="188" s="1"/>
  <c r="L44" i="188"/>
  <c r="J40" i="188"/>
  <c r="J51" i="188" s="1"/>
  <c r="J48" i="188"/>
  <c r="J44" i="188"/>
  <c r="O40" i="189"/>
  <c r="O44" i="189"/>
  <c r="O48" i="189"/>
  <c r="L48" i="194"/>
  <c r="L40" i="194"/>
  <c r="L44" i="194"/>
  <c r="AD44" i="193"/>
  <c r="AD48" i="193"/>
  <c r="AD40" i="193"/>
  <c r="AB44" i="193"/>
  <c r="AB40" i="193"/>
  <c r="AB51" i="193" s="1"/>
  <c r="AB48" i="193"/>
  <c r="N40" i="192"/>
  <c r="N48" i="192"/>
  <c r="N44" i="192"/>
  <c r="U48" i="192"/>
  <c r="U40" i="192"/>
  <c r="U44" i="192"/>
  <c r="O48" i="192"/>
  <c r="O44" i="192"/>
  <c r="O40" i="192"/>
  <c r="V40" i="192"/>
  <c r="V44" i="192"/>
  <c r="V48" i="192"/>
  <c r="M44" i="191"/>
  <c r="M40" i="191"/>
  <c r="M48" i="191"/>
  <c r="N48" i="190"/>
  <c r="N44" i="190"/>
  <c r="N40" i="190"/>
  <c r="N51" i="190" s="1"/>
  <c r="W44" i="191"/>
  <c r="W48" i="191"/>
  <c r="W40" i="191"/>
  <c r="Z44" i="187"/>
  <c r="Z40" i="187"/>
  <c r="Z48" i="187"/>
  <c r="O48" i="187"/>
  <c r="O44" i="187"/>
  <c r="O40" i="187"/>
  <c r="U48" i="187"/>
  <c r="U44" i="187"/>
  <c r="U40" i="187"/>
  <c r="AE48" i="187"/>
  <c r="AE40" i="187"/>
  <c r="AE44" i="187"/>
  <c r="N40" i="188"/>
  <c r="N51" i="188" s="1"/>
  <c r="N48" i="188"/>
  <c r="N44" i="188"/>
  <c r="K48" i="189"/>
  <c r="K44" i="189"/>
  <c r="K40" i="189"/>
  <c r="J44" i="189"/>
  <c r="J48" i="189"/>
  <c r="J40" i="189"/>
  <c r="L48" i="189"/>
  <c r="L40" i="189"/>
  <c r="L44" i="189"/>
  <c r="Q44" i="194"/>
  <c r="Q40" i="194"/>
  <c r="Q48" i="194"/>
  <c r="Z44" i="193"/>
  <c r="Z40" i="193"/>
  <c r="Z48" i="193"/>
  <c r="J48" i="193"/>
  <c r="J44" i="193"/>
  <c r="J40" i="193"/>
  <c r="X44" i="193"/>
  <c r="X40" i="193"/>
  <c r="X48" i="193"/>
  <c r="L48" i="192"/>
  <c r="L44" i="192"/>
  <c r="L40" i="192"/>
  <c r="Y48" i="192"/>
  <c r="Y40" i="192"/>
  <c r="Y44" i="192"/>
  <c r="S44" i="192"/>
  <c r="S48" i="192"/>
  <c r="S40" i="192"/>
  <c r="J48" i="190"/>
  <c r="J44" i="190"/>
  <c r="J40" i="190"/>
  <c r="J51" i="190" s="1"/>
  <c r="S48" i="191"/>
  <c r="S44" i="191"/>
  <c r="S40" i="191"/>
  <c r="L40" i="190"/>
  <c r="L51" i="190" s="1"/>
  <c r="L48" i="190"/>
  <c r="L44" i="190"/>
  <c r="R44" i="191"/>
  <c r="R48" i="191"/>
  <c r="R40" i="191"/>
  <c r="P40" i="195"/>
  <c r="P48" i="195"/>
  <c r="P44" i="195"/>
  <c r="J44" i="195"/>
  <c r="J40" i="195"/>
  <c r="J48" i="195"/>
  <c r="J10" i="194"/>
  <c r="J40" i="194"/>
  <c r="J44" i="194"/>
  <c r="J48" i="194"/>
  <c r="K15" i="193"/>
  <c r="K44" i="193"/>
  <c r="K40" i="193"/>
  <c r="K51" i="193" s="1"/>
  <c r="K48" i="193"/>
  <c r="AE15" i="193"/>
  <c r="AE40" i="193"/>
  <c r="AE51" i="193" s="1"/>
  <c r="AE44" i="193"/>
  <c r="AE48" i="193"/>
  <c r="R10" i="192"/>
  <c r="R40" i="192"/>
  <c r="R44" i="192"/>
  <c r="R48" i="192"/>
  <c r="O15" i="190"/>
  <c r="O44" i="190"/>
  <c r="O40" i="190"/>
  <c r="O48" i="190"/>
  <c r="P40" i="190"/>
  <c r="P51" i="190" s="1"/>
  <c r="P44" i="190"/>
  <c r="P48" i="190"/>
  <c r="J43" i="192"/>
  <c r="P15" i="195"/>
  <c r="J15" i="195"/>
  <c r="R15" i="195"/>
  <c r="L12" i="195"/>
  <c r="N15" i="195"/>
  <c r="O14" i="195"/>
  <c r="V33" i="192"/>
  <c r="O20" i="189"/>
  <c r="L20" i="187"/>
  <c r="AK29" i="196"/>
  <c r="AK14" i="196"/>
  <c r="AK25" i="196"/>
  <c r="AK10" i="196"/>
  <c r="AK11" i="196"/>
  <c r="AK26" i="196"/>
  <c r="CF10" i="196"/>
  <c r="AK27" i="196"/>
  <c r="AK12" i="196"/>
  <c r="AK13" i="196"/>
  <c r="AK28" i="196"/>
  <c r="AK15" i="196"/>
  <c r="AK30" i="196"/>
  <c r="CF11" i="196"/>
  <c r="CF12" i="196"/>
  <c r="CF14" i="196"/>
  <c r="CF13" i="196"/>
  <c r="N57" i="194"/>
  <c r="N63" i="194" s="1"/>
  <c r="M57" i="194"/>
  <c r="M90" i="194" s="1"/>
  <c r="Y57" i="193"/>
  <c r="Y89" i="193" s="1"/>
  <c r="O57" i="193"/>
  <c r="O83" i="193" s="1"/>
  <c r="S57" i="193"/>
  <c r="S74" i="193" s="1"/>
  <c r="N57" i="192"/>
  <c r="N90" i="192" s="1"/>
  <c r="W57" i="192"/>
  <c r="W83" i="192" s="1"/>
  <c r="M57" i="192"/>
  <c r="M89" i="192" s="1"/>
  <c r="N57" i="190"/>
  <c r="N87" i="190" s="1"/>
  <c r="L29" i="190"/>
  <c r="T57" i="191"/>
  <c r="T91" i="191" s="1"/>
  <c r="V57" i="191"/>
  <c r="V92" i="191" s="1"/>
  <c r="P57" i="189"/>
  <c r="P86" i="189" s="1"/>
  <c r="K57" i="188"/>
  <c r="K87" i="188" s="1"/>
  <c r="K57" i="187"/>
  <c r="U92" i="187" s="1"/>
  <c r="J33" i="193"/>
  <c r="AH57" i="193"/>
  <c r="AH68" i="193" s="1"/>
  <c r="J33" i="192"/>
  <c r="AB57" i="192"/>
  <c r="AB92" i="192" s="1"/>
  <c r="J57" i="190"/>
  <c r="J90" i="190" s="1"/>
  <c r="T15" i="191"/>
  <c r="J33" i="191"/>
  <c r="W57" i="191"/>
  <c r="W85" i="191" s="1"/>
  <c r="J33" i="189"/>
  <c r="S57" i="189"/>
  <c r="S90" i="189" s="1"/>
  <c r="J33" i="188"/>
  <c r="N57" i="188"/>
  <c r="J33" i="187"/>
  <c r="AG57" i="187"/>
  <c r="AG92" i="187" s="1"/>
  <c r="J33" i="194"/>
  <c r="T57" i="194"/>
  <c r="T67" i="194" s="1"/>
  <c r="J57" i="194"/>
  <c r="J90" i="194" s="1"/>
  <c r="P57" i="194"/>
  <c r="P92" i="194" s="1"/>
  <c r="R57" i="194"/>
  <c r="R82" i="194" s="1"/>
  <c r="L57" i="194"/>
  <c r="Q57" i="193"/>
  <c r="Q89" i="193" s="1"/>
  <c r="W57" i="193"/>
  <c r="W83" i="193" s="1"/>
  <c r="L57" i="193"/>
  <c r="L90" i="193" s="1"/>
  <c r="AB57" i="193"/>
  <c r="AB86" i="193" s="1"/>
  <c r="K57" i="193"/>
  <c r="K87" i="193" s="1"/>
  <c r="X57" i="193"/>
  <c r="X86" i="193" s="1"/>
  <c r="O13" i="193"/>
  <c r="J57" i="193"/>
  <c r="J89" i="193" s="1"/>
  <c r="Z57" i="193"/>
  <c r="Z84" i="193" s="1"/>
  <c r="P57" i="193"/>
  <c r="P89" i="193" s="1"/>
  <c r="AF57" i="193"/>
  <c r="AF89" i="193" s="1"/>
  <c r="AG57" i="193"/>
  <c r="AG65" i="193" s="1"/>
  <c r="U57" i="193"/>
  <c r="U85" i="193" s="1"/>
  <c r="AD57" i="193"/>
  <c r="AD84" i="193" s="1"/>
  <c r="T57" i="193"/>
  <c r="T89" i="193" s="1"/>
  <c r="AA57" i="193"/>
  <c r="AA91" i="193" s="1"/>
  <c r="Y57" i="192"/>
  <c r="Y81" i="192" s="1"/>
  <c r="K57" i="192"/>
  <c r="K89" i="192" s="1"/>
  <c r="O57" i="192"/>
  <c r="O92" i="192" s="1"/>
  <c r="P57" i="192"/>
  <c r="Z57" i="192"/>
  <c r="Z90" i="192" s="1"/>
  <c r="J57" i="192"/>
  <c r="J86" i="192" s="1"/>
  <c r="S57" i="192"/>
  <c r="S89" i="192" s="1"/>
  <c r="AA57" i="192"/>
  <c r="AA83" i="192" s="1"/>
  <c r="M57" i="190"/>
  <c r="M89" i="190" s="1"/>
  <c r="L57" i="190"/>
  <c r="L70" i="190" s="1"/>
  <c r="J57" i="191"/>
  <c r="J88" i="191" s="1"/>
  <c r="N57" i="191"/>
  <c r="N84" i="191" s="1"/>
  <c r="L57" i="191"/>
  <c r="L91" i="191" s="1"/>
  <c r="K57" i="191"/>
  <c r="K88" i="191" s="1"/>
  <c r="R57" i="191"/>
  <c r="R90" i="191" s="1"/>
  <c r="O57" i="189"/>
  <c r="O84" i="189" s="1"/>
  <c r="N57" i="189"/>
  <c r="N87" i="189" s="1"/>
  <c r="L57" i="188"/>
  <c r="L82" i="188" s="1"/>
  <c r="M57" i="188"/>
  <c r="M90" i="188" s="1"/>
  <c r="S57" i="187"/>
  <c r="Y57" i="187"/>
  <c r="Q91" i="187" s="1"/>
  <c r="M57" i="187"/>
  <c r="M90" i="187" s="1"/>
  <c r="L57" i="187"/>
  <c r="Z90" i="187" s="1"/>
  <c r="N57" i="187"/>
  <c r="N65" i="187" s="1"/>
  <c r="T57" i="187"/>
  <c r="AC57" i="187"/>
  <c r="AC85" i="187" s="1"/>
  <c r="W20" i="187"/>
  <c r="S12" i="187"/>
  <c r="Q20" i="193"/>
  <c r="AA20" i="192"/>
  <c r="S20" i="191"/>
  <c r="P57" i="187"/>
  <c r="P90" i="187" s="1"/>
  <c r="V57" i="187"/>
  <c r="AF57" i="187"/>
  <c r="AF85" i="187" s="1"/>
  <c r="AA57" i="187"/>
  <c r="Q89" i="194"/>
  <c r="Q85" i="194"/>
  <c r="Q81" i="194"/>
  <c r="Q80" i="194"/>
  <c r="Q90" i="194"/>
  <c r="Q86" i="194"/>
  <c r="Q82" i="194"/>
  <c r="Q88" i="194"/>
  <c r="Q84" i="194"/>
  <c r="Q91" i="194"/>
  <c r="Q87" i="194"/>
  <c r="Q83" i="194"/>
  <c r="Q92" i="194"/>
  <c r="S91" i="194"/>
  <c r="S87" i="194"/>
  <c r="S83" i="194"/>
  <c r="S82" i="194"/>
  <c r="S92" i="194"/>
  <c r="S88" i="194"/>
  <c r="S84" i="194"/>
  <c r="S80" i="194"/>
  <c r="S90" i="194"/>
  <c r="S86" i="194"/>
  <c r="S89" i="194"/>
  <c r="S85" i="194"/>
  <c r="S81" i="194"/>
  <c r="K91" i="194"/>
  <c r="K87" i="194"/>
  <c r="K83" i="194"/>
  <c r="K86" i="194"/>
  <c r="K92" i="194"/>
  <c r="K88" i="194"/>
  <c r="K84" i="194"/>
  <c r="K80" i="194"/>
  <c r="K90" i="194"/>
  <c r="K89" i="194"/>
  <c r="K85" i="194"/>
  <c r="K81" i="194"/>
  <c r="K82" i="194"/>
  <c r="O91" i="194"/>
  <c r="O87" i="194"/>
  <c r="O83" i="194"/>
  <c r="O92" i="194"/>
  <c r="O88" i="194"/>
  <c r="O84" i="194"/>
  <c r="O80" i="194"/>
  <c r="O82" i="194"/>
  <c r="O89" i="194"/>
  <c r="O85" i="194"/>
  <c r="O81" i="194"/>
  <c r="O90" i="194"/>
  <c r="O86" i="194"/>
  <c r="M11" i="193"/>
  <c r="M15" i="193"/>
  <c r="U20" i="191"/>
  <c r="AF20" i="187"/>
  <c r="X20" i="187"/>
  <c r="M12" i="193"/>
  <c r="M13" i="193"/>
  <c r="AC10" i="193"/>
  <c r="M10" i="193"/>
  <c r="O12" i="193"/>
  <c r="AE12" i="193"/>
  <c r="N13" i="195"/>
  <c r="J12" i="194"/>
  <c r="S12" i="194"/>
  <c r="S14" i="194"/>
  <c r="J15" i="194"/>
  <c r="AE13" i="193"/>
  <c r="N92" i="193"/>
  <c r="N88" i="193"/>
  <c r="N84" i="193"/>
  <c r="N80" i="193"/>
  <c r="N91" i="193"/>
  <c r="N87" i="193"/>
  <c r="N83" i="193"/>
  <c r="N90" i="193"/>
  <c r="N86" i="193"/>
  <c r="N82" i="193"/>
  <c r="N89" i="193"/>
  <c r="N85" i="193"/>
  <c r="N81" i="193"/>
  <c r="AC13" i="193"/>
  <c r="AC89" i="193"/>
  <c r="AC85" i="193"/>
  <c r="AC81" i="193"/>
  <c r="AC92" i="193"/>
  <c r="AC88" i="193"/>
  <c r="AC84" i="193"/>
  <c r="AC80" i="193"/>
  <c r="AC91" i="193"/>
  <c r="AC87" i="193"/>
  <c r="AC83" i="193"/>
  <c r="AC86" i="193"/>
  <c r="AC82" i="193"/>
  <c r="AC90" i="193"/>
  <c r="AE11" i="193"/>
  <c r="M89" i="193"/>
  <c r="M85" i="193"/>
  <c r="M81" i="193"/>
  <c r="M92" i="193"/>
  <c r="M88" i="193"/>
  <c r="M84" i="193"/>
  <c r="M80" i="193"/>
  <c r="M91" i="193"/>
  <c r="M87" i="193"/>
  <c r="M83" i="193"/>
  <c r="M86" i="193"/>
  <c r="M90" i="193"/>
  <c r="M82" i="193"/>
  <c r="R92" i="193"/>
  <c r="R88" i="193"/>
  <c r="R84" i="193"/>
  <c r="R80" i="193"/>
  <c r="R91" i="193"/>
  <c r="R87" i="193"/>
  <c r="R83" i="193"/>
  <c r="R90" i="193"/>
  <c r="R86" i="193"/>
  <c r="R82" i="193"/>
  <c r="R89" i="193"/>
  <c r="R85" i="193"/>
  <c r="R81" i="193"/>
  <c r="AC15" i="193"/>
  <c r="K12" i="193"/>
  <c r="Y20" i="193"/>
  <c r="AE91" i="193"/>
  <c r="AE87" i="193"/>
  <c r="AE83" i="193"/>
  <c r="AE90" i="193"/>
  <c r="AE86" i="193"/>
  <c r="AE82" i="193"/>
  <c r="AE89" i="193"/>
  <c r="AE85" i="193"/>
  <c r="AE81" i="193"/>
  <c r="AE92" i="193"/>
  <c r="AE84" i="193"/>
  <c r="AE88" i="193"/>
  <c r="AE80" i="193"/>
  <c r="AC12" i="193"/>
  <c r="K11" i="193"/>
  <c r="V92" i="193"/>
  <c r="V88" i="193"/>
  <c r="V84" i="193"/>
  <c r="V80" i="193"/>
  <c r="V91" i="193"/>
  <c r="V87" i="193"/>
  <c r="V83" i="193"/>
  <c r="V90" i="193"/>
  <c r="V86" i="193"/>
  <c r="V82" i="193"/>
  <c r="V85" i="193"/>
  <c r="V81" i="193"/>
  <c r="V89" i="193"/>
  <c r="AC11" i="193"/>
  <c r="R12" i="192"/>
  <c r="T92" i="192"/>
  <c r="T88" i="192"/>
  <c r="T84" i="192"/>
  <c r="T80" i="192"/>
  <c r="T86" i="192"/>
  <c r="T89" i="192"/>
  <c r="T85" i="192"/>
  <c r="T81" i="192"/>
  <c r="T90" i="192"/>
  <c r="T91" i="192"/>
  <c r="T87" i="192"/>
  <c r="T83" i="192"/>
  <c r="T82" i="192"/>
  <c r="U89" i="192"/>
  <c r="U85" i="192"/>
  <c r="U81" i="192"/>
  <c r="U87" i="192"/>
  <c r="U90" i="192"/>
  <c r="U86" i="192"/>
  <c r="U82" i="192"/>
  <c r="U91" i="192"/>
  <c r="U88" i="192"/>
  <c r="U84" i="192"/>
  <c r="U83" i="192"/>
  <c r="U92" i="192"/>
  <c r="U80" i="192"/>
  <c r="L92" i="192"/>
  <c r="L88" i="192"/>
  <c r="L84" i="192"/>
  <c r="L80" i="192"/>
  <c r="L86" i="192"/>
  <c r="L89" i="192"/>
  <c r="L85" i="192"/>
  <c r="L81" i="192"/>
  <c r="L90" i="192"/>
  <c r="L91" i="192"/>
  <c r="L83" i="192"/>
  <c r="L82" i="192"/>
  <c r="L87" i="192"/>
  <c r="V90" i="192"/>
  <c r="V86" i="192"/>
  <c r="V82" i="192"/>
  <c r="V92" i="192"/>
  <c r="V91" i="192"/>
  <c r="V87" i="192"/>
  <c r="V83" i="192"/>
  <c r="V88" i="192"/>
  <c r="V80" i="192"/>
  <c r="V89" i="192"/>
  <c r="V84" i="192"/>
  <c r="V85" i="192"/>
  <c r="V81" i="192"/>
  <c r="Q89" i="192"/>
  <c r="Q85" i="192"/>
  <c r="Q81" i="192"/>
  <c r="Q90" i="192"/>
  <c r="Q86" i="192"/>
  <c r="Q82" i="192"/>
  <c r="Q91" i="192"/>
  <c r="Q87" i="192"/>
  <c r="Q80" i="192"/>
  <c r="Q88" i="192"/>
  <c r="Q84" i="192"/>
  <c r="Q92" i="192"/>
  <c r="Q83" i="192"/>
  <c r="X92" i="192"/>
  <c r="X88" i="192"/>
  <c r="X84" i="192"/>
  <c r="X80" i="192"/>
  <c r="X90" i="192"/>
  <c r="X89" i="192"/>
  <c r="X85" i="192"/>
  <c r="X81" i="192"/>
  <c r="X86" i="192"/>
  <c r="X87" i="192"/>
  <c r="X82" i="192"/>
  <c r="X83" i="192"/>
  <c r="X91" i="192"/>
  <c r="R90" i="192"/>
  <c r="R86" i="192"/>
  <c r="R82" i="192"/>
  <c r="R88" i="192"/>
  <c r="R84" i="192"/>
  <c r="R91" i="192"/>
  <c r="R87" i="192"/>
  <c r="R83" i="192"/>
  <c r="R92" i="192"/>
  <c r="R89" i="192"/>
  <c r="R81" i="192"/>
  <c r="R80" i="192"/>
  <c r="R85" i="192"/>
  <c r="K20" i="192"/>
  <c r="K91" i="190"/>
  <c r="K87" i="190"/>
  <c r="K83" i="190"/>
  <c r="K90" i="190"/>
  <c r="K86" i="190"/>
  <c r="K82" i="190"/>
  <c r="K92" i="190"/>
  <c r="K88" i="190"/>
  <c r="K84" i="190"/>
  <c r="K80" i="190"/>
  <c r="K89" i="190"/>
  <c r="K85" i="190"/>
  <c r="K81" i="190"/>
  <c r="O91" i="190"/>
  <c r="O87" i="190"/>
  <c r="O83" i="190"/>
  <c r="O92" i="190"/>
  <c r="O88" i="190"/>
  <c r="O84" i="190"/>
  <c r="O80" i="190"/>
  <c r="O89" i="190"/>
  <c r="O85" i="190"/>
  <c r="O81" i="190"/>
  <c r="O90" i="190"/>
  <c r="O86" i="190"/>
  <c r="O82" i="190"/>
  <c r="Q91" i="191"/>
  <c r="Q89" i="191"/>
  <c r="Q87" i="191"/>
  <c r="Q85" i="191"/>
  <c r="Q83" i="191"/>
  <c r="Q81" i="191"/>
  <c r="Q92" i="191"/>
  <c r="Q90" i="191"/>
  <c r="Q88" i="191"/>
  <c r="Q86" i="191"/>
  <c r="Q84" i="191"/>
  <c r="Q82" i="191"/>
  <c r="Q80" i="191"/>
  <c r="O92" i="191"/>
  <c r="O90" i="191"/>
  <c r="O88" i="191"/>
  <c r="O86" i="191"/>
  <c r="O84" i="191"/>
  <c r="O82" i="191"/>
  <c r="O80" i="191"/>
  <c r="O91" i="191"/>
  <c r="O89" i="191"/>
  <c r="O87" i="191"/>
  <c r="O85" i="191"/>
  <c r="O83" i="191"/>
  <c r="O81" i="191"/>
  <c r="M91" i="191"/>
  <c r="M89" i="191"/>
  <c r="M87" i="191"/>
  <c r="M85" i="191"/>
  <c r="M83" i="191"/>
  <c r="M81" i="191"/>
  <c r="M92" i="191"/>
  <c r="M90" i="191"/>
  <c r="M88" i="191"/>
  <c r="M86" i="191"/>
  <c r="M84" i="191"/>
  <c r="M82" i="191"/>
  <c r="M80" i="191"/>
  <c r="P92" i="191"/>
  <c r="P88" i="191"/>
  <c r="P84" i="191"/>
  <c r="P91" i="191"/>
  <c r="P89" i="191"/>
  <c r="P87" i="191"/>
  <c r="P85" i="191"/>
  <c r="P83" i="191"/>
  <c r="P81" i="191"/>
  <c r="P80" i="191"/>
  <c r="P90" i="191"/>
  <c r="P86" i="191"/>
  <c r="P82" i="191"/>
  <c r="S92" i="191"/>
  <c r="S90" i="191"/>
  <c r="S88" i="191"/>
  <c r="S86" i="191"/>
  <c r="S84" i="191"/>
  <c r="S82" i="191"/>
  <c r="S80" i="191"/>
  <c r="S91" i="191"/>
  <c r="S89" i="191"/>
  <c r="S87" i="191"/>
  <c r="S85" i="191"/>
  <c r="S83" i="191"/>
  <c r="S81" i="191"/>
  <c r="U91" i="191"/>
  <c r="U89" i="191"/>
  <c r="U87" i="191"/>
  <c r="U85" i="191"/>
  <c r="U83" i="191"/>
  <c r="U81" i="191"/>
  <c r="U92" i="191"/>
  <c r="U90" i="191"/>
  <c r="U88" i="191"/>
  <c r="U86" i="191"/>
  <c r="U84" i="191"/>
  <c r="U82" i="191"/>
  <c r="U80" i="191"/>
  <c r="Q91" i="189"/>
  <c r="Q89" i="189"/>
  <c r="Q87" i="189"/>
  <c r="Q85" i="189"/>
  <c r="Q83" i="189"/>
  <c r="Q81" i="189"/>
  <c r="Q92" i="189"/>
  <c r="Q90" i="189"/>
  <c r="Q88" i="189"/>
  <c r="Q86" i="189"/>
  <c r="Q84" i="189"/>
  <c r="Q82" i="189"/>
  <c r="Q80" i="189"/>
  <c r="L90" i="189"/>
  <c r="L84" i="189"/>
  <c r="L91" i="189"/>
  <c r="L89" i="189"/>
  <c r="L87" i="189"/>
  <c r="L85" i="189"/>
  <c r="L83" i="189"/>
  <c r="L81" i="189"/>
  <c r="L92" i="189"/>
  <c r="L86" i="189"/>
  <c r="L82" i="189"/>
  <c r="L88" i="189"/>
  <c r="L80" i="189"/>
  <c r="R91" i="189"/>
  <c r="R81" i="189"/>
  <c r="R92" i="189"/>
  <c r="R90" i="189"/>
  <c r="R88" i="189"/>
  <c r="R86" i="189"/>
  <c r="R84" i="189"/>
  <c r="R82" i="189"/>
  <c r="R80" i="189"/>
  <c r="R87" i="189"/>
  <c r="R83" i="189"/>
  <c r="R89" i="189"/>
  <c r="R85" i="189"/>
  <c r="M91" i="189"/>
  <c r="M89" i="189"/>
  <c r="M87" i="189"/>
  <c r="M85" i="189"/>
  <c r="M83" i="189"/>
  <c r="M81" i="189"/>
  <c r="M92" i="189"/>
  <c r="M90" i="189"/>
  <c r="M88" i="189"/>
  <c r="M86" i="189"/>
  <c r="M84" i="189"/>
  <c r="M82" i="189"/>
  <c r="M80" i="189"/>
  <c r="K92" i="189"/>
  <c r="K90" i="189"/>
  <c r="K88" i="189"/>
  <c r="K86" i="189"/>
  <c r="K84" i="189"/>
  <c r="K82" i="189"/>
  <c r="K80" i="189"/>
  <c r="K91" i="189"/>
  <c r="K89" i="189"/>
  <c r="K87" i="189"/>
  <c r="K85" i="189"/>
  <c r="K83" i="189"/>
  <c r="K81" i="189"/>
  <c r="J91" i="189"/>
  <c r="J83" i="189"/>
  <c r="J92" i="189"/>
  <c r="J90" i="189"/>
  <c r="J88" i="189"/>
  <c r="J86" i="189"/>
  <c r="J84" i="189"/>
  <c r="J82" i="189"/>
  <c r="J80" i="189"/>
  <c r="J85" i="189"/>
  <c r="J81" i="189"/>
  <c r="J89" i="189"/>
  <c r="J87" i="189"/>
  <c r="J92" i="188"/>
  <c r="J88" i="188"/>
  <c r="J84" i="188"/>
  <c r="J80" i="188"/>
  <c r="J91" i="188"/>
  <c r="J87" i="188"/>
  <c r="J83" i="188"/>
  <c r="J90" i="188"/>
  <c r="J86" i="188"/>
  <c r="J82" i="188"/>
  <c r="J89" i="188"/>
  <c r="J85" i="188"/>
  <c r="J81" i="188"/>
  <c r="R89" i="187"/>
  <c r="R85" i="187"/>
  <c r="R81" i="187"/>
  <c r="W92" i="187"/>
  <c r="W91" i="187"/>
  <c r="W89" i="187"/>
  <c r="W87" i="187"/>
  <c r="W85" i="187"/>
  <c r="W82" i="187"/>
  <c r="W80" i="187"/>
  <c r="W90" i="187"/>
  <c r="W88" i="187"/>
  <c r="W86" i="187"/>
  <c r="W84" i="187"/>
  <c r="W83" i="187"/>
  <c r="W81" i="187"/>
  <c r="X92" i="187"/>
  <c r="X91" i="187"/>
  <c r="X90" i="187"/>
  <c r="X89" i="187"/>
  <c r="X88" i="187"/>
  <c r="X87" i="187"/>
  <c r="X86" i="187"/>
  <c r="X85" i="187"/>
  <c r="X84" i="187"/>
  <c r="X83" i="187"/>
  <c r="X82" i="187"/>
  <c r="X81" i="187"/>
  <c r="X80" i="187"/>
  <c r="J92" i="187"/>
  <c r="J90" i="187"/>
  <c r="J89" i="187"/>
  <c r="J88" i="187"/>
  <c r="J87" i="187"/>
  <c r="J86" i="187"/>
  <c r="J85" i="187"/>
  <c r="J84" i="187"/>
  <c r="J83" i="187"/>
  <c r="J82" i="187"/>
  <c r="J81" i="187"/>
  <c r="J80" i="187"/>
  <c r="J91" i="187"/>
  <c r="S10" i="187"/>
  <c r="P84" i="187"/>
  <c r="AE91" i="187"/>
  <c r="AE92" i="187"/>
  <c r="AE90" i="187"/>
  <c r="AE88" i="187"/>
  <c r="AE86" i="187"/>
  <c r="AE84" i="187"/>
  <c r="AE83" i="187"/>
  <c r="AE81" i="187"/>
  <c r="AE89" i="187"/>
  <c r="AE87" i="187"/>
  <c r="AE85" i="187"/>
  <c r="AE82" i="187"/>
  <c r="AE80" i="187"/>
  <c r="O88" i="187"/>
  <c r="O81" i="187"/>
  <c r="O85" i="187"/>
  <c r="R92" i="195"/>
  <c r="R90" i="195"/>
  <c r="R88" i="195"/>
  <c r="R86" i="195"/>
  <c r="R84" i="195"/>
  <c r="R82" i="195"/>
  <c r="R80" i="195"/>
  <c r="R91" i="195"/>
  <c r="R89" i="195"/>
  <c r="R87" i="195"/>
  <c r="R85" i="195"/>
  <c r="R83" i="195"/>
  <c r="R81" i="195"/>
  <c r="M91" i="195"/>
  <c r="M89" i="195"/>
  <c r="M87" i="195"/>
  <c r="M85" i="195"/>
  <c r="M83" i="195"/>
  <c r="M81" i="195"/>
  <c r="M92" i="195"/>
  <c r="M88" i="195"/>
  <c r="M84" i="195"/>
  <c r="M80" i="195"/>
  <c r="M90" i="195"/>
  <c r="M86" i="195"/>
  <c r="M82" i="195"/>
  <c r="S92" i="195"/>
  <c r="S90" i="195"/>
  <c r="S88" i="195"/>
  <c r="S86" i="195"/>
  <c r="S84" i="195"/>
  <c r="S82" i="195"/>
  <c r="S80" i="195"/>
  <c r="S89" i="195"/>
  <c r="S85" i="195"/>
  <c r="S81" i="195"/>
  <c r="S87" i="195"/>
  <c r="S83" i="195"/>
  <c r="S91" i="195"/>
  <c r="Q91" i="195"/>
  <c r="Q89" i="195"/>
  <c r="Q87" i="195"/>
  <c r="Q85" i="195"/>
  <c r="Q83" i="195"/>
  <c r="Q81" i="195"/>
  <c r="Q90" i="195"/>
  <c r="Q86" i="195"/>
  <c r="Q82" i="195"/>
  <c r="Q92" i="195"/>
  <c r="Q88" i="195"/>
  <c r="Q84" i="195"/>
  <c r="Q80" i="195"/>
  <c r="K92" i="195"/>
  <c r="K90" i="195"/>
  <c r="K88" i="195"/>
  <c r="K86" i="195"/>
  <c r="K84" i="195"/>
  <c r="K82" i="195"/>
  <c r="K80" i="195"/>
  <c r="K91" i="195"/>
  <c r="K89" i="195"/>
  <c r="K85" i="195"/>
  <c r="K81" i="195"/>
  <c r="K87" i="195"/>
  <c r="K83" i="195"/>
  <c r="L91" i="195"/>
  <c r="L89" i="195"/>
  <c r="L87" i="195"/>
  <c r="L85" i="195"/>
  <c r="L83" i="195"/>
  <c r="L81" i="195"/>
  <c r="L92" i="195"/>
  <c r="L90" i="195"/>
  <c r="L88" i="195"/>
  <c r="L86" i="195"/>
  <c r="L84" i="195"/>
  <c r="L82" i="195"/>
  <c r="L80" i="195"/>
  <c r="N92" i="195"/>
  <c r="N90" i="195"/>
  <c r="N88" i="195"/>
  <c r="N86" i="195"/>
  <c r="N84" i="195"/>
  <c r="N82" i="195"/>
  <c r="N80" i="195"/>
  <c r="N91" i="195"/>
  <c r="N89" i="195"/>
  <c r="N87" i="195"/>
  <c r="N85" i="195"/>
  <c r="N83" i="195"/>
  <c r="N81" i="195"/>
  <c r="O92" i="195"/>
  <c r="O90" i="195"/>
  <c r="O88" i="195"/>
  <c r="O86" i="195"/>
  <c r="O84" i="195"/>
  <c r="O82" i="195"/>
  <c r="O80" i="195"/>
  <c r="O87" i="195"/>
  <c r="O83" i="195"/>
  <c r="O91" i="195"/>
  <c r="O89" i="195"/>
  <c r="O85" i="195"/>
  <c r="O81" i="195"/>
  <c r="P91" i="195"/>
  <c r="P89" i="195"/>
  <c r="P87" i="195"/>
  <c r="P85" i="195"/>
  <c r="P83" i="195"/>
  <c r="P81" i="195"/>
  <c r="P92" i="195"/>
  <c r="P90" i="195"/>
  <c r="P88" i="195"/>
  <c r="P86" i="195"/>
  <c r="P84" i="195"/>
  <c r="P82" i="195"/>
  <c r="P80" i="195"/>
  <c r="J92" i="195"/>
  <c r="J90" i="195"/>
  <c r="J88" i="195"/>
  <c r="J86" i="195"/>
  <c r="J84" i="195"/>
  <c r="J82" i="195"/>
  <c r="J80" i="195"/>
  <c r="J91" i="195"/>
  <c r="J89" i="195"/>
  <c r="J87" i="195"/>
  <c r="J85" i="195"/>
  <c r="J83" i="195"/>
  <c r="J81" i="195"/>
  <c r="J14" i="194"/>
  <c r="J13" i="194"/>
  <c r="AA14" i="193"/>
  <c r="O10" i="190"/>
  <c r="Q75" i="191"/>
  <c r="Q73" i="191"/>
  <c r="Q71" i="191"/>
  <c r="Q69" i="191"/>
  <c r="Q67" i="191"/>
  <c r="Q65" i="191"/>
  <c r="Q64" i="191"/>
  <c r="Q63" i="191"/>
  <c r="Q68" i="191"/>
  <c r="Q74" i="191"/>
  <c r="Q70" i="191"/>
  <c r="Q66" i="191"/>
  <c r="Q72" i="191"/>
  <c r="U75" i="191"/>
  <c r="U73" i="191"/>
  <c r="U71" i="191"/>
  <c r="U69" i="191"/>
  <c r="U67" i="191"/>
  <c r="U65" i="191"/>
  <c r="U70" i="191"/>
  <c r="U72" i="191"/>
  <c r="U68" i="191"/>
  <c r="U64" i="191"/>
  <c r="U74" i="191"/>
  <c r="U66" i="191"/>
  <c r="U63" i="191"/>
  <c r="M75" i="191"/>
  <c r="M73" i="191"/>
  <c r="M71" i="191"/>
  <c r="M69" i="191"/>
  <c r="M67" i="191"/>
  <c r="M65" i="191"/>
  <c r="M74" i="191"/>
  <c r="M66" i="191"/>
  <c r="M64" i="191"/>
  <c r="M72" i="191"/>
  <c r="M68" i="191"/>
  <c r="M63" i="191"/>
  <c r="M70" i="191"/>
  <c r="P74" i="191"/>
  <c r="P72" i="191"/>
  <c r="P70" i="191"/>
  <c r="P68" i="191"/>
  <c r="P66" i="191"/>
  <c r="P64" i="191"/>
  <c r="P73" i="191"/>
  <c r="P69" i="191"/>
  <c r="P65" i="191"/>
  <c r="P71" i="191"/>
  <c r="P63" i="191"/>
  <c r="P75" i="191"/>
  <c r="P67" i="191"/>
  <c r="O74" i="191"/>
  <c r="O72" i="191"/>
  <c r="O70" i="191"/>
  <c r="O68" i="191"/>
  <c r="O66" i="191"/>
  <c r="O63" i="191"/>
  <c r="O75" i="191"/>
  <c r="O67" i="191"/>
  <c r="O73" i="191"/>
  <c r="O69" i="191"/>
  <c r="O65" i="191"/>
  <c r="O64" i="191"/>
  <c r="O71" i="191"/>
  <c r="S74" i="191"/>
  <c r="S72" i="191"/>
  <c r="S70" i="191"/>
  <c r="S68" i="191"/>
  <c r="S66" i="191"/>
  <c r="S69" i="191"/>
  <c r="S75" i="191"/>
  <c r="S71" i="191"/>
  <c r="S67" i="191"/>
  <c r="S63" i="191"/>
  <c r="S64" i="191"/>
  <c r="S73" i="191"/>
  <c r="S65" i="191"/>
  <c r="T75" i="191"/>
  <c r="L11" i="191"/>
  <c r="J75" i="189"/>
  <c r="J73" i="189"/>
  <c r="J71" i="189"/>
  <c r="J69" i="189"/>
  <c r="J67" i="189"/>
  <c r="J65" i="189"/>
  <c r="J63" i="189"/>
  <c r="J74" i="189"/>
  <c r="J68" i="189"/>
  <c r="J64" i="189"/>
  <c r="J70" i="189"/>
  <c r="J72" i="189"/>
  <c r="J66" i="189"/>
  <c r="Q74" i="189"/>
  <c r="Q72" i="189"/>
  <c r="Q70" i="189"/>
  <c r="Q68" i="189"/>
  <c r="Q66" i="189"/>
  <c r="Q64" i="189"/>
  <c r="Q75" i="189"/>
  <c r="Q73" i="189"/>
  <c r="Q71" i="189"/>
  <c r="Q69" i="189"/>
  <c r="Q65" i="189"/>
  <c r="Q67" i="189"/>
  <c r="Q63" i="189"/>
  <c r="K75" i="189"/>
  <c r="K73" i="189"/>
  <c r="K71" i="189"/>
  <c r="K69" i="189"/>
  <c r="K67" i="189"/>
  <c r="K65" i="189"/>
  <c r="K63" i="189"/>
  <c r="K74" i="189"/>
  <c r="K72" i="189"/>
  <c r="K70" i="189"/>
  <c r="K68" i="189"/>
  <c r="K64" i="189"/>
  <c r="K66" i="189"/>
  <c r="L74" i="189"/>
  <c r="L72" i="189"/>
  <c r="L70" i="189"/>
  <c r="L68" i="189"/>
  <c r="L66" i="189"/>
  <c r="L64" i="189"/>
  <c r="L71" i="189"/>
  <c r="L73" i="189"/>
  <c r="L65" i="189"/>
  <c r="L69" i="189"/>
  <c r="L67" i="189"/>
  <c r="L63" i="189"/>
  <c r="L75" i="189"/>
  <c r="R75" i="189"/>
  <c r="R73" i="189"/>
  <c r="R71" i="189"/>
  <c r="R69" i="189"/>
  <c r="R67" i="189"/>
  <c r="R65" i="189"/>
  <c r="R63" i="189"/>
  <c r="R72" i="189"/>
  <c r="R66" i="189"/>
  <c r="R70" i="189"/>
  <c r="R64" i="189"/>
  <c r="R68" i="189"/>
  <c r="R74" i="189"/>
  <c r="M74" i="189"/>
  <c r="M72" i="189"/>
  <c r="M70" i="189"/>
  <c r="M68" i="189"/>
  <c r="M66" i="189"/>
  <c r="M64" i="189"/>
  <c r="M75" i="189"/>
  <c r="M73" i="189"/>
  <c r="M71" i="189"/>
  <c r="M69" i="189"/>
  <c r="M67" i="189"/>
  <c r="M63" i="189"/>
  <c r="M65" i="189"/>
  <c r="J75" i="188"/>
  <c r="J71" i="188"/>
  <c r="J67" i="188"/>
  <c r="J63" i="188"/>
  <c r="J74" i="188"/>
  <c r="J70" i="188"/>
  <c r="J66" i="188"/>
  <c r="J73" i="188"/>
  <c r="J69" i="188"/>
  <c r="J65" i="188"/>
  <c r="J72" i="188"/>
  <c r="J68" i="188"/>
  <c r="J64" i="188"/>
  <c r="AB75" i="187"/>
  <c r="AB74" i="187"/>
  <c r="AB73" i="187"/>
  <c r="AB72" i="187"/>
  <c r="AB71" i="187"/>
  <c r="AB70" i="187"/>
  <c r="AB69" i="187"/>
  <c r="AB68" i="187"/>
  <c r="AB67" i="187"/>
  <c r="AB66" i="187"/>
  <c r="AB65" i="187"/>
  <c r="AB64" i="187"/>
  <c r="AB63" i="187"/>
  <c r="W75" i="187"/>
  <c r="W74" i="187"/>
  <c r="W73" i="187"/>
  <c r="W72" i="187"/>
  <c r="W71" i="187"/>
  <c r="W70" i="187"/>
  <c r="W69" i="187"/>
  <c r="W68" i="187"/>
  <c r="W67" i="187"/>
  <c r="W66" i="187"/>
  <c r="W65" i="187"/>
  <c r="W64" i="187"/>
  <c r="W63" i="187"/>
  <c r="R75" i="187"/>
  <c r="R74" i="187"/>
  <c r="R73" i="187"/>
  <c r="R72" i="187"/>
  <c r="R71" i="187"/>
  <c r="R70" i="187"/>
  <c r="R69" i="187"/>
  <c r="R68" i="187"/>
  <c r="R67" i="187"/>
  <c r="R66" i="187"/>
  <c r="R65" i="187"/>
  <c r="R64" i="187"/>
  <c r="R63" i="187"/>
  <c r="X75" i="187"/>
  <c r="X74" i="187"/>
  <c r="X73" i="187"/>
  <c r="X72" i="187"/>
  <c r="X71" i="187"/>
  <c r="X70" i="187"/>
  <c r="X69" i="187"/>
  <c r="X68" i="187"/>
  <c r="X67" i="187"/>
  <c r="X66" i="187"/>
  <c r="X65" i="187"/>
  <c r="X64" i="187"/>
  <c r="X63" i="187"/>
  <c r="Z73" i="187"/>
  <c r="Z75" i="187"/>
  <c r="Z74" i="187"/>
  <c r="Z69" i="187"/>
  <c r="Z67" i="187"/>
  <c r="Z65" i="187"/>
  <c r="Z72" i="187"/>
  <c r="Z70" i="187"/>
  <c r="Z68" i="187"/>
  <c r="Z66" i="187"/>
  <c r="Z64" i="187"/>
  <c r="Z71" i="187"/>
  <c r="Z63" i="187"/>
  <c r="O75" i="187"/>
  <c r="O74" i="187"/>
  <c r="O73" i="187"/>
  <c r="O72" i="187"/>
  <c r="O71" i="187"/>
  <c r="O70" i="187"/>
  <c r="O69" i="187"/>
  <c r="O68" i="187"/>
  <c r="O67" i="187"/>
  <c r="O66" i="187"/>
  <c r="O65" i="187"/>
  <c r="O64" i="187"/>
  <c r="O63" i="187"/>
  <c r="U75" i="187"/>
  <c r="U74" i="187"/>
  <c r="U73" i="187"/>
  <c r="U72" i="187"/>
  <c r="U71" i="187"/>
  <c r="U70" i="187"/>
  <c r="U69" i="187"/>
  <c r="U68" i="187"/>
  <c r="U67" i="187"/>
  <c r="U66" i="187"/>
  <c r="U65" i="187"/>
  <c r="U64" i="187"/>
  <c r="U63" i="187"/>
  <c r="AD75" i="187"/>
  <c r="AD74" i="187"/>
  <c r="AD73" i="187"/>
  <c r="AD72" i="187"/>
  <c r="AD71" i="187"/>
  <c r="AD70" i="187"/>
  <c r="AD69" i="187"/>
  <c r="AD68" i="187"/>
  <c r="AD67" i="187"/>
  <c r="AD66" i="187"/>
  <c r="AD65" i="187"/>
  <c r="AD64" i="187"/>
  <c r="AD63" i="187"/>
  <c r="Q75" i="187"/>
  <c r="Q74" i="187"/>
  <c r="Q73" i="187"/>
  <c r="Q72" i="187"/>
  <c r="Q71" i="187"/>
  <c r="Q70" i="187"/>
  <c r="Q69" i="187"/>
  <c r="Q68" i="187"/>
  <c r="Q67" i="187"/>
  <c r="Q66" i="187"/>
  <c r="Q65" i="187"/>
  <c r="Q64" i="187"/>
  <c r="Q63" i="187"/>
  <c r="AE75" i="187"/>
  <c r="AE74" i="187"/>
  <c r="AE73" i="187"/>
  <c r="AE72" i="187"/>
  <c r="AE71" i="187"/>
  <c r="AE70" i="187"/>
  <c r="AE69" i="187"/>
  <c r="AE68" i="187"/>
  <c r="AE67" i="187"/>
  <c r="AE66" i="187"/>
  <c r="AE65" i="187"/>
  <c r="AE64" i="187"/>
  <c r="AE63" i="187"/>
  <c r="J73" i="187"/>
  <c r="J75" i="187"/>
  <c r="J74" i="187"/>
  <c r="J64" i="187"/>
  <c r="J71" i="187"/>
  <c r="J69" i="187"/>
  <c r="J67" i="187"/>
  <c r="J65" i="187"/>
  <c r="J63" i="187"/>
  <c r="J70" i="187"/>
  <c r="J68" i="187"/>
  <c r="J66" i="187"/>
  <c r="J72" i="187"/>
  <c r="R14" i="192"/>
  <c r="R11" i="192"/>
  <c r="R13" i="192"/>
  <c r="L26" i="190"/>
  <c r="L25" i="190"/>
  <c r="O11" i="190"/>
  <c r="L30" i="190"/>
  <c r="L27" i="190"/>
  <c r="AA13" i="187"/>
  <c r="M11" i="187"/>
  <c r="Q10" i="187"/>
  <c r="Y15" i="193"/>
  <c r="O14" i="193"/>
  <c r="AA13" i="193"/>
  <c r="Y12" i="193"/>
  <c r="AA11" i="193"/>
  <c r="Y10" i="193"/>
  <c r="AA10" i="193"/>
  <c r="O11" i="193"/>
  <c r="Y13" i="193"/>
  <c r="AA12" i="193"/>
  <c r="Y11" i="193"/>
  <c r="O10" i="193"/>
  <c r="R15" i="192"/>
  <c r="O14" i="190"/>
  <c r="O13" i="190"/>
  <c r="O12" i="190"/>
  <c r="M12" i="187"/>
  <c r="S14" i="187"/>
  <c r="K74" i="190"/>
  <c r="K70" i="190"/>
  <c r="K66" i="190"/>
  <c r="K75" i="190"/>
  <c r="K71" i="190"/>
  <c r="K67" i="190"/>
  <c r="K63" i="190"/>
  <c r="K69" i="190"/>
  <c r="K65" i="190"/>
  <c r="K72" i="190"/>
  <c r="K68" i="190"/>
  <c r="K64" i="190"/>
  <c r="K73" i="190"/>
  <c r="O74" i="190"/>
  <c r="O70" i="190"/>
  <c r="O66" i="190"/>
  <c r="O65" i="190"/>
  <c r="O75" i="190"/>
  <c r="O71" i="190"/>
  <c r="O67" i="190"/>
  <c r="O63" i="190"/>
  <c r="O73" i="190"/>
  <c r="O72" i="190"/>
  <c r="O68" i="190"/>
  <c r="O64" i="190"/>
  <c r="O69" i="190"/>
  <c r="J72" i="192"/>
  <c r="X75" i="192"/>
  <c r="X71" i="192"/>
  <c r="X67" i="192"/>
  <c r="X63" i="192"/>
  <c r="X72" i="192"/>
  <c r="X68" i="192"/>
  <c r="X64" i="192"/>
  <c r="X73" i="192"/>
  <c r="X69" i="192"/>
  <c r="X65" i="192"/>
  <c r="X74" i="192"/>
  <c r="X66" i="192"/>
  <c r="X70" i="192"/>
  <c r="V73" i="192"/>
  <c r="V69" i="192"/>
  <c r="V65" i="192"/>
  <c r="V74" i="192"/>
  <c r="V70" i="192"/>
  <c r="V66" i="192"/>
  <c r="V75" i="192"/>
  <c r="V71" i="192"/>
  <c r="V67" i="192"/>
  <c r="V63" i="192"/>
  <c r="V72" i="192"/>
  <c r="V64" i="192"/>
  <c r="V68" i="192"/>
  <c r="Q72" i="192"/>
  <c r="Q68" i="192"/>
  <c r="Q64" i="192"/>
  <c r="Q73" i="192"/>
  <c r="Q69" i="192"/>
  <c r="Q65" i="192"/>
  <c r="Q74" i="192"/>
  <c r="Q70" i="192"/>
  <c r="Q66" i="192"/>
  <c r="Q75" i="192"/>
  <c r="Q71" i="192"/>
  <c r="Q63" i="192"/>
  <c r="Q67" i="192"/>
  <c r="K66" i="192"/>
  <c r="L75" i="192"/>
  <c r="L71" i="192"/>
  <c r="L67" i="192"/>
  <c r="L63" i="192"/>
  <c r="L72" i="192"/>
  <c r="L68" i="192"/>
  <c r="L64" i="192"/>
  <c r="L73" i="192"/>
  <c r="L69" i="192"/>
  <c r="L65" i="192"/>
  <c r="L74" i="192"/>
  <c r="L70" i="192"/>
  <c r="L66" i="192"/>
  <c r="U72" i="192"/>
  <c r="U68" i="192"/>
  <c r="U64" i="192"/>
  <c r="U73" i="192"/>
  <c r="U69" i="192"/>
  <c r="U65" i="192"/>
  <c r="U74" i="192"/>
  <c r="U70" i="192"/>
  <c r="U66" i="192"/>
  <c r="U75" i="192"/>
  <c r="U71" i="192"/>
  <c r="U67" i="192"/>
  <c r="U63" i="192"/>
  <c r="T75" i="192"/>
  <c r="T71" i="192"/>
  <c r="T67" i="192"/>
  <c r="T63" i="192"/>
  <c r="T72" i="192"/>
  <c r="T68" i="192"/>
  <c r="T64" i="192"/>
  <c r="T73" i="192"/>
  <c r="T69" i="192"/>
  <c r="T65" i="192"/>
  <c r="T74" i="192"/>
  <c r="T66" i="192"/>
  <c r="T70" i="192"/>
  <c r="R73" i="192"/>
  <c r="R69" i="192"/>
  <c r="R65" i="192"/>
  <c r="R74" i="192"/>
  <c r="R70" i="192"/>
  <c r="R66" i="192"/>
  <c r="R75" i="192"/>
  <c r="R71" i="192"/>
  <c r="R67" i="192"/>
  <c r="R63" i="192"/>
  <c r="R72" i="192"/>
  <c r="R68" i="192"/>
  <c r="R64" i="192"/>
  <c r="Z74" i="192"/>
  <c r="AE74" i="193"/>
  <c r="AE70" i="193"/>
  <c r="AE66" i="193"/>
  <c r="AE73" i="193"/>
  <c r="AE69" i="193"/>
  <c r="AE65" i="193"/>
  <c r="AE72" i="193"/>
  <c r="AE68" i="193"/>
  <c r="AE64" i="193"/>
  <c r="AE75" i="193"/>
  <c r="AE63" i="193"/>
  <c r="AE71" i="193"/>
  <c r="AE67" i="193"/>
  <c r="N75" i="193"/>
  <c r="N71" i="193"/>
  <c r="N67" i="193"/>
  <c r="N63" i="193"/>
  <c r="N74" i="193"/>
  <c r="N70" i="193"/>
  <c r="N66" i="193"/>
  <c r="N73" i="193"/>
  <c r="N69" i="193"/>
  <c r="N65" i="193"/>
  <c r="N68" i="193"/>
  <c r="N64" i="193"/>
  <c r="N72" i="193"/>
  <c r="AA63" i="193"/>
  <c r="AG70" i="193"/>
  <c r="M72" i="193"/>
  <c r="M68" i="193"/>
  <c r="M64" i="193"/>
  <c r="M75" i="193"/>
  <c r="M71" i="193"/>
  <c r="M67" i="193"/>
  <c r="M63" i="193"/>
  <c r="M74" i="193"/>
  <c r="M70" i="193"/>
  <c r="M66" i="193"/>
  <c r="M73" i="193"/>
  <c r="M65" i="193"/>
  <c r="M69" i="193"/>
  <c r="R75" i="193"/>
  <c r="R71" i="193"/>
  <c r="R67" i="193"/>
  <c r="R63" i="193"/>
  <c r="R74" i="193"/>
  <c r="R70" i="193"/>
  <c r="R66" i="193"/>
  <c r="R73" i="193"/>
  <c r="R69" i="193"/>
  <c r="R65" i="193"/>
  <c r="R64" i="193"/>
  <c r="R68" i="193"/>
  <c r="R72" i="193"/>
  <c r="S63" i="193"/>
  <c r="AC72" i="193"/>
  <c r="AC68" i="193"/>
  <c r="AC64" i="193"/>
  <c r="AC75" i="193"/>
  <c r="AC71" i="193"/>
  <c r="AC67" i="193"/>
  <c r="AC63" i="193"/>
  <c r="AC74" i="193"/>
  <c r="AC70" i="193"/>
  <c r="AC66" i="193"/>
  <c r="AC65" i="193"/>
  <c r="AC73" i="193"/>
  <c r="AC69" i="193"/>
  <c r="V75" i="193"/>
  <c r="V71" i="193"/>
  <c r="V67" i="193"/>
  <c r="V63" i="193"/>
  <c r="V74" i="193"/>
  <c r="V70" i="193"/>
  <c r="V66" i="193"/>
  <c r="V73" i="193"/>
  <c r="V69" i="193"/>
  <c r="V65" i="193"/>
  <c r="V72" i="193"/>
  <c r="V68" i="193"/>
  <c r="V64" i="193"/>
  <c r="R13" i="194"/>
  <c r="R15" i="194"/>
  <c r="R14" i="194"/>
  <c r="R11" i="194"/>
  <c r="Q72" i="194"/>
  <c r="Q68" i="194"/>
  <c r="Q64" i="194"/>
  <c r="Q75" i="194"/>
  <c r="Q67" i="194"/>
  <c r="Q73" i="194"/>
  <c r="Q69" i="194"/>
  <c r="Q65" i="194"/>
  <c r="Q74" i="194"/>
  <c r="Q70" i="194"/>
  <c r="Q66" i="194"/>
  <c r="Q71" i="194"/>
  <c r="Q63" i="194"/>
  <c r="K74" i="194"/>
  <c r="K70" i="194"/>
  <c r="K66" i="194"/>
  <c r="K75" i="194"/>
  <c r="K71" i="194"/>
  <c r="K67" i="194"/>
  <c r="K63" i="194"/>
  <c r="K73" i="194"/>
  <c r="K69" i="194"/>
  <c r="K65" i="194"/>
  <c r="K72" i="194"/>
  <c r="K68" i="194"/>
  <c r="K64" i="194"/>
  <c r="J75" i="194"/>
  <c r="R12" i="194"/>
  <c r="S15" i="194"/>
  <c r="J11" i="194"/>
  <c r="L72" i="194"/>
  <c r="S74" i="194"/>
  <c r="S70" i="194"/>
  <c r="S66" i="194"/>
  <c r="S73" i="194"/>
  <c r="S69" i="194"/>
  <c r="S75" i="194"/>
  <c r="S71" i="194"/>
  <c r="S67" i="194"/>
  <c r="S63" i="194"/>
  <c r="S65" i="194"/>
  <c r="S72" i="194"/>
  <c r="S68" i="194"/>
  <c r="S64" i="194"/>
  <c r="O74" i="194"/>
  <c r="O70" i="194"/>
  <c r="O66" i="194"/>
  <c r="O65" i="194"/>
  <c r="O75" i="194"/>
  <c r="O71" i="194"/>
  <c r="O67" i="194"/>
  <c r="O63" i="194"/>
  <c r="O72" i="194"/>
  <c r="O68" i="194"/>
  <c r="O64" i="194"/>
  <c r="O73" i="194"/>
  <c r="O69" i="194"/>
  <c r="L11" i="195"/>
  <c r="K33" i="195"/>
  <c r="K74" i="195"/>
  <c r="O20" i="195"/>
  <c r="P33" i="195"/>
  <c r="P69" i="195"/>
  <c r="Q33" i="195"/>
  <c r="Q74" i="195"/>
  <c r="L33" i="195"/>
  <c r="L72" i="195"/>
  <c r="N33" i="195"/>
  <c r="N73" i="195"/>
  <c r="R20" i="195"/>
  <c r="R64" i="195"/>
  <c r="M33" i="195"/>
  <c r="M74" i="195"/>
  <c r="J33" i="195"/>
  <c r="J75" i="195"/>
  <c r="N10" i="195"/>
  <c r="N14" i="195"/>
  <c r="S75" i="195"/>
  <c r="S73" i="195"/>
  <c r="S71" i="195"/>
  <c r="S69" i="195"/>
  <c r="S67" i="195"/>
  <c r="S65" i="195"/>
  <c r="S63" i="195"/>
  <c r="S74" i="195"/>
  <c r="S72" i="195"/>
  <c r="S70" i="195"/>
  <c r="S68" i="195"/>
  <c r="S66" i="195"/>
  <c r="S64" i="195"/>
  <c r="L67" i="195"/>
  <c r="L74" i="195"/>
  <c r="O13" i="195"/>
  <c r="M10" i="187"/>
  <c r="AD20" i="187"/>
  <c r="AE20" i="187"/>
  <c r="Z33" i="187"/>
  <c r="M13" i="187"/>
  <c r="S15" i="187"/>
  <c r="M20" i="189"/>
  <c r="Z11" i="192"/>
  <c r="Q14" i="187"/>
  <c r="O28" i="195"/>
  <c r="J20" i="194"/>
  <c r="K33" i="193"/>
  <c r="Z20" i="192"/>
  <c r="O10" i="195"/>
  <c r="O33" i="193"/>
  <c r="Q33" i="192"/>
  <c r="N33" i="192"/>
  <c r="Z12" i="192"/>
  <c r="P20" i="187"/>
  <c r="O26" i="195"/>
  <c r="O10" i="194"/>
  <c r="AE33" i="193"/>
  <c r="J20" i="188"/>
  <c r="O15" i="195"/>
  <c r="O30" i="195"/>
  <c r="N33" i="193"/>
  <c r="AG12" i="193"/>
  <c r="M12" i="190"/>
  <c r="V20" i="187"/>
  <c r="M15" i="187"/>
  <c r="S11" i="187"/>
  <c r="Q13" i="187"/>
  <c r="AA15" i="187"/>
  <c r="R20" i="189"/>
  <c r="L20" i="189"/>
  <c r="O12" i="195"/>
  <c r="O25" i="195"/>
  <c r="X33" i="193"/>
  <c r="W13" i="193"/>
  <c r="U33" i="193"/>
  <c r="W14" i="193"/>
  <c r="AG11" i="193"/>
  <c r="O20" i="192"/>
  <c r="Z13" i="192"/>
  <c r="Z14" i="192"/>
  <c r="J27" i="190"/>
  <c r="M13" i="190"/>
  <c r="J25" i="190"/>
  <c r="T20" i="187"/>
  <c r="Q15" i="187"/>
  <c r="O11" i="195"/>
  <c r="O27" i="195"/>
  <c r="Q33" i="194"/>
  <c r="S20" i="194"/>
  <c r="K14" i="194"/>
  <c r="AG10" i="193"/>
  <c r="AA33" i="193"/>
  <c r="W12" i="193"/>
  <c r="Z15" i="192"/>
  <c r="L20" i="190"/>
  <c r="M10" i="190"/>
  <c r="J28" i="190"/>
  <c r="M15" i="190"/>
  <c r="J29" i="190"/>
  <c r="Q12" i="187"/>
  <c r="AA12" i="187"/>
  <c r="W11" i="193"/>
  <c r="AG15" i="193"/>
  <c r="AG13" i="193"/>
  <c r="W10" i="193"/>
  <c r="J26" i="190"/>
  <c r="M11" i="190"/>
  <c r="L27" i="194"/>
  <c r="L29" i="194"/>
  <c r="L30" i="194"/>
  <c r="L25" i="194"/>
  <c r="W14" i="187"/>
  <c r="AA10" i="187"/>
  <c r="Y20" i="187"/>
  <c r="Q20" i="187"/>
  <c r="AA14" i="187"/>
  <c r="AC33" i="193"/>
  <c r="AC20" i="193"/>
  <c r="J20" i="190"/>
  <c r="J33" i="190"/>
  <c r="P27" i="194"/>
  <c r="P29" i="194"/>
  <c r="P30" i="194"/>
  <c r="P25" i="194"/>
  <c r="S15" i="193"/>
  <c r="S11" i="193"/>
  <c r="L14" i="191"/>
  <c r="L15" i="191"/>
  <c r="L13" i="191"/>
  <c r="L12" i="191"/>
  <c r="K20" i="187"/>
  <c r="P20" i="191"/>
  <c r="P33" i="191"/>
  <c r="K33" i="194"/>
  <c r="K20" i="194"/>
  <c r="N20" i="187"/>
  <c r="AB33" i="187"/>
  <c r="J20" i="189"/>
  <c r="P28" i="194"/>
  <c r="L28" i="194"/>
  <c r="AG20" i="193"/>
  <c r="M33" i="193"/>
  <c r="J20" i="191"/>
  <c r="N11" i="195"/>
  <c r="K13" i="193"/>
  <c r="AE14" i="193"/>
  <c r="K14" i="193"/>
  <c r="AE10" i="193"/>
  <c r="K10" i="193"/>
  <c r="J20" i="192"/>
  <c r="T10" i="191"/>
  <c r="T11" i="191"/>
  <c r="T12" i="191"/>
  <c r="T13" i="191"/>
  <c r="P20" i="195"/>
  <c r="J14" i="195"/>
  <c r="L14" i="195"/>
  <c r="N12" i="195"/>
  <c r="P12" i="195"/>
  <c r="R14" i="195"/>
  <c r="N20" i="195"/>
  <c r="O33" i="195"/>
  <c r="P11" i="195"/>
  <c r="P14" i="195"/>
  <c r="J11" i="195"/>
  <c r="R11" i="195"/>
  <c r="P13" i="195"/>
  <c r="J10" i="195"/>
  <c r="J13" i="195"/>
  <c r="R10" i="195"/>
  <c r="R13" i="195"/>
  <c r="P10" i="195"/>
  <c r="J12" i="195"/>
  <c r="R12" i="195"/>
  <c r="W11" i="187"/>
  <c r="W13" i="187"/>
  <c r="W12" i="187"/>
  <c r="W15" i="187"/>
  <c r="U20" i="187"/>
  <c r="O20" i="187"/>
  <c r="AC33" i="187"/>
  <c r="S33" i="187"/>
  <c r="M20" i="188"/>
  <c r="K20" i="188"/>
  <c r="P33" i="189"/>
  <c r="K11" i="190"/>
  <c r="K10" i="190"/>
  <c r="K13" i="190"/>
  <c r="K12" i="190"/>
  <c r="M20" i="191"/>
  <c r="K33" i="191"/>
  <c r="R20" i="191"/>
  <c r="Q20" i="191"/>
  <c r="W20" i="192"/>
  <c r="S33" i="192"/>
  <c r="R20" i="192"/>
  <c r="P33" i="192"/>
  <c r="J20" i="193"/>
  <c r="W33" i="193"/>
  <c r="Q15" i="193"/>
  <c r="Q13" i="193"/>
  <c r="Q11" i="193"/>
  <c r="Q12" i="193"/>
  <c r="Q10" i="193"/>
  <c r="S14" i="193"/>
  <c r="S12" i="193"/>
  <c r="S10" i="193"/>
  <c r="L20" i="193"/>
  <c r="Z33" i="193"/>
  <c r="AD33" i="193"/>
  <c r="AB20" i="193"/>
  <c r="K15" i="194"/>
  <c r="O13" i="194"/>
  <c r="O12" i="194"/>
  <c r="N33" i="194"/>
  <c r="K10" i="194"/>
  <c r="O11" i="194"/>
  <c r="O14" i="194"/>
  <c r="P20" i="194"/>
  <c r="R20" i="194"/>
  <c r="N10" i="194"/>
  <c r="N14" i="194"/>
  <c r="N15" i="194"/>
  <c r="N13" i="194"/>
  <c r="N11" i="194"/>
  <c r="S11" i="194"/>
  <c r="S13" i="194"/>
  <c r="K11" i="194"/>
  <c r="K13" i="194"/>
  <c r="K11" i="195"/>
  <c r="K13" i="195"/>
  <c r="L13" i="195"/>
  <c r="K12" i="195"/>
  <c r="Q20" i="195"/>
  <c r="L20" i="195"/>
  <c r="K10" i="195"/>
  <c r="L15" i="195"/>
  <c r="K14" i="195"/>
  <c r="L10" i="195"/>
  <c r="K15" i="195"/>
  <c r="M15" i="195"/>
  <c r="M13" i="195"/>
  <c r="M14" i="195"/>
  <c r="M12" i="195"/>
  <c r="M11" i="195"/>
  <c r="M10" i="195"/>
  <c r="Q30" i="195"/>
  <c r="Q26" i="195"/>
  <c r="Q27" i="195"/>
  <c r="Q28" i="195"/>
  <c r="Q25" i="195"/>
  <c r="Q29" i="195"/>
  <c r="N27" i="195"/>
  <c r="N28" i="195"/>
  <c r="N29" i="195"/>
  <c r="N25" i="195"/>
  <c r="N30" i="195"/>
  <c r="N26" i="195"/>
  <c r="P14" i="194"/>
  <c r="P12" i="194"/>
  <c r="P10" i="194"/>
  <c r="P13" i="194"/>
  <c r="P15" i="194"/>
  <c r="P11" i="194"/>
  <c r="S29" i="194"/>
  <c r="S25" i="194"/>
  <c r="S27" i="194"/>
  <c r="S28" i="194"/>
  <c r="S26" i="194"/>
  <c r="S30" i="194"/>
  <c r="N28" i="194"/>
  <c r="N30" i="194"/>
  <c r="N26" i="194"/>
  <c r="N27" i="194"/>
  <c r="N29" i="194"/>
  <c r="N25" i="194"/>
  <c r="AB27" i="193"/>
  <c r="AB29" i="193"/>
  <c r="AB25" i="193"/>
  <c r="AB30" i="193"/>
  <c r="AB28" i="193"/>
  <c r="AB26" i="193"/>
  <c r="L27" i="193"/>
  <c r="L29" i="193"/>
  <c r="L30" i="193"/>
  <c r="L28" i="193"/>
  <c r="L26" i="193"/>
  <c r="L25" i="193"/>
  <c r="AE30" i="193"/>
  <c r="AE26" i="193"/>
  <c r="AE28" i="193"/>
  <c r="AE25" i="193"/>
  <c r="AE29" i="193"/>
  <c r="AE27" i="193"/>
  <c r="O30" i="193"/>
  <c r="O26" i="193"/>
  <c r="O28" i="193"/>
  <c r="O29" i="193"/>
  <c r="O27" i="193"/>
  <c r="O25" i="193"/>
  <c r="T20" i="193"/>
  <c r="Z14" i="193"/>
  <c r="Z12" i="193"/>
  <c r="Z10" i="193"/>
  <c r="Z15" i="193"/>
  <c r="Z13" i="193"/>
  <c r="Z11" i="193"/>
  <c r="J14" i="193"/>
  <c r="J12" i="193"/>
  <c r="J10" i="193"/>
  <c r="J15" i="193"/>
  <c r="J13" i="193"/>
  <c r="J11" i="193"/>
  <c r="R29" i="193"/>
  <c r="R27" i="193"/>
  <c r="R25" i="193"/>
  <c r="R30" i="193"/>
  <c r="R28" i="193"/>
  <c r="R26" i="193"/>
  <c r="U28" i="193"/>
  <c r="U30" i="193"/>
  <c r="U26" i="193"/>
  <c r="U25" i="193"/>
  <c r="U29" i="193"/>
  <c r="U27" i="193"/>
  <c r="T15" i="193"/>
  <c r="T13" i="193"/>
  <c r="T11" i="193"/>
  <c r="T14" i="193"/>
  <c r="T12" i="193"/>
  <c r="T10" i="193"/>
  <c r="L15" i="192"/>
  <c r="L13" i="192"/>
  <c r="L11" i="192"/>
  <c r="L14" i="192"/>
  <c r="L12" i="192"/>
  <c r="L10" i="192"/>
  <c r="U28" i="192"/>
  <c r="U29" i="192"/>
  <c r="U25" i="192"/>
  <c r="U30" i="192"/>
  <c r="U26" i="192"/>
  <c r="U27" i="192"/>
  <c r="Y14" i="192"/>
  <c r="Y12" i="192"/>
  <c r="Y15" i="192"/>
  <c r="Y13" i="192"/>
  <c r="Y11" i="192"/>
  <c r="Y10" i="192"/>
  <c r="N29" i="192"/>
  <c r="N25" i="192"/>
  <c r="N30" i="192"/>
  <c r="N26" i="192"/>
  <c r="N27" i="192"/>
  <c r="N28" i="192"/>
  <c r="K30" i="192"/>
  <c r="K26" i="192"/>
  <c r="K27" i="192"/>
  <c r="K28" i="192"/>
  <c r="K29" i="192"/>
  <c r="K25" i="192"/>
  <c r="AA30" i="192"/>
  <c r="AA26" i="192"/>
  <c r="AA27" i="192"/>
  <c r="AA28" i="192"/>
  <c r="AA29" i="192"/>
  <c r="AA25" i="192"/>
  <c r="K15" i="192"/>
  <c r="K13" i="192"/>
  <c r="K11" i="192"/>
  <c r="K14" i="192"/>
  <c r="K12" i="192"/>
  <c r="K10" i="192"/>
  <c r="AA15" i="192"/>
  <c r="AA13" i="192"/>
  <c r="AA11" i="192"/>
  <c r="AA14" i="192"/>
  <c r="AA12" i="192"/>
  <c r="AA10" i="192"/>
  <c r="U20" i="192"/>
  <c r="P27" i="192"/>
  <c r="P28" i="192"/>
  <c r="P29" i="192"/>
  <c r="P25" i="192"/>
  <c r="P30" i="192"/>
  <c r="P26" i="192"/>
  <c r="M28" i="191"/>
  <c r="M30" i="191"/>
  <c r="M26" i="191"/>
  <c r="M25" i="191"/>
  <c r="M29" i="191"/>
  <c r="M27" i="191"/>
  <c r="Q15" i="191"/>
  <c r="Q13" i="191"/>
  <c r="Q11" i="191"/>
  <c r="Q14" i="191"/>
  <c r="Q12" i="191"/>
  <c r="Q10" i="191"/>
  <c r="K27" i="190"/>
  <c r="K28" i="190"/>
  <c r="K29" i="190"/>
  <c r="K25" i="190"/>
  <c r="K30" i="190"/>
  <c r="K26" i="190"/>
  <c r="K30" i="191"/>
  <c r="K26" i="191"/>
  <c r="K28" i="191"/>
  <c r="K29" i="191"/>
  <c r="K27" i="191"/>
  <c r="K25" i="191"/>
  <c r="V33" i="191"/>
  <c r="O30" i="191"/>
  <c r="O26" i="191"/>
  <c r="O28" i="191"/>
  <c r="O25" i="191"/>
  <c r="O29" i="191"/>
  <c r="O27" i="191"/>
  <c r="M29" i="190"/>
  <c r="M25" i="190"/>
  <c r="M30" i="190"/>
  <c r="M26" i="190"/>
  <c r="M27" i="190"/>
  <c r="M28" i="190"/>
  <c r="T33" i="191"/>
  <c r="N29" i="191"/>
  <c r="N25" i="191"/>
  <c r="N27" i="191"/>
  <c r="N30" i="191"/>
  <c r="N28" i="191"/>
  <c r="N26" i="191"/>
  <c r="J15" i="191"/>
  <c r="J13" i="191"/>
  <c r="J11" i="191"/>
  <c r="J14" i="191"/>
  <c r="J12" i="191"/>
  <c r="J10" i="191"/>
  <c r="J20" i="187"/>
  <c r="AA20" i="187"/>
  <c r="N20" i="189"/>
  <c r="R33" i="195"/>
  <c r="K28" i="195"/>
  <c r="K29" i="195"/>
  <c r="K25" i="195"/>
  <c r="K30" i="195"/>
  <c r="K26" i="195"/>
  <c r="K27" i="195"/>
  <c r="M20" i="195"/>
  <c r="J20" i="195"/>
  <c r="R27" i="195"/>
  <c r="R28" i="195"/>
  <c r="R29" i="195"/>
  <c r="R25" i="195"/>
  <c r="R30" i="195"/>
  <c r="R26" i="195"/>
  <c r="L33" i="194"/>
  <c r="Q27" i="194"/>
  <c r="Q29" i="194"/>
  <c r="Q25" i="194"/>
  <c r="Q30" i="194"/>
  <c r="Q26" i="194"/>
  <c r="Q28" i="194"/>
  <c r="L14" i="194"/>
  <c r="L12" i="194"/>
  <c r="L10" i="194"/>
  <c r="L15" i="194"/>
  <c r="L11" i="194"/>
  <c r="L13" i="194"/>
  <c r="O29" i="194"/>
  <c r="O25" i="194"/>
  <c r="O27" i="194"/>
  <c r="O28" i="194"/>
  <c r="O26" i="194"/>
  <c r="O30" i="194"/>
  <c r="J28" i="194"/>
  <c r="J30" i="194"/>
  <c r="J26" i="194"/>
  <c r="J27" i="194"/>
  <c r="J25" i="194"/>
  <c r="J29" i="194"/>
  <c r="P33" i="193"/>
  <c r="X27" i="193"/>
  <c r="X29" i="193"/>
  <c r="X30" i="193"/>
  <c r="X28" i="193"/>
  <c r="X26" i="193"/>
  <c r="X25" i="193"/>
  <c r="V33" i="193"/>
  <c r="AA30" i="193"/>
  <c r="AA26" i="193"/>
  <c r="AA28" i="193"/>
  <c r="AA29" i="193"/>
  <c r="AA27" i="193"/>
  <c r="AA25" i="193"/>
  <c r="K30" i="193"/>
  <c r="K26" i="193"/>
  <c r="K28" i="193"/>
  <c r="K29" i="193"/>
  <c r="K27" i="193"/>
  <c r="K25" i="193"/>
  <c r="AF20" i="193"/>
  <c r="V14" i="193"/>
  <c r="V12" i="193"/>
  <c r="V10" i="193"/>
  <c r="V15" i="193"/>
  <c r="V13" i="193"/>
  <c r="V11" i="193"/>
  <c r="AD29" i="193"/>
  <c r="AD27" i="193"/>
  <c r="AD30" i="193"/>
  <c r="AD28" i="193"/>
  <c r="AD26" i="193"/>
  <c r="AD25" i="193"/>
  <c r="N29" i="193"/>
  <c r="N27" i="193"/>
  <c r="N25" i="193"/>
  <c r="N30" i="193"/>
  <c r="N28" i="193"/>
  <c r="N26" i="193"/>
  <c r="S20" i="193"/>
  <c r="AG28" i="193"/>
  <c r="AG30" i="193"/>
  <c r="AG26" i="193"/>
  <c r="AG29" i="193"/>
  <c r="AG27" i="193"/>
  <c r="AG25" i="193"/>
  <c r="Q28" i="193"/>
  <c r="Q30" i="193"/>
  <c r="Q26" i="193"/>
  <c r="Q29" i="193"/>
  <c r="Q27" i="193"/>
  <c r="Q25" i="193"/>
  <c r="AF15" i="193"/>
  <c r="AF13" i="193"/>
  <c r="AF11" i="193"/>
  <c r="AF14" i="193"/>
  <c r="AF12" i="193"/>
  <c r="AF10" i="193"/>
  <c r="P15" i="193"/>
  <c r="P13" i="193"/>
  <c r="P11" i="193"/>
  <c r="P14" i="193"/>
  <c r="P12" i="193"/>
  <c r="P10" i="193"/>
  <c r="P15" i="192"/>
  <c r="P13" i="192"/>
  <c r="P11" i="192"/>
  <c r="P14" i="192"/>
  <c r="P12" i="192"/>
  <c r="P10" i="192"/>
  <c r="Y28" i="192"/>
  <c r="Y29" i="192"/>
  <c r="Y25" i="192"/>
  <c r="Y30" i="192"/>
  <c r="Y26" i="192"/>
  <c r="Y27" i="192"/>
  <c r="T33" i="192"/>
  <c r="M14" i="192"/>
  <c r="M12" i="192"/>
  <c r="M15" i="192"/>
  <c r="M13" i="192"/>
  <c r="M11" i="192"/>
  <c r="M10" i="192"/>
  <c r="R29" i="192"/>
  <c r="R25" i="192"/>
  <c r="R30" i="192"/>
  <c r="R26" i="192"/>
  <c r="R27" i="192"/>
  <c r="R28" i="192"/>
  <c r="M33" i="192"/>
  <c r="O30" i="192"/>
  <c r="O26" i="192"/>
  <c r="O27" i="192"/>
  <c r="O28" i="192"/>
  <c r="O29" i="192"/>
  <c r="O25" i="192"/>
  <c r="O15" i="192"/>
  <c r="O13" i="192"/>
  <c r="O11" i="192"/>
  <c r="O14" i="192"/>
  <c r="O12" i="192"/>
  <c r="O10" i="192"/>
  <c r="T27" i="192"/>
  <c r="T28" i="192"/>
  <c r="T29" i="192"/>
  <c r="T25" i="192"/>
  <c r="T30" i="192"/>
  <c r="T26" i="192"/>
  <c r="V14" i="192"/>
  <c r="V12" i="192"/>
  <c r="V10" i="192"/>
  <c r="V15" i="192"/>
  <c r="V13" i="192"/>
  <c r="V11" i="192"/>
  <c r="M15" i="191"/>
  <c r="M13" i="191"/>
  <c r="M11" i="191"/>
  <c r="M14" i="191"/>
  <c r="M12" i="191"/>
  <c r="M10" i="191"/>
  <c r="N33" i="190"/>
  <c r="N15" i="190"/>
  <c r="N13" i="190"/>
  <c r="N11" i="190"/>
  <c r="N14" i="190"/>
  <c r="N12" i="190"/>
  <c r="N10" i="190"/>
  <c r="N20" i="191"/>
  <c r="J29" i="191"/>
  <c r="J25" i="191"/>
  <c r="J27" i="191"/>
  <c r="J30" i="191"/>
  <c r="J28" i="191"/>
  <c r="J26" i="191"/>
  <c r="S14" i="191"/>
  <c r="S12" i="191"/>
  <c r="S10" i="191"/>
  <c r="S15" i="191"/>
  <c r="S13" i="191"/>
  <c r="S11" i="191"/>
  <c r="L12" i="190"/>
  <c r="L14" i="190"/>
  <c r="L10" i="190"/>
  <c r="L15" i="190"/>
  <c r="L13" i="190"/>
  <c r="L11" i="190"/>
  <c r="L33" i="191"/>
  <c r="V15" i="191"/>
  <c r="V13" i="191"/>
  <c r="V11" i="191"/>
  <c r="V14" i="191"/>
  <c r="V12" i="191"/>
  <c r="V10" i="191"/>
  <c r="L27" i="191"/>
  <c r="L29" i="191"/>
  <c r="L30" i="191"/>
  <c r="L28" i="191"/>
  <c r="L26" i="191"/>
  <c r="L25" i="191"/>
  <c r="O33" i="190"/>
  <c r="L20" i="188"/>
  <c r="L29" i="195"/>
  <c r="L25" i="195"/>
  <c r="L30" i="195"/>
  <c r="L26" i="195"/>
  <c r="L27" i="195"/>
  <c r="L28" i="195"/>
  <c r="K20" i="195"/>
  <c r="M27" i="194"/>
  <c r="M29" i="194"/>
  <c r="M25" i="194"/>
  <c r="M30" i="194"/>
  <c r="M26" i="194"/>
  <c r="M28" i="194"/>
  <c r="K29" i="194"/>
  <c r="K25" i="194"/>
  <c r="K27" i="194"/>
  <c r="K28" i="194"/>
  <c r="K30" i="194"/>
  <c r="K26" i="194"/>
  <c r="Q15" i="194"/>
  <c r="Q13" i="194"/>
  <c r="Q11" i="194"/>
  <c r="Q10" i="194"/>
  <c r="Q12" i="194"/>
  <c r="Q14" i="194"/>
  <c r="T27" i="193"/>
  <c r="T29" i="193"/>
  <c r="T30" i="193"/>
  <c r="T28" i="193"/>
  <c r="T26" i="193"/>
  <c r="T25" i="193"/>
  <c r="W30" i="193"/>
  <c r="W26" i="193"/>
  <c r="W28" i="193"/>
  <c r="W29" i="193"/>
  <c r="W27" i="193"/>
  <c r="W25" i="193"/>
  <c r="R14" i="193"/>
  <c r="R12" i="193"/>
  <c r="R10" i="193"/>
  <c r="R15" i="193"/>
  <c r="R13" i="193"/>
  <c r="R11" i="193"/>
  <c r="Z29" i="193"/>
  <c r="Z27" i="193"/>
  <c r="Z25" i="193"/>
  <c r="Z30" i="193"/>
  <c r="Z28" i="193"/>
  <c r="Z26" i="193"/>
  <c r="J29" i="193"/>
  <c r="J27" i="193"/>
  <c r="J25" i="193"/>
  <c r="J30" i="193"/>
  <c r="J28" i="193"/>
  <c r="J26" i="193"/>
  <c r="AC28" i="193"/>
  <c r="AC30" i="193"/>
  <c r="AC26" i="193"/>
  <c r="AC29" i="193"/>
  <c r="AC27" i="193"/>
  <c r="AC25" i="193"/>
  <c r="M28" i="193"/>
  <c r="M30" i="193"/>
  <c r="M26" i="193"/>
  <c r="M25" i="193"/>
  <c r="M29" i="193"/>
  <c r="M27" i="193"/>
  <c r="R20" i="193"/>
  <c r="AB15" i="193"/>
  <c r="AB13" i="193"/>
  <c r="AB11" i="193"/>
  <c r="AB14" i="193"/>
  <c r="AB12" i="193"/>
  <c r="AB10" i="193"/>
  <c r="L15" i="193"/>
  <c r="L13" i="193"/>
  <c r="L11" i="193"/>
  <c r="L14" i="193"/>
  <c r="L12" i="193"/>
  <c r="L10" i="193"/>
  <c r="N14" i="192"/>
  <c r="N12" i="192"/>
  <c r="N10" i="192"/>
  <c r="N15" i="192"/>
  <c r="N13" i="192"/>
  <c r="N11" i="192"/>
  <c r="T15" i="192"/>
  <c r="T13" i="192"/>
  <c r="T11" i="192"/>
  <c r="T14" i="192"/>
  <c r="T12" i="192"/>
  <c r="T10" i="192"/>
  <c r="M28" i="192"/>
  <c r="M29" i="192"/>
  <c r="M25" i="192"/>
  <c r="M30" i="192"/>
  <c r="M26" i="192"/>
  <c r="M27" i="192"/>
  <c r="Q14" i="192"/>
  <c r="Q12" i="192"/>
  <c r="Q15" i="192"/>
  <c r="Q13" i="192"/>
  <c r="Q11" i="192"/>
  <c r="Q10" i="192"/>
  <c r="V29" i="192"/>
  <c r="V25" i="192"/>
  <c r="V30" i="192"/>
  <c r="V26" i="192"/>
  <c r="V27" i="192"/>
  <c r="V28" i="192"/>
  <c r="S30" i="192"/>
  <c r="S26" i="192"/>
  <c r="S27" i="192"/>
  <c r="S28" i="192"/>
  <c r="S29" i="192"/>
  <c r="S25" i="192"/>
  <c r="S15" i="192"/>
  <c r="S13" i="192"/>
  <c r="S11" i="192"/>
  <c r="S14" i="192"/>
  <c r="S12" i="192"/>
  <c r="S10" i="192"/>
  <c r="X27" i="192"/>
  <c r="X28" i="192"/>
  <c r="X29" i="192"/>
  <c r="X25" i="192"/>
  <c r="X30" i="192"/>
  <c r="X26" i="192"/>
  <c r="J15" i="190"/>
  <c r="J13" i="190"/>
  <c r="J11" i="190"/>
  <c r="J12" i="190"/>
  <c r="J14" i="190"/>
  <c r="J10" i="190"/>
  <c r="V29" i="191"/>
  <c r="V25" i="191"/>
  <c r="V27" i="191"/>
  <c r="V30" i="191"/>
  <c r="V28" i="191"/>
  <c r="V26" i="191"/>
  <c r="M33" i="190"/>
  <c r="O14" i="191"/>
  <c r="O12" i="191"/>
  <c r="O10" i="191"/>
  <c r="O15" i="191"/>
  <c r="O13" i="191"/>
  <c r="O11" i="191"/>
  <c r="R15" i="191"/>
  <c r="R13" i="191"/>
  <c r="R11" i="191"/>
  <c r="R14" i="191"/>
  <c r="R12" i="191"/>
  <c r="R10" i="191"/>
  <c r="P27" i="191"/>
  <c r="P29" i="191"/>
  <c r="P25" i="191"/>
  <c r="P30" i="191"/>
  <c r="P28" i="191"/>
  <c r="P26" i="191"/>
  <c r="K33" i="190"/>
  <c r="M20" i="187"/>
  <c r="Q20" i="189"/>
  <c r="K20" i="189"/>
  <c r="Q15" i="195"/>
  <c r="Q13" i="195"/>
  <c r="Q11" i="195"/>
  <c r="Q12" i="195"/>
  <c r="Q14" i="195"/>
  <c r="Q10" i="195"/>
  <c r="P29" i="195"/>
  <c r="P25" i="195"/>
  <c r="P30" i="195"/>
  <c r="P26" i="195"/>
  <c r="P27" i="195"/>
  <c r="P28" i="195"/>
  <c r="M30" i="195"/>
  <c r="M26" i="195"/>
  <c r="M27" i="195"/>
  <c r="M28" i="195"/>
  <c r="M29" i="195"/>
  <c r="M25" i="195"/>
  <c r="J27" i="195"/>
  <c r="J28" i="195"/>
  <c r="J29" i="195"/>
  <c r="J25" i="195"/>
  <c r="J26" i="195"/>
  <c r="J30" i="195"/>
  <c r="M33" i="194"/>
  <c r="R28" i="194"/>
  <c r="R30" i="194"/>
  <c r="R26" i="194"/>
  <c r="R27" i="194"/>
  <c r="R29" i="194"/>
  <c r="R25" i="194"/>
  <c r="M15" i="194"/>
  <c r="M13" i="194"/>
  <c r="M11" i="194"/>
  <c r="M14" i="194"/>
  <c r="M10" i="194"/>
  <c r="M12" i="194"/>
  <c r="AF27" i="193"/>
  <c r="AF29" i="193"/>
  <c r="AF25" i="193"/>
  <c r="AF30" i="193"/>
  <c r="AF28" i="193"/>
  <c r="AF26" i="193"/>
  <c r="P27" i="193"/>
  <c r="P29" i="193"/>
  <c r="P30" i="193"/>
  <c r="P28" i="193"/>
  <c r="P26" i="193"/>
  <c r="P25" i="193"/>
  <c r="S30" i="193"/>
  <c r="S26" i="193"/>
  <c r="S28" i="193"/>
  <c r="S29" i="193"/>
  <c r="S27" i="193"/>
  <c r="S25" i="193"/>
  <c r="AD14" i="193"/>
  <c r="AD12" i="193"/>
  <c r="AD10" i="193"/>
  <c r="AD15" i="193"/>
  <c r="AD13" i="193"/>
  <c r="AD11" i="193"/>
  <c r="N14" i="193"/>
  <c r="N12" i="193"/>
  <c r="N10" i="193"/>
  <c r="N15" i="193"/>
  <c r="N13" i="193"/>
  <c r="N11" i="193"/>
  <c r="V29" i="193"/>
  <c r="V27" i="193"/>
  <c r="V25" i="193"/>
  <c r="V30" i="193"/>
  <c r="V28" i="193"/>
  <c r="V26" i="193"/>
  <c r="Y28" i="193"/>
  <c r="Y30" i="193"/>
  <c r="Y26" i="193"/>
  <c r="Y29" i="193"/>
  <c r="Y27" i="193"/>
  <c r="Y25" i="193"/>
  <c r="X15" i="193"/>
  <c r="X13" i="193"/>
  <c r="X11" i="193"/>
  <c r="X14" i="193"/>
  <c r="X12" i="193"/>
  <c r="X10" i="193"/>
  <c r="X15" i="192"/>
  <c r="X13" i="192"/>
  <c r="X11" i="192"/>
  <c r="X14" i="192"/>
  <c r="X12" i="192"/>
  <c r="X10" i="192"/>
  <c r="Q28" i="192"/>
  <c r="Q29" i="192"/>
  <c r="Q25" i="192"/>
  <c r="Q30" i="192"/>
  <c r="Q26" i="192"/>
  <c r="Q27" i="192"/>
  <c r="L33" i="192"/>
  <c r="U14" i="192"/>
  <c r="U12" i="192"/>
  <c r="U15" i="192"/>
  <c r="U13" i="192"/>
  <c r="U11" i="192"/>
  <c r="U10" i="192"/>
  <c r="J29" i="192"/>
  <c r="J25" i="192"/>
  <c r="J30" i="192"/>
  <c r="J26" i="192"/>
  <c r="J27" i="192"/>
  <c r="J28" i="192"/>
  <c r="Z29" i="192"/>
  <c r="Z25" i="192"/>
  <c r="Z30" i="192"/>
  <c r="Z26" i="192"/>
  <c r="Z27" i="192"/>
  <c r="Z28" i="192"/>
  <c r="W30" i="192"/>
  <c r="W26" i="192"/>
  <c r="W27" i="192"/>
  <c r="W28" i="192"/>
  <c r="W29" i="192"/>
  <c r="W25" i="192"/>
  <c r="W15" i="192"/>
  <c r="W13" i="192"/>
  <c r="W11" i="192"/>
  <c r="W14" i="192"/>
  <c r="W12" i="192"/>
  <c r="W10" i="192"/>
  <c r="L27" i="192"/>
  <c r="L28" i="192"/>
  <c r="L29" i="192"/>
  <c r="L25" i="192"/>
  <c r="L30" i="192"/>
  <c r="L26" i="192"/>
  <c r="R29" i="191"/>
  <c r="R25" i="191"/>
  <c r="R27" i="191"/>
  <c r="R30" i="191"/>
  <c r="R28" i="191"/>
  <c r="R26" i="191"/>
  <c r="U15" i="191"/>
  <c r="U13" i="191"/>
  <c r="U11" i="191"/>
  <c r="U14" i="191"/>
  <c r="U12" i="191"/>
  <c r="U10" i="191"/>
  <c r="O27" i="190"/>
  <c r="O28" i="190"/>
  <c r="O29" i="190"/>
  <c r="O25" i="190"/>
  <c r="O30" i="190"/>
  <c r="O26" i="190"/>
  <c r="Q28" i="191"/>
  <c r="Q30" i="191"/>
  <c r="Q26" i="191"/>
  <c r="Q29" i="191"/>
  <c r="Q27" i="191"/>
  <c r="Q25" i="191"/>
  <c r="U28" i="191"/>
  <c r="U30" i="191"/>
  <c r="U26" i="191"/>
  <c r="U25" i="191"/>
  <c r="U29" i="191"/>
  <c r="U27" i="191"/>
  <c r="K14" i="191"/>
  <c r="K12" i="191"/>
  <c r="K10" i="191"/>
  <c r="K15" i="191"/>
  <c r="K13" i="191"/>
  <c r="K11" i="191"/>
  <c r="S30" i="191"/>
  <c r="S26" i="191"/>
  <c r="S28" i="191"/>
  <c r="S29" i="191"/>
  <c r="S27" i="191"/>
  <c r="S25" i="191"/>
  <c r="N15" i="191"/>
  <c r="N13" i="191"/>
  <c r="N11" i="191"/>
  <c r="N14" i="191"/>
  <c r="N12" i="191"/>
  <c r="N10" i="191"/>
  <c r="T27" i="191"/>
  <c r="T29" i="191"/>
  <c r="T25" i="191"/>
  <c r="T30" i="191"/>
  <c r="T28" i="191"/>
  <c r="T26" i="191"/>
  <c r="O15" i="189"/>
  <c r="O13" i="189"/>
  <c r="O11" i="189"/>
  <c r="O14" i="189"/>
  <c r="O12" i="189"/>
  <c r="O10" i="189"/>
  <c r="J15" i="189"/>
  <c r="J13" i="189"/>
  <c r="J11" i="189"/>
  <c r="J14" i="189"/>
  <c r="J12" i="189"/>
  <c r="J10" i="189"/>
  <c r="M29" i="189"/>
  <c r="M30" i="189"/>
  <c r="M25" i="189"/>
  <c r="M26" i="189"/>
  <c r="M27" i="189"/>
  <c r="M28" i="189"/>
  <c r="R29" i="189"/>
  <c r="R30" i="189"/>
  <c r="R28" i="189"/>
  <c r="R26" i="189"/>
  <c r="R27" i="189"/>
  <c r="R25" i="189"/>
  <c r="P14" i="189"/>
  <c r="P12" i="189"/>
  <c r="P10" i="189"/>
  <c r="P15" i="189"/>
  <c r="P13" i="189"/>
  <c r="P11" i="189"/>
  <c r="K15" i="189"/>
  <c r="K13" i="189"/>
  <c r="K11" i="189"/>
  <c r="K14" i="189"/>
  <c r="K12" i="189"/>
  <c r="K10" i="189"/>
  <c r="L28" i="189"/>
  <c r="L29" i="189"/>
  <c r="L30" i="189"/>
  <c r="L25" i="189"/>
  <c r="L26" i="189"/>
  <c r="L27" i="189"/>
  <c r="Q29" i="189"/>
  <c r="Q30" i="189"/>
  <c r="Q25" i="189"/>
  <c r="Q26" i="189"/>
  <c r="Q28" i="189"/>
  <c r="Q27" i="189"/>
  <c r="K30" i="189"/>
  <c r="K28" i="189"/>
  <c r="K29" i="189"/>
  <c r="K27" i="189"/>
  <c r="K25" i="189"/>
  <c r="K26" i="189"/>
  <c r="L14" i="189"/>
  <c r="L12" i="189"/>
  <c r="L10" i="189"/>
  <c r="L15" i="189"/>
  <c r="L13" i="189"/>
  <c r="L11" i="189"/>
  <c r="R15" i="189"/>
  <c r="R13" i="189"/>
  <c r="R11" i="189"/>
  <c r="R14" i="189"/>
  <c r="R12" i="189"/>
  <c r="R10" i="189"/>
  <c r="Q14" i="189"/>
  <c r="Q12" i="189"/>
  <c r="Q10" i="189"/>
  <c r="Q15" i="189"/>
  <c r="Q13" i="189"/>
  <c r="Q11" i="189"/>
  <c r="P28" i="189"/>
  <c r="P29" i="189"/>
  <c r="P30" i="189"/>
  <c r="P25" i="189"/>
  <c r="P26" i="189"/>
  <c r="P27" i="189"/>
  <c r="J29" i="189"/>
  <c r="J30" i="189"/>
  <c r="J28" i="189"/>
  <c r="J26" i="189"/>
  <c r="J27" i="189"/>
  <c r="J25" i="189"/>
  <c r="O30" i="189"/>
  <c r="O28" i="189"/>
  <c r="O29" i="189"/>
  <c r="O27" i="189"/>
  <c r="O25" i="189"/>
  <c r="O26" i="189"/>
  <c r="N15" i="189"/>
  <c r="N13" i="189"/>
  <c r="N11" i="189"/>
  <c r="N14" i="189"/>
  <c r="N12" i="189"/>
  <c r="N10" i="189"/>
  <c r="M14" i="189"/>
  <c r="M12" i="189"/>
  <c r="M10" i="189"/>
  <c r="M15" i="189"/>
  <c r="M13" i="189"/>
  <c r="M11" i="189"/>
  <c r="N29" i="189"/>
  <c r="N30" i="189"/>
  <c r="N28" i="189"/>
  <c r="N26" i="189"/>
  <c r="N27" i="189"/>
  <c r="N25" i="189"/>
  <c r="L15" i="188"/>
  <c r="L14" i="188"/>
  <c r="L13" i="188"/>
  <c r="L11" i="188"/>
  <c r="L12" i="188"/>
  <c r="L10" i="188"/>
  <c r="M30" i="188"/>
  <c r="M26" i="188"/>
  <c r="M27" i="188"/>
  <c r="M28" i="188"/>
  <c r="M29" i="188"/>
  <c r="M25" i="188"/>
  <c r="J27" i="188"/>
  <c r="J28" i="188"/>
  <c r="J29" i="188"/>
  <c r="J25" i="188"/>
  <c r="J30" i="188"/>
  <c r="J26" i="188"/>
  <c r="K14" i="188"/>
  <c r="K15" i="188"/>
  <c r="K12" i="188"/>
  <c r="K10" i="188"/>
  <c r="K13" i="188"/>
  <c r="K11" i="188"/>
  <c r="J15" i="188"/>
  <c r="J14" i="188"/>
  <c r="J12" i="188"/>
  <c r="J10" i="188"/>
  <c r="J13" i="188"/>
  <c r="J11" i="188"/>
  <c r="K28" i="188"/>
  <c r="K29" i="188"/>
  <c r="K25" i="188"/>
  <c r="K30" i="188"/>
  <c r="K26" i="188"/>
  <c r="K27" i="188"/>
  <c r="M15" i="188"/>
  <c r="M14" i="188"/>
  <c r="M13" i="188"/>
  <c r="M11" i="188"/>
  <c r="M12" i="188"/>
  <c r="M10" i="188"/>
  <c r="L29" i="188"/>
  <c r="L25" i="188"/>
  <c r="L30" i="188"/>
  <c r="L26" i="188"/>
  <c r="L27" i="188"/>
  <c r="L28" i="188"/>
  <c r="P15" i="187"/>
  <c r="P13" i="187"/>
  <c r="P11" i="187"/>
  <c r="P14" i="187"/>
  <c r="P12" i="187"/>
  <c r="P10" i="187"/>
  <c r="V15" i="187"/>
  <c r="V13" i="187"/>
  <c r="V11" i="187"/>
  <c r="V14" i="187"/>
  <c r="V12" i="187"/>
  <c r="V10" i="187"/>
  <c r="O14" i="187"/>
  <c r="O12" i="187"/>
  <c r="O15" i="187"/>
  <c r="O13" i="187"/>
  <c r="O11" i="187"/>
  <c r="O10" i="187"/>
  <c r="U14" i="187"/>
  <c r="U12" i="187"/>
  <c r="U15" i="187"/>
  <c r="U13" i="187"/>
  <c r="U11" i="187"/>
  <c r="U10" i="187"/>
  <c r="R14" i="187"/>
  <c r="R12" i="187"/>
  <c r="R15" i="187"/>
  <c r="R13" i="187"/>
  <c r="R11" i="187"/>
  <c r="R10" i="187"/>
  <c r="X14" i="187"/>
  <c r="X12" i="187"/>
  <c r="X15" i="187"/>
  <c r="X13" i="187"/>
  <c r="X11" i="187"/>
  <c r="X10" i="187"/>
  <c r="AB29" i="187"/>
  <c r="AB30" i="187"/>
  <c r="AB25" i="187"/>
  <c r="AB28" i="187"/>
  <c r="AB26" i="187"/>
  <c r="AB27" i="187"/>
  <c r="AF28" i="187"/>
  <c r="AF30" i="187"/>
  <c r="AF29" i="187"/>
  <c r="AF25" i="187"/>
  <c r="AF26" i="187"/>
  <c r="AF27" i="187"/>
  <c r="V29" i="187"/>
  <c r="V30" i="187"/>
  <c r="V26" i="187"/>
  <c r="V28" i="187"/>
  <c r="V27" i="187"/>
  <c r="V25" i="187"/>
  <c r="P29" i="187"/>
  <c r="P30" i="187"/>
  <c r="P26" i="187"/>
  <c r="P28" i="187"/>
  <c r="P27" i="187"/>
  <c r="P25" i="187"/>
  <c r="AD30" i="187"/>
  <c r="AD28" i="187"/>
  <c r="AD27" i="187"/>
  <c r="AD29" i="187"/>
  <c r="AD25" i="187"/>
  <c r="AD26" i="187"/>
  <c r="L15" i="187"/>
  <c r="L13" i="187"/>
  <c r="L11" i="187"/>
  <c r="L14" i="187"/>
  <c r="L12" i="187"/>
  <c r="L10" i="187"/>
  <c r="J15" i="187"/>
  <c r="J13" i="187"/>
  <c r="J11" i="187"/>
  <c r="J14" i="187"/>
  <c r="J12" i="187"/>
  <c r="J10" i="187"/>
  <c r="AF14" i="187"/>
  <c r="AF12" i="187"/>
  <c r="AF15" i="187"/>
  <c r="AF13" i="187"/>
  <c r="AF11" i="187"/>
  <c r="AF10" i="187"/>
  <c r="N14" i="187"/>
  <c r="N12" i="187"/>
  <c r="N15" i="187"/>
  <c r="N13" i="187"/>
  <c r="N11" i="187"/>
  <c r="N10" i="187"/>
  <c r="T14" i="187"/>
  <c r="T12" i="187"/>
  <c r="T15" i="187"/>
  <c r="T13" i="187"/>
  <c r="T11" i="187"/>
  <c r="T10" i="187"/>
  <c r="AE29" i="187"/>
  <c r="AE30" i="187"/>
  <c r="AE28" i="187"/>
  <c r="AE25" i="187"/>
  <c r="AE26" i="187"/>
  <c r="AE27" i="187"/>
  <c r="U28" i="187"/>
  <c r="U30" i="187"/>
  <c r="U25" i="187"/>
  <c r="U26" i="187"/>
  <c r="U29" i="187"/>
  <c r="U27" i="187"/>
  <c r="O28" i="187"/>
  <c r="O30" i="187"/>
  <c r="O25" i="187"/>
  <c r="O26" i="187"/>
  <c r="O29" i="187"/>
  <c r="O27" i="187"/>
  <c r="Z29" i="187"/>
  <c r="Z30" i="187"/>
  <c r="Z26" i="187"/>
  <c r="Z27" i="187"/>
  <c r="Z28" i="187"/>
  <c r="Z25" i="187"/>
  <c r="S30" i="187"/>
  <c r="S28" i="187"/>
  <c r="S27" i="187"/>
  <c r="S25" i="187"/>
  <c r="S29" i="187"/>
  <c r="S26" i="187"/>
  <c r="M30" i="187"/>
  <c r="M28" i="187"/>
  <c r="M27" i="187"/>
  <c r="M25" i="187"/>
  <c r="M29" i="187"/>
  <c r="M26" i="187"/>
  <c r="AC15" i="187"/>
  <c r="AC13" i="187"/>
  <c r="AC11" i="187"/>
  <c r="AC14" i="187"/>
  <c r="AC12" i="187"/>
  <c r="AC10" i="187"/>
  <c r="K14" i="187"/>
  <c r="K12" i="187"/>
  <c r="K15" i="187"/>
  <c r="K13" i="187"/>
  <c r="K11" i="187"/>
  <c r="K10" i="187"/>
  <c r="AE14" i="187"/>
  <c r="AE12" i="187"/>
  <c r="AE15" i="187"/>
  <c r="AE13" i="187"/>
  <c r="AE11" i="187"/>
  <c r="AE10" i="187"/>
  <c r="T29" i="187"/>
  <c r="T30" i="187"/>
  <c r="T25" i="187"/>
  <c r="T28" i="187"/>
  <c r="T26" i="187"/>
  <c r="T27" i="187"/>
  <c r="N29" i="187"/>
  <c r="N30" i="187"/>
  <c r="N25" i="187"/>
  <c r="N28" i="187"/>
  <c r="N26" i="187"/>
  <c r="N27" i="187"/>
  <c r="Y28" i="187"/>
  <c r="Y30" i="187"/>
  <c r="Y29" i="187"/>
  <c r="Y25" i="187"/>
  <c r="Y26" i="187"/>
  <c r="Y27" i="187"/>
  <c r="AC29" i="187"/>
  <c r="AC30" i="187"/>
  <c r="AC26" i="187"/>
  <c r="AC28" i="187"/>
  <c r="AC27" i="187"/>
  <c r="AC25" i="187"/>
  <c r="W30" i="187"/>
  <c r="W28" i="187"/>
  <c r="W27" i="187"/>
  <c r="W29" i="187"/>
  <c r="W25" i="187"/>
  <c r="W26" i="187"/>
  <c r="Q30" i="187"/>
  <c r="Q28" i="187"/>
  <c r="Q27" i="187"/>
  <c r="Q29" i="187"/>
  <c r="Q25" i="187"/>
  <c r="Q26" i="187"/>
  <c r="Z15" i="187"/>
  <c r="Z13" i="187"/>
  <c r="Z11" i="187"/>
  <c r="Z14" i="187"/>
  <c r="Z12" i="187"/>
  <c r="Z10" i="187"/>
  <c r="Y14" i="187"/>
  <c r="Y12" i="187"/>
  <c r="Y15" i="187"/>
  <c r="Y13" i="187"/>
  <c r="Y11" i="187"/>
  <c r="Y10" i="187"/>
  <c r="AB14" i="187"/>
  <c r="AB12" i="187"/>
  <c r="AB15" i="187"/>
  <c r="AB13" i="187"/>
  <c r="AB11" i="187"/>
  <c r="AB10" i="187"/>
  <c r="X29" i="187"/>
  <c r="X30" i="187"/>
  <c r="X28" i="187"/>
  <c r="X25" i="187"/>
  <c r="X26" i="187"/>
  <c r="X27" i="187"/>
  <c r="R29" i="187"/>
  <c r="R30" i="187"/>
  <c r="R28" i="187"/>
  <c r="R25" i="187"/>
  <c r="R26" i="187"/>
  <c r="R27" i="187"/>
  <c r="K28" i="187"/>
  <c r="K30" i="187"/>
  <c r="K25" i="187"/>
  <c r="K26" i="187"/>
  <c r="K29" i="187"/>
  <c r="K27" i="187"/>
  <c r="J29" i="187"/>
  <c r="J26" i="187"/>
  <c r="J30" i="187"/>
  <c r="J27" i="187"/>
  <c r="J28" i="187"/>
  <c r="J25" i="187"/>
  <c r="L29" i="187"/>
  <c r="L30" i="187"/>
  <c r="L26" i="187"/>
  <c r="L27" i="187"/>
  <c r="L28" i="187"/>
  <c r="L25" i="187"/>
  <c r="AA30" i="187"/>
  <c r="AA28" i="187"/>
  <c r="AA27" i="187"/>
  <c r="AA25" i="187"/>
  <c r="AA29" i="187"/>
  <c r="AA26" i="187"/>
  <c r="N14" i="156"/>
  <c r="N22" i="156"/>
  <c r="N21" i="156" s="1"/>
  <c r="N18" i="156"/>
  <c r="N17" i="156" s="1"/>
  <c r="Q9" i="156"/>
  <c r="M9" i="156"/>
  <c r="J9" i="156"/>
  <c r="P9" i="156"/>
  <c r="L9" i="156"/>
  <c r="S9" i="156"/>
  <c r="O9" i="156"/>
  <c r="K9" i="156"/>
  <c r="R9" i="156"/>
  <c r="P34" i="156"/>
  <c r="L34" i="156"/>
  <c r="S34" i="156"/>
  <c r="O34" i="156"/>
  <c r="K34" i="156"/>
  <c r="R34" i="156"/>
  <c r="N34" i="156"/>
  <c r="J34" i="156"/>
  <c r="M34" i="156"/>
  <c r="Q34" i="156"/>
  <c r="T82" i="191" l="1"/>
  <c r="M82" i="187"/>
  <c r="M86" i="187"/>
  <c r="AF87" i="187"/>
  <c r="S71" i="189"/>
  <c r="X84" i="193"/>
  <c r="BR14" i="194"/>
  <c r="BR13" i="194"/>
  <c r="BR11" i="194"/>
  <c r="BR12" i="194"/>
  <c r="BR15" i="194"/>
  <c r="P83" i="187"/>
  <c r="N92" i="187"/>
  <c r="P91" i="187"/>
  <c r="P92" i="187"/>
  <c r="AF86" i="187"/>
  <c r="AC86" i="187"/>
  <c r="AC87" i="187"/>
  <c r="L71" i="191"/>
  <c r="N75" i="192"/>
  <c r="M65" i="194"/>
  <c r="M89" i="194"/>
  <c r="W47" i="193"/>
  <c r="Y75" i="192"/>
  <c r="N86" i="192"/>
  <c r="K65" i="188"/>
  <c r="K47" i="192"/>
  <c r="AC80" i="187"/>
  <c r="AC88" i="187"/>
  <c r="AF80" i="187"/>
  <c r="AF88" i="187"/>
  <c r="W47" i="191"/>
  <c r="W69" i="193"/>
  <c r="AC81" i="187"/>
  <c r="AC89" i="187"/>
  <c r="AF81" i="187"/>
  <c r="AF89" i="187"/>
  <c r="L65" i="188"/>
  <c r="AC82" i="187"/>
  <c r="AC90" i="187"/>
  <c r="AF82" i="187"/>
  <c r="AF90" i="187"/>
  <c r="W72" i="192"/>
  <c r="AC83" i="187"/>
  <c r="AC91" i="187"/>
  <c r="AF83" i="187"/>
  <c r="AF91" i="187"/>
  <c r="W75" i="192"/>
  <c r="AC84" i="187"/>
  <c r="AC92" i="187"/>
  <c r="AF84" i="187"/>
  <c r="AF92" i="187"/>
  <c r="K81" i="187"/>
  <c r="R47" i="194"/>
  <c r="S10" i="156"/>
  <c r="S26" i="156"/>
  <c r="M10" i="156"/>
  <c r="M26" i="156"/>
  <c r="L10" i="156"/>
  <c r="L26" i="156"/>
  <c r="Q10" i="156"/>
  <c r="Q26" i="156"/>
  <c r="O10" i="156"/>
  <c r="O26" i="156"/>
  <c r="J10" i="156"/>
  <c r="J26" i="156"/>
  <c r="R10" i="156"/>
  <c r="R26" i="156"/>
  <c r="K10" i="156"/>
  <c r="K26" i="156"/>
  <c r="P10" i="156"/>
  <c r="P26" i="156"/>
  <c r="J70" i="194"/>
  <c r="T69" i="194"/>
  <c r="M70" i="194"/>
  <c r="M64" i="194"/>
  <c r="M88" i="194"/>
  <c r="M69" i="194"/>
  <c r="M74" i="194"/>
  <c r="M68" i="194"/>
  <c r="M85" i="194"/>
  <c r="Q47" i="193"/>
  <c r="AE47" i="193"/>
  <c r="AE43" i="193"/>
  <c r="R47" i="192"/>
  <c r="L91" i="190"/>
  <c r="T70" i="191"/>
  <c r="S43" i="191"/>
  <c r="AA90" i="187"/>
  <c r="L86" i="187"/>
  <c r="L89" i="187"/>
  <c r="O47" i="194"/>
  <c r="M80" i="194"/>
  <c r="M67" i="194"/>
  <c r="M71" i="194"/>
  <c r="M73" i="194"/>
  <c r="M72" i="194"/>
  <c r="M92" i="194"/>
  <c r="T47" i="194"/>
  <c r="M66" i="194"/>
  <c r="M75" i="194"/>
  <c r="M63" i="194"/>
  <c r="M82" i="194"/>
  <c r="S47" i="194"/>
  <c r="AD47" i="193"/>
  <c r="N43" i="193"/>
  <c r="J43" i="193"/>
  <c r="K68" i="193"/>
  <c r="Q86" i="193"/>
  <c r="Y65" i="192"/>
  <c r="N65" i="192"/>
  <c r="Z81" i="192"/>
  <c r="Y68" i="192"/>
  <c r="Z64" i="192"/>
  <c r="Y80" i="192"/>
  <c r="N72" i="192"/>
  <c r="Z71" i="192"/>
  <c r="N89" i="192"/>
  <c r="Y63" i="192"/>
  <c r="Y66" i="192"/>
  <c r="Y69" i="192"/>
  <c r="Y72" i="192"/>
  <c r="N63" i="192"/>
  <c r="N66" i="192"/>
  <c r="N69" i="192"/>
  <c r="Z72" i="192"/>
  <c r="Z75" i="192"/>
  <c r="Z65" i="192"/>
  <c r="Z85" i="192"/>
  <c r="Y88" i="192"/>
  <c r="N81" i="192"/>
  <c r="Y67" i="192"/>
  <c r="Y70" i="192"/>
  <c r="Y73" i="192"/>
  <c r="N68" i="192"/>
  <c r="N67" i="192"/>
  <c r="N70" i="192"/>
  <c r="N73" i="192"/>
  <c r="Z63" i="192"/>
  <c r="Z66" i="192"/>
  <c r="Z69" i="192"/>
  <c r="Z83" i="192"/>
  <c r="Y86" i="192"/>
  <c r="N92" i="192"/>
  <c r="Y71" i="192"/>
  <c r="Y74" i="192"/>
  <c r="Y64" i="192"/>
  <c r="N64" i="192"/>
  <c r="N71" i="192"/>
  <c r="N74" i="192"/>
  <c r="Z68" i="192"/>
  <c r="Z67" i="192"/>
  <c r="Z70" i="192"/>
  <c r="Z73" i="192"/>
  <c r="Z91" i="192"/>
  <c r="Y90" i="192"/>
  <c r="N83" i="192"/>
  <c r="O43" i="190"/>
  <c r="L43" i="190"/>
  <c r="L47" i="190"/>
  <c r="K43" i="190"/>
  <c r="K47" i="190"/>
  <c r="R47" i="191"/>
  <c r="N64" i="191"/>
  <c r="J43" i="188"/>
  <c r="J47" i="188"/>
  <c r="K85" i="188"/>
  <c r="N43" i="188"/>
  <c r="N47" i="188"/>
  <c r="M43" i="188"/>
  <c r="T87" i="187"/>
  <c r="P87" i="187"/>
  <c r="T83" i="187"/>
  <c r="T91" i="187"/>
  <c r="P80" i="187"/>
  <c r="P88" i="187"/>
  <c r="T88" i="187"/>
  <c r="T80" i="187"/>
  <c r="T84" i="187"/>
  <c r="T92" i="187"/>
  <c r="T64" i="187"/>
  <c r="T81" i="187"/>
  <c r="T85" i="187"/>
  <c r="T89" i="187"/>
  <c r="P81" i="187"/>
  <c r="P85" i="187"/>
  <c r="P89" i="187"/>
  <c r="P93" i="187" s="1"/>
  <c r="S92" i="187"/>
  <c r="T82" i="187"/>
  <c r="T86" i="187"/>
  <c r="T90" i="187"/>
  <c r="P82" i="187"/>
  <c r="P86" i="187"/>
  <c r="Y92" i="187"/>
  <c r="V87" i="187"/>
  <c r="O87" i="187"/>
  <c r="O83" i="187"/>
  <c r="O90" i="187"/>
  <c r="M83" i="187"/>
  <c r="M87" i="187"/>
  <c r="M91" i="187"/>
  <c r="R82" i="187"/>
  <c r="R86" i="187"/>
  <c r="R90" i="187"/>
  <c r="O89" i="187"/>
  <c r="O84" i="187"/>
  <c r="O91" i="187"/>
  <c r="M80" i="187"/>
  <c r="M84" i="187"/>
  <c r="M88" i="187"/>
  <c r="M92" i="187"/>
  <c r="R92" i="187"/>
  <c r="R83" i="187"/>
  <c r="R87" i="187"/>
  <c r="R91" i="187"/>
  <c r="O82" i="187"/>
  <c r="O80" i="187"/>
  <c r="O86" i="187"/>
  <c r="O92" i="187"/>
  <c r="M81" i="187"/>
  <c r="M85" i="187"/>
  <c r="M89" i="187"/>
  <c r="R80" i="187"/>
  <c r="R84" i="187"/>
  <c r="R88" i="187"/>
  <c r="T72" i="187"/>
  <c r="AD43" i="187"/>
  <c r="Y67" i="187"/>
  <c r="Q85" i="187"/>
  <c r="Y75" i="187"/>
  <c r="S47" i="187"/>
  <c r="AD47" i="187"/>
  <c r="P47" i="195"/>
  <c r="O43" i="195"/>
  <c r="N47" i="195"/>
  <c r="S43" i="195"/>
  <c r="O43" i="194"/>
  <c r="R43" i="194"/>
  <c r="K43" i="193"/>
  <c r="M47" i="193"/>
  <c r="O47" i="193"/>
  <c r="Y47" i="193"/>
  <c r="AA47" i="193"/>
  <c r="AF47" i="193"/>
  <c r="V43" i="193"/>
  <c r="Y51" i="192"/>
  <c r="V47" i="192"/>
  <c r="P43" i="190"/>
  <c r="L85" i="191"/>
  <c r="M51" i="191"/>
  <c r="S84" i="189"/>
  <c r="K72" i="188"/>
  <c r="K88" i="188"/>
  <c r="K71" i="188"/>
  <c r="K66" i="188"/>
  <c r="K84" i="188"/>
  <c r="K75" i="188"/>
  <c r="K70" i="188"/>
  <c r="K80" i="188"/>
  <c r="AB83" i="187"/>
  <c r="M51" i="195"/>
  <c r="R47" i="195"/>
  <c r="N66" i="194"/>
  <c r="O51" i="194"/>
  <c r="P47" i="194"/>
  <c r="M43" i="194"/>
  <c r="P47" i="193"/>
  <c r="U87" i="193"/>
  <c r="W51" i="193"/>
  <c r="AG51" i="193"/>
  <c r="Z47" i="192"/>
  <c r="AB47" i="192"/>
  <c r="M47" i="192"/>
  <c r="Z43" i="192"/>
  <c r="M51" i="190"/>
  <c r="L75" i="191"/>
  <c r="L87" i="191"/>
  <c r="L73" i="191"/>
  <c r="L68" i="191"/>
  <c r="L82" i="191"/>
  <c r="L65" i="191"/>
  <c r="L70" i="191"/>
  <c r="L90" i="191"/>
  <c r="V51" i="191"/>
  <c r="K47" i="191"/>
  <c r="Q51" i="191"/>
  <c r="L47" i="191"/>
  <c r="V43" i="191"/>
  <c r="L51" i="191"/>
  <c r="Q43" i="189"/>
  <c r="J47" i="189"/>
  <c r="S92" i="189"/>
  <c r="L43" i="189"/>
  <c r="O47" i="189"/>
  <c r="M43" i="189"/>
  <c r="Q47" i="189"/>
  <c r="L51" i="189"/>
  <c r="O43" i="189"/>
  <c r="M47" i="189"/>
  <c r="N43" i="189"/>
  <c r="Q51" i="189"/>
  <c r="S47" i="189"/>
  <c r="O51" i="189"/>
  <c r="M51" i="189"/>
  <c r="Q47" i="187"/>
  <c r="AF47" i="187"/>
  <c r="AA43" i="187"/>
  <c r="X51" i="187"/>
  <c r="AA51" i="187"/>
  <c r="X43" i="187"/>
  <c r="K51" i="187"/>
  <c r="AB47" i="187"/>
  <c r="P51" i="187"/>
  <c r="AA47" i="187"/>
  <c r="X47" i="187"/>
  <c r="AB43" i="187"/>
  <c r="P47" i="187"/>
  <c r="AD51" i="187"/>
  <c r="L47" i="195"/>
  <c r="L51" i="195"/>
  <c r="L43" i="195"/>
  <c r="P43" i="195"/>
  <c r="M43" i="195"/>
  <c r="K51" i="195"/>
  <c r="M51" i="194"/>
  <c r="K43" i="194"/>
  <c r="P43" i="194"/>
  <c r="M47" i="194"/>
  <c r="K51" i="194"/>
  <c r="N47" i="194"/>
  <c r="T43" i="194"/>
  <c r="S43" i="194"/>
  <c r="T51" i="194"/>
  <c r="S51" i="194"/>
  <c r="V51" i="193"/>
  <c r="AB47" i="193"/>
  <c r="AA51" i="193"/>
  <c r="P51" i="193"/>
  <c r="L51" i="193"/>
  <c r="N47" i="193"/>
  <c r="W43" i="193"/>
  <c r="AG47" i="193"/>
  <c r="V47" i="193"/>
  <c r="Z67" i="193"/>
  <c r="AH75" i="193"/>
  <c r="K47" i="193"/>
  <c r="Y64" i="193"/>
  <c r="Z87" i="193"/>
  <c r="Z47" i="193"/>
  <c r="T51" i="193"/>
  <c r="R43" i="192"/>
  <c r="Y43" i="192"/>
  <c r="W47" i="192"/>
  <c r="N43" i="192"/>
  <c r="P51" i="192"/>
  <c r="S51" i="192"/>
  <c r="L43" i="192"/>
  <c r="V43" i="192"/>
  <c r="N47" i="192"/>
  <c r="Z51" i="192"/>
  <c r="AA47" i="192"/>
  <c r="T43" i="192"/>
  <c r="AB51" i="192"/>
  <c r="M43" i="192"/>
  <c r="AB43" i="192"/>
  <c r="M51" i="192"/>
  <c r="V47" i="191"/>
  <c r="L43" i="191"/>
  <c r="N47" i="191"/>
  <c r="O51" i="191"/>
  <c r="U43" i="191"/>
  <c r="N43" i="191"/>
  <c r="O47" i="191"/>
  <c r="N51" i="191"/>
  <c r="O43" i="191"/>
  <c r="M47" i="191"/>
  <c r="N70" i="189"/>
  <c r="N51" i="189"/>
  <c r="N47" i="189"/>
  <c r="S43" i="189"/>
  <c r="L43" i="188"/>
  <c r="M51" i="188"/>
  <c r="K43" i="188"/>
  <c r="T67" i="187"/>
  <c r="T75" i="187"/>
  <c r="Y70" i="187"/>
  <c r="Q86" i="187"/>
  <c r="L87" i="187"/>
  <c r="T68" i="187"/>
  <c r="Y63" i="187"/>
  <c r="Y71" i="187"/>
  <c r="Q80" i="187"/>
  <c r="Q90" i="187"/>
  <c r="L80" i="187"/>
  <c r="L91" i="187"/>
  <c r="T63" i="187"/>
  <c r="T71" i="187"/>
  <c r="Y66" i="187"/>
  <c r="Y74" i="187"/>
  <c r="Q81" i="187"/>
  <c r="Q92" i="187"/>
  <c r="L82" i="187"/>
  <c r="L92" i="187"/>
  <c r="K43" i="187"/>
  <c r="S51" i="187"/>
  <c r="AB51" i="187"/>
  <c r="P43" i="187"/>
  <c r="Q51" i="187"/>
  <c r="AF51" i="187"/>
  <c r="U43" i="187"/>
  <c r="O43" i="187"/>
  <c r="T51" i="187"/>
  <c r="Y43" i="187"/>
  <c r="R43" i="187"/>
  <c r="J43" i="187"/>
  <c r="L43" i="187"/>
  <c r="V43" i="187"/>
  <c r="W43" i="187"/>
  <c r="AG43" i="187"/>
  <c r="K47" i="187"/>
  <c r="K73" i="187"/>
  <c r="S43" i="187"/>
  <c r="V66" i="187"/>
  <c r="T65" i="187"/>
  <c r="T69" i="187"/>
  <c r="T73" i="187"/>
  <c r="Y64" i="187"/>
  <c r="Y68" i="187"/>
  <c r="Y72" i="187"/>
  <c r="K63" i="188"/>
  <c r="K64" i="188"/>
  <c r="K69" i="188"/>
  <c r="K74" i="188"/>
  <c r="N63" i="189"/>
  <c r="L69" i="191"/>
  <c r="L64" i="191"/>
  <c r="L72" i="191"/>
  <c r="Q82" i="187"/>
  <c r="Q88" i="187"/>
  <c r="AG81" i="187"/>
  <c r="U85" i="187"/>
  <c r="N80" i="187"/>
  <c r="L83" i="187"/>
  <c r="L88" i="187"/>
  <c r="K92" i="188"/>
  <c r="K82" i="188"/>
  <c r="K83" i="188"/>
  <c r="N86" i="189"/>
  <c r="L84" i="191"/>
  <c r="L92" i="191"/>
  <c r="L89" i="191"/>
  <c r="L92" i="190"/>
  <c r="Z80" i="192"/>
  <c r="Z86" i="192"/>
  <c r="Y84" i="192"/>
  <c r="Y85" i="192"/>
  <c r="N80" i="192"/>
  <c r="N91" i="192"/>
  <c r="P92" i="193"/>
  <c r="J83" i="194"/>
  <c r="M83" i="194"/>
  <c r="M86" i="194"/>
  <c r="O51" i="190"/>
  <c r="J51" i="194"/>
  <c r="J43" i="195"/>
  <c r="R51" i="191"/>
  <c r="S47" i="191"/>
  <c r="J43" i="190"/>
  <c r="S47" i="192"/>
  <c r="L47" i="192"/>
  <c r="X43" i="193"/>
  <c r="J51" i="193"/>
  <c r="Z43" i="193"/>
  <c r="Q43" i="194"/>
  <c r="J43" i="189"/>
  <c r="K43" i="189"/>
  <c r="AE51" i="187"/>
  <c r="U51" i="187"/>
  <c r="O51" i="187"/>
  <c r="Z43" i="187"/>
  <c r="W43" i="191"/>
  <c r="N43" i="190"/>
  <c r="O43" i="192"/>
  <c r="U51" i="192"/>
  <c r="AD43" i="193"/>
  <c r="L51" i="194"/>
  <c r="T43" i="187"/>
  <c r="Y51" i="187"/>
  <c r="AC43" i="187"/>
  <c r="M51" i="193"/>
  <c r="Q43" i="193"/>
  <c r="S43" i="193"/>
  <c r="O51" i="195"/>
  <c r="N51" i="195"/>
  <c r="AC47" i="193"/>
  <c r="T47" i="191"/>
  <c r="O51" i="193"/>
  <c r="Y43" i="193"/>
  <c r="N51" i="194"/>
  <c r="S47" i="195"/>
  <c r="J47" i="191"/>
  <c r="K43" i="191"/>
  <c r="Q47" i="191"/>
  <c r="AA43" i="192"/>
  <c r="K51" i="192"/>
  <c r="Q51" i="192"/>
  <c r="T51" i="192"/>
  <c r="AF51" i="193"/>
  <c r="R43" i="193"/>
  <c r="M43" i="187"/>
  <c r="R47" i="189"/>
  <c r="R47" i="187"/>
  <c r="J51" i="187"/>
  <c r="L51" i="187"/>
  <c r="V51" i="187"/>
  <c r="X43" i="192"/>
  <c r="L43" i="193"/>
  <c r="P47" i="189"/>
  <c r="W51" i="187"/>
  <c r="N43" i="187"/>
  <c r="AG51" i="187"/>
  <c r="M47" i="190"/>
  <c r="AG43" i="193"/>
  <c r="AH51" i="193"/>
  <c r="K47" i="195"/>
  <c r="R43" i="195"/>
  <c r="U51" i="191"/>
  <c r="P43" i="192"/>
  <c r="T47" i="193"/>
  <c r="Q43" i="195"/>
  <c r="T66" i="187"/>
  <c r="T70" i="187"/>
  <c r="T74" i="187"/>
  <c r="Y65" i="187"/>
  <c r="Y69" i="187"/>
  <c r="Y73" i="187"/>
  <c r="AG66" i="187"/>
  <c r="K67" i="188"/>
  <c r="K68" i="188"/>
  <c r="K73" i="188"/>
  <c r="N71" i="189"/>
  <c r="L63" i="191"/>
  <c r="L67" i="191"/>
  <c r="L66" i="191"/>
  <c r="L74" i="191"/>
  <c r="Q84" i="187"/>
  <c r="Q89" i="187"/>
  <c r="U89" i="187"/>
  <c r="L84" i="187"/>
  <c r="L90" i="187"/>
  <c r="K81" i="188"/>
  <c r="K86" i="188"/>
  <c r="K91" i="188"/>
  <c r="T85" i="191"/>
  <c r="L88" i="191"/>
  <c r="L81" i="191"/>
  <c r="L80" i="191"/>
  <c r="Z92" i="192"/>
  <c r="W81" i="192"/>
  <c r="Y87" i="192"/>
  <c r="Y89" i="192"/>
  <c r="N88" i="192"/>
  <c r="N82" i="192"/>
  <c r="AH90" i="193"/>
  <c r="Y92" i="193"/>
  <c r="L64" i="190"/>
  <c r="J86" i="194"/>
  <c r="M87" i="194"/>
  <c r="M81" i="194"/>
  <c r="P47" i="190"/>
  <c r="O47" i="190"/>
  <c r="R51" i="192"/>
  <c r="J47" i="194"/>
  <c r="J51" i="195"/>
  <c r="P51" i="195"/>
  <c r="R43" i="191"/>
  <c r="S51" i="191"/>
  <c r="J47" i="190"/>
  <c r="S43" i="192"/>
  <c r="Y47" i="192"/>
  <c r="L51" i="192"/>
  <c r="X51" i="193"/>
  <c r="J47" i="193"/>
  <c r="Z51" i="193"/>
  <c r="Q51" i="194"/>
  <c r="L47" i="189"/>
  <c r="J51" i="189"/>
  <c r="K47" i="189"/>
  <c r="AE47" i="187"/>
  <c r="U47" i="187"/>
  <c r="O47" i="187"/>
  <c r="Z51" i="187"/>
  <c r="W51" i="191"/>
  <c r="N47" i="190"/>
  <c r="M43" i="191"/>
  <c r="V51" i="192"/>
  <c r="O47" i="192"/>
  <c r="U47" i="192"/>
  <c r="N51" i="192"/>
  <c r="AB43" i="193"/>
  <c r="AD51" i="193"/>
  <c r="L47" i="194"/>
  <c r="L47" i="188"/>
  <c r="T47" i="187"/>
  <c r="Y47" i="187"/>
  <c r="AC51" i="187"/>
  <c r="M43" i="193"/>
  <c r="Q51" i="193"/>
  <c r="S51" i="193"/>
  <c r="O47" i="195"/>
  <c r="N43" i="195"/>
  <c r="AC51" i="193"/>
  <c r="T51" i="191"/>
  <c r="O43" i="193"/>
  <c r="Y51" i="193"/>
  <c r="AA43" i="193"/>
  <c r="K47" i="194"/>
  <c r="N43" i="194"/>
  <c r="S51" i="195"/>
  <c r="J51" i="191"/>
  <c r="K51" i="191"/>
  <c r="Q43" i="191"/>
  <c r="AA51" i="192"/>
  <c r="K43" i="192"/>
  <c r="Q47" i="192"/>
  <c r="T47" i="192"/>
  <c r="P43" i="193"/>
  <c r="AF43" i="193"/>
  <c r="R51" i="193"/>
  <c r="P51" i="194"/>
  <c r="M47" i="195"/>
  <c r="M51" i="187"/>
  <c r="R43" i="189"/>
  <c r="Q43" i="187"/>
  <c r="R51" i="187"/>
  <c r="J47" i="187"/>
  <c r="L47" i="187"/>
  <c r="V47" i="187"/>
  <c r="X51" i="192"/>
  <c r="L47" i="193"/>
  <c r="P43" i="189"/>
  <c r="W47" i="187"/>
  <c r="N47" i="187"/>
  <c r="AG47" i="187"/>
  <c r="M43" i="190"/>
  <c r="AH47" i="193"/>
  <c r="K43" i="195"/>
  <c r="R51" i="195"/>
  <c r="U47" i="191"/>
  <c r="W43" i="192"/>
  <c r="P47" i="192"/>
  <c r="T43" i="193"/>
  <c r="Q47" i="195"/>
  <c r="S51" i="189"/>
  <c r="M47" i="188"/>
  <c r="K47" i="188"/>
  <c r="AF43" i="187"/>
  <c r="J43" i="194"/>
  <c r="J47" i="195"/>
  <c r="X47" i="193"/>
  <c r="Q47" i="194"/>
  <c r="K51" i="189"/>
  <c r="AE43" i="187"/>
  <c r="Z47" i="187"/>
  <c r="O51" i="192"/>
  <c r="U43" i="192"/>
  <c r="L43" i="194"/>
  <c r="AC47" i="187"/>
  <c r="S47" i="193"/>
  <c r="AC43" i="193"/>
  <c r="T43" i="191"/>
  <c r="J43" i="191"/>
  <c r="Q43" i="192"/>
  <c r="R47" i="193"/>
  <c r="M47" i="187"/>
  <c r="R51" i="189"/>
  <c r="P51" i="189"/>
  <c r="N51" i="187"/>
  <c r="Q51" i="195"/>
  <c r="X47" i="192"/>
  <c r="AH43" i="193"/>
  <c r="M87" i="192"/>
  <c r="AB83" i="192"/>
  <c r="AB71" i="192"/>
  <c r="O65" i="193"/>
  <c r="M73" i="192"/>
  <c r="O82" i="193"/>
  <c r="O75" i="193"/>
  <c r="Y63" i="193"/>
  <c r="P72" i="193"/>
  <c r="AB68" i="192"/>
  <c r="M70" i="192"/>
  <c r="W65" i="192"/>
  <c r="K69" i="187"/>
  <c r="AG74" i="187"/>
  <c r="M66" i="188"/>
  <c r="S63" i="189"/>
  <c r="T73" i="191"/>
  <c r="Q83" i="187"/>
  <c r="Q87" i="187"/>
  <c r="AG89" i="187"/>
  <c r="U81" i="187"/>
  <c r="L81" i="187"/>
  <c r="L85" i="187"/>
  <c r="K89" i="188"/>
  <c r="K90" i="188"/>
  <c r="N81" i="189"/>
  <c r="S89" i="189"/>
  <c r="T84" i="191"/>
  <c r="L86" i="191"/>
  <c r="L83" i="191"/>
  <c r="L81" i="190"/>
  <c r="M88" i="192"/>
  <c r="Z88" i="192"/>
  <c r="Z82" i="192"/>
  <c r="W87" i="192"/>
  <c r="Y92" i="192"/>
  <c r="Y91" i="192"/>
  <c r="N84" i="192"/>
  <c r="N85" i="192"/>
  <c r="N87" i="192"/>
  <c r="K85" i="193"/>
  <c r="AD88" i="193"/>
  <c r="O92" i="193"/>
  <c r="Y91" i="193"/>
  <c r="J89" i="194"/>
  <c r="M84" i="194"/>
  <c r="M91" i="194"/>
  <c r="O70" i="193"/>
  <c r="M91" i="192"/>
  <c r="AB81" i="192"/>
  <c r="O87" i="193"/>
  <c r="Y65" i="193"/>
  <c r="AB65" i="192"/>
  <c r="M63" i="192"/>
  <c r="K65" i="187"/>
  <c r="AG70" i="187"/>
  <c r="S68" i="189"/>
  <c r="AG85" i="187"/>
  <c r="L88" i="188"/>
  <c r="S81" i="189"/>
  <c r="V87" i="191"/>
  <c r="L82" i="190"/>
  <c r="W88" i="192"/>
  <c r="J81" i="192"/>
  <c r="AB80" i="192"/>
  <c r="Y86" i="193"/>
  <c r="T68" i="194"/>
  <c r="N72" i="194"/>
  <c r="AB74" i="193"/>
  <c r="S64" i="193"/>
  <c r="AG71" i="193"/>
  <c r="AA72" i="193"/>
  <c r="N75" i="190"/>
  <c r="P73" i="189"/>
  <c r="T85" i="194"/>
  <c r="AB71" i="193"/>
  <c r="S69" i="193"/>
  <c r="AG72" i="193"/>
  <c r="AA70" i="193"/>
  <c r="J68" i="193"/>
  <c r="J66" i="190"/>
  <c r="S68" i="187"/>
  <c r="S90" i="193"/>
  <c r="AB72" i="193"/>
  <c r="J63" i="193"/>
  <c r="AB80" i="193"/>
  <c r="J92" i="193"/>
  <c r="AD91" i="187"/>
  <c r="AD90" i="187"/>
  <c r="AD87" i="187"/>
  <c r="P75" i="187"/>
  <c r="P63" i="187"/>
  <c r="AD86" i="187"/>
  <c r="AD81" i="187"/>
  <c r="P72" i="187"/>
  <c r="P66" i="187"/>
  <c r="AD84" i="187"/>
  <c r="P71" i="187"/>
  <c r="P64" i="187"/>
  <c r="AB90" i="187"/>
  <c r="AB86" i="187"/>
  <c r="AB82" i="187"/>
  <c r="N72" i="187"/>
  <c r="N68" i="187"/>
  <c r="N64" i="187"/>
  <c r="AB89" i="187"/>
  <c r="AB85" i="187"/>
  <c r="AB81" i="187"/>
  <c r="N75" i="187"/>
  <c r="N71" i="187"/>
  <c r="N67" i="187"/>
  <c r="N63" i="187"/>
  <c r="AB92" i="187"/>
  <c r="AB88" i="187"/>
  <c r="AB84" i="187"/>
  <c r="AB80" i="187"/>
  <c r="N74" i="187"/>
  <c r="N70" i="187"/>
  <c r="N66" i="187"/>
  <c r="K91" i="187"/>
  <c r="K88" i="187"/>
  <c r="K84" i="187"/>
  <c r="K80" i="187"/>
  <c r="S75" i="187"/>
  <c r="S71" i="187"/>
  <c r="S67" i="187"/>
  <c r="S63" i="187"/>
  <c r="K92" i="187"/>
  <c r="K87" i="187"/>
  <c r="K83" i="187"/>
  <c r="S74" i="187"/>
  <c r="S70" i="187"/>
  <c r="S66" i="187"/>
  <c r="K90" i="187"/>
  <c r="K86" i="187"/>
  <c r="K82" i="187"/>
  <c r="S73" i="187"/>
  <c r="S69" i="187"/>
  <c r="S65" i="187"/>
  <c r="O88" i="189"/>
  <c r="O82" i="189"/>
  <c r="O71" i="189"/>
  <c r="O63" i="189"/>
  <c r="O68" i="189"/>
  <c r="O92" i="189"/>
  <c r="O89" i="189"/>
  <c r="O69" i="189"/>
  <c r="O74" i="189"/>
  <c r="O66" i="189"/>
  <c r="O86" i="189"/>
  <c r="O87" i="189"/>
  <c r="O75" i="189"/>
  <c r="O67" i="189"/>
  <c r="O72" i="189"/>
  <c r="O64" i="189"/>
  <c r="N91" i="191"/>
  <c r="N90" i="191"/>
  <c r="N82" i="191"/>
  <c r="N83" i="191"/>
  <c r="N69" i="191"/>
  <c r="N72" i="191"/>
  <c r="N74" i="191"/>
  <c r="N89" i="191"/>
  <c r="N88" i="191"/>
  <c r="N80" i="191"/>
  <c r="N75" i="191"/>
  <c r="N67" i="191"/>
  <c r="N68" i="191"/>
  <c r="N66" i="191"/>
  <c r="N85" i="191"/>
  <c r="N86" i="191"/>
  <c r="N81" i="191"/>
  <c r="N73" i="191"/>
  <c r="N65" i="191"/>
  <c r="N70" i="191"/>
  <c r="P84" i="192"/>
  <c r="P89" i="192"/>
  <c r="P63" i="192"/>
  <c r="AA87" i="193"/>
  <c r="AA86" i="193"/>
  <c r="AA81" i="193"/>
  <c r="AA74" i="193"/>
  <c r="AA83" i="193"/>
  <c r="AA82" i="193"/>
  <c r="AA88" i="193"/>
  <c r="AA92" i="193"/>
  <c r="AA89" i="193"/>
  <c r="AA84" i="193"/>
  <c r="AA66" i="193"/>
  <c r="AG81" i="193"/>
  <c r="AG80" i="193"/>
  <c r="AG82" i="193"/>
  <c r="AG92" i="193"/>
  <c r="AG91" i="193"/>
  <c r="AG90" i="193"/>
  <c r="AG89" i="193"/>
  <c r="AG88" i="193"/>
  <c r="AG87" i="193"/>
  <c r="AG86" i="193"/>
  <c r="L88" i="194"/>
  <c r="L92" i="194"/>
  <c r="T88" i="194"/>
  <c r="T87" i="194"/>
  <c r="T81" i="194"/>
  <c r="T84" i="194"/>
  <c r="T83" i="194"/>
  <c r="T90" i="194"/>
  <c r="T80" i="194"/>
  <c r="T89" i="194"/>
  <c r="T86" i="194"/>
  <c r="N92" i="188"/>
  <c r="N86" i="188"/>
  <c r="N65" i="188"/>
  <c r="N80" i="188"/>
  <c r="N71" i="188"/>
  <c r="W86" i="191"/>
  <c r="W91" i="191"/>
  <c r="W83" i="191"/>
  <c r="W70" i="191"/>
  <c r="W71" i="191"/>
  <c r="W63" i="191"/>
  <c r="W92" i="191"/>
  <c r="W84" i="191"/>
  <c r="W89" i="191"/>
  <c r="W81" i="191"/>
  <c r="W68" i="191"/>
  <c r="W73" i="191"/>
  <c r="W75" i="191"/>
  <c r="W90" i="191"/>
  <c r="W82" i="191"/>
  <c r="W87" i="191"/>
  <c r="W74" i="191"/>
  <c r="W66" i="191"/>
  <c r="W69" i="191"/>
  <c r="W67" i="191"/>
  <c r="J86" i="190"/>
  <c r="J87" i="190"/>
  <c r="J92" i="190"/>
  <c r="J69" i="190"/>
  <c r="J70" i="190"/>
  <c r="J75" i="190"/>
  <c r="J82" i="190"/>
  <c r="J83" i="190"/>
  <c r="J88" i="190"/>
  <c r="J89" i="190"/>
  <c r="J85" i="190"/>
  <c r="J84" i="190"/>
  <c r="J64" i="190"/>
  <c r="J72" i="190"/>
  <c r="J67" i="190"/>
  <c r="P80" i="189"/>
  <c r="P85" i="189"/>
  <c r="P90" i="189"/>
  <c r="P68" i="189"/>
  <c r="P63" i="189"/>
  <c r="P71" i="189"/>
  <c r="P91" i="189"/>
  <c r="P83" i="189"/>
  <c r="P84" i="189"/>
  <c r="P74" i="189"/>
  <c r="P66" i="189"/>
  <c r="P75" i="189"/>
  <c r="P67" i="189"/>
  <c r="P88" i="189"/>
  <c r="P89" i="189"/>
  <c r="P81" i="189"/>
  <c r="P82" i="189"/>
  <c r="P72" i="189"/>
  <c r="P64" i="189"/>
  <c r="P65" i="189"/>
  <c r="N86" i="190"/>
  <c r="N83" i="190"/>
  <c r="N80" i="190"/>
  <c r="N73" i="190"/>
  <c r="N74" i="190"/>
  <c r="N71" i="190"/>
  <c r="N64" i="190"/>
  <c r="N82" i="190"/>
  <c r="N92" i="190"/>
  <c r="N89" i="190"/>
  <c r="N91" i="190"/>
  <c r="N88" i="190"/>
  <c r="N85" i="190"/>
  <c r="N65" i="190"/>
  <c r="N66" i="190"/>
  <c r="N63" i="190"/>
  <c r="S87" i="193"/>
  <c r="S86" i="193"/>
  <c r="S81" i="193"/>
  <c r="S83" i="193"/>
  <c r="S82" i="193"/>
  <c r="S80" i="193"/>
  <c r="S92" i="193"/>
  <c r="S89" i="193"/>
  <c r="S88" i="193"/>
  <c r="N90" i="194"/>
  <c r="N87" i="194"/>
  <c r="N92" i="194"/>
  <c r="N85" i="194"/>
  <c r="N86" i="194"/>
  <c r="N83" i="194"/>
  <c r="N88" i="194"/>
  <c r="N82" i="194"/>
  <c r="N89" i="194"/>
  <c r="N84" i="194"/>
  <c r="T73" i="194"/>
  <c r="T72" i="194"/>
  <c r="T71" i="194"/>
  <c r="N67" i="194"/>
  <c r="N70" i="194"/>
  <c r="N65" i="194"/>
  <c r="AB70" i="193"/>
  <c r="AB75" i="193"/>
  <c r="AB65" i="193"/>
  <c r="S67" i="193"/>
  <c r="S68" i="193"/>
  <c r="S73" i="193"/>
  <c r="AG69" i="193"/>
  <c r="AG74" i="193"/>
  <c r="AG75" i="193"/>
  <c r="AA75" i="193"/>
  <c r="AA65" i="193"/>
  <c r="J65" i="193"/>
  <c r="J71" i="193"/>
  <c r="J63" i="190"/>
  <c r="J74" i="190"/>
  <c r="N70" i="190"/>
  <c r="P65" i="187"/>
  <c r="N69" i="187"/>
  <c r="S72" i="187"/>
  <c r="N70" i="188"/>
  <c r="O70" i="189"/>
  <c r="P69" i="189"/>
  <c r="W65" i="191"/>
  <c r="N63" i="191"/>
  <c r="AB87" i="187"/>
  <c r="K85" i="187"/>
  <c r="W80" i="191"/>
  <c r="N92" i="191"/>
  <c r="N90" i="190"/>
  <c r="J80" i="190"/>
  <c r="AB81" i="193"/>
  <c r="AG83" i="193"/>
  <c r="S91" i="193"/>
  <c r="AA80" i="193"/>
  <c r="T91" i="194"/>
  <c r="N80" i="194"/>
  <c r="J88" i="193"/>
  <c r="J87" i="193"/>
  <c r="J82" i="193"/>
  <c r="J75" i="193"/>
  <c r="J74" i="193"/>
  <c r="J69" i="193"/>
  <c r="J64" i="193"/>
  <c r="J84" i="193"/>
  <c r="J83" i="193"/>
  <c r="J81" i="193"/>
  <c r="J80" i="193"/>
  <c r="J90" i="193"/>
  <c r="J85" i="193"/>
  <c r="J67" i="193"/>
  <c r="J66" i="193"/>
  <c r="J72" i="193"/>
  <c r="T74" i="194"/>
  <c r="T66" i="194"/>
  <c r="T70" i="194"/>
  <c r="T75" i="194"/>
  <c r="N71" i="194"/>
  <c r="N74" i="194"/>
  <c r="N69" i="194"/>
  <c r="AB63" i="193"/>
  <c r="AB64" i="193"/>
  <c r="AB69" i="193"/>
  <c r="S71" i="193"/>
  <c r="S72" i="193"/>
  <c r="S66" i="193"/>
  <c r="AG73" i="193"/>
  <c r="AG63" i="193"/>
  <c r="AG64" i="193"/>
  <c r="AA67" i="193"/>
  <c r="AA64" i="193"/>
  <c r="AA69" i="193"/>
  <c r="J73" i="193"/>
  <c r="AA69" i="192"/>
  <c r="J71" i="190"/>
  <c r="J65" i="190"/>
  <c r="N72" i="190"/>
  <c r="N68" i="190"/>
  <c r="N73" i="187"/>
  <c r="O65" i="189"/>
  <c r="P70" i="189"/>
  <c r="W64" i="191"/>
  <c r="N71" i="191"/>
  <c r="AD89" i="187"/>
  <c r="AB91" i="187"/>
  <c r="K89" i="187"/>
  <c r="N87" i="188"/>
  <c r="P92" i="189"/>
  <c r="W88" i="191"/>
  <c r="N81" i="190"/>
  <c r="J81" i="190"/>
  <c r="J86" i="193"/>
  <c r="AG84" i="193"/>
  <c r="S84" i="193"/>
  <c r="AA85" i="193"/>
  <c r="T92" i="194"/>
  <c r="N81" i="194"/>
  <c r="AB82" i="193"/>
  <c r="AB92" i="193"/>
  <c r="AB83" i="193"/>
  <c r="AB89" i="193"/>
  <c r="AB88" i="193"/>
  <c r="AB91" i="193"/>
  <c r="AB90" i="193"/>
  <c r="AB85" i="193"/>
  <c r="AB84" i="193"/>
  <c r="AB87" i="193"/>
  <c r="T65" i="194"/>
  <c r="T64" i="194"/>
  <c r="T63" i="194"/>
  <c r="N68" i="194"/>
  <c r="N75" i="194"/>
  <c r="N64" i="194"/>
  <c r="N73" i="194"/>
  <c r="AB66" i="193"/>
  <c r="AB67" i="193"/>
  <c r="AB68" i="193"/>
  <c r="AB73" i="193"/>
  <c r="S75" i="193"/>
  <c r="S65" i="193"/>
  <c r="S70" i="193"/>
  <c r="AG66" i="193"/>
  <c r="AG67" i="193"/>
  <c r="AG68" i="193"/>
  <c r="AA71" i="193"/>
  <c r="AA68" i="193"/>
  <c r="AA73" i="193"/>
  <c r="J70" i="193"/>
  <c r="J68" i="190"/>
  <c r="J73" i="190"/>
  <c r="N67" i="190"/>
  <c r="N69" i="190"/>
  <c r="S64" i="187"/>
  <c r="O73" i="189"/>
  <c r="W72" i="191"/>
  <c r="AD92" i="187"/>
  <c r="P87" i="189"/>
  <c r="O83" i="189"/>
  <c r="N87" i="191"/>
  <c r="N84" i="190"/>
  <c r="J91" i="190"/>
  <c r="J91" i="193"/>
  <c r="AG85" i="193"/>
  <c r="S85" i="193"/>
  <c r="AA90" i="193"/>
  <c r="T82" i="194"/>
  <c r="N91" i="194"/>
  <c r="Y66" i="193"/>
  <c r="Y67" i="193"/>
  <c r="Y68" i="193"/>
  <c r="X63" i="193"/>
  <c r="W74" i="193"/>
  <c r="AD64" i="193"/>
  <c r="W73" i="192"/>
  <c r="W63" i="192"/>
  <c r="W66" i="192"/>
  <c r="J75" i="192"/>
  <c r="K66" i="187"/>
  <c r="K70" i="187"/>
  <c r="K74" i="187"/>
  <c r="AG63" i="187"/>
  <c r="AG67" i="187"/>
  <c r="AG71" i="187"/>
  <c r="AG75" i="187"/>
  <c r="S70" i="189"/>
  <c r="S65" i="189"/>
  <c r="S73" i="189"/>
  <c r="T63" i="191"/>
  <c r="T64" i="191"/>
  <c r="T72" i="191"/>
  <c r="AG82" i="187"/>
  <c r="AG86" i="187"/>
  <c r="AG90" i="187"/>
  <c r="U82" i="187"/>
  <c r="U86" i="187"/>
  <c r="U90" i="187"/>
  <c r="L85" i="188"/>
  <c r="S83" i="189"/>
  <c r="S91" i="189"/>
  <c r="S86" i="189"/>
  <c r="T88" i="191"/>
  <c r="T87" i="191"/>
  <c r="T86" i="191"/>
  <c r="L86" i="190"/>
  <c r="L85" i="190"/>
  <c r="L80" i="190"/>
  <c r="K90" i="192"/>
  <c r="W90" i="192"/>
  <c r="W89" i="192"/>
  <c r="W92" i="192"/>
  <c r="W91" i="192"/>
  <c r="J83" i="192"/>
  <c r="P82" i="193"/>
  <c r="X85" i="193"/>
  <c r="Y90" i="193"/>
  <c r="Y80" i="193"/>
  <c r="Y81" i="193"/>
  <c r="Y69" i="193"/>
  <c r="Y70" i="193"/>
  <c r="Y71" i="193"/>
  <c r="Y72" i="193"/>
  <c r="X64" i="193"/>
  <c r="W71" i="193"/>
  <c r="AD73" i="193"/>
  <c r="P70" i="193"/>
  <c r="W64" i="192"/>
  <c r="W67" i="192"/>
  <c r="W70" i="192"/>
  <c r="K73" i="192"/>
  <c r="J65" i="192"/>
  <c r="K63" i="187"/>
  <c r="K67" i="187"/>
  <c r="K71" i="187"/>
  <c r="K75" i="187"/>
  <c r="M73" i="187"/>
  <c r="AG64" i="187"/>
  <c r="AG68" i="187"/>
  <c r="AG72" i="187"/>
  <c r="L74" i="188"/>
  <c r="S66" i="189"/>
  <c r="S72" i="189"/>
  <c r="S67" i="189"/>
  <c r="S75" i="189"/>
  <c r="T65" i="191"/>
  <c r="T67" i="191"/>
  <c r="T66" i="191"/>
  <c r="T74" i="191"/>
  <c r="AG83" i="187"/>
  <c r="AG87" i="187"/>
  <c r="AG91" i="187"/>
  <c r="U83" i="187"/>
  <c r="U87" i="187"/>
  <c r="U91" i="187"/>
  <c r="L86" i="188"/>
  <c r="S85" i="189"/>
  <c r="S80" i="189"/>
  <c r="S88" i="189"/>
  <c r="T80" i="191"/>
  <c r="T81" i="191"/>
  <c r="T89" i="191"/>
  <c r="T90" i="191"/>
  <c r="L90" i="190"/>
  <c r="L89" i="190"/>
  <c r="L84" i="190"/>
  <c r="K88" i="192"/>
  <c r="W82" i="192"/>
  <c r="W80" i="192"/>
  <c r="W85" i="192"/>
  <c r="J90" i="192"/>
  <c r="X90" i="193"/>
  <c r="AD82" i="193"/>
  <c r="Y83" i="193"/>
  <c r="Y84" i="193"/>
  <c r="Y85" i="193"/>
  <c r="Y73" i="193"/>
  <c r="Y74" i="193"/>
  <c r="Y75" i="193"/>
  <c r="X69" i="193"/>
  <c r="W64" i="193"/>
  <c r="AD63" i="193"/>
  <c r="P71" i="193"/>
  <c r="W69" i="192"/>
  <c r="W68" i="192"/>
  <c r="W71" i="192"/>
  <c r="W74" i="192"/>
  <c r="K63" i="192"/>
  <c r="K64" i="187"/>
  <c r="K68" i="187"/>
  <c r="K72" i="187"/>
  <c r="AG65" i="187"/>
  <c r="AG69" i="187"/>
  <c r="AG73" i="187"/>
  <c r="L75" i="188"/>
  <c r="S64" i="189"/>
  <c r="S74" i="189"/>
  <c r="S69" i="189"/>
  <c r="T69" i="191"/>
  <c r="T71" i="191"/>
  <c r="T68" i="191"/>
  <c r="AG80" i="187"/>
  <c r="AG84" i="187"/>
  <c r="AG88" i="187"/>
  <c r="U80" i="187"/>
  <c r="U84" i="187"/>
  <c r="U88" i="187"/>
  <c r="S87" i="189"/>
  <c r="S82" i="189"/>
  <c r="T92" i="191"/>
  <c r="T83" i="191"/>
  <c r="L83" i="190"/>
  <c r="L87" i="190"/>
  <c r="L88" i="190"/>
  <c r="K87" i="192"/>
  <c r="W86" i="192"/>
  <c r="W84" i="192"/>
  <c r="P91" i="193"/>
  <c r="X91" i="193"/>
  <c r="AD87" i="193"/>
  <c r="Y82" i="193"/>
  <c r="Y87" i="193"/>
  <c r="Y88" i="193"/>
  <c r="L73" i="190"/>
  <c r="R87" i="194"/>
  <c r="O67" i="193"/>
  <c r="O64" i="193"/>
  <c r="O69" i="193"/>
  <c r="O74" i="193"/>
  <c r="O88" i="193"/>
  <c r="O81" i="193"/>
  <c r="O86" i="193"/>
  <c r="O91" i="193"/>
  <c r="O63" i="193"/>
  <c r="O68" i="193"/>
  <c r="O73" i="193"/>
  <c r="T82" i="193"/>
  <c r="O80" i="193"/>
  <c r="O85" i="193"/>
  <c r="O90" i="193"/>
  <c r="O71" i="193"/>
  <c r="O72" i="193"/>
  <c r="O66" i="193"/>
  <c r="O84" i="193"/>
  <c r="O89" i="193"/>
  <c r="AF91" i="193"/>
  <c r="AB66" i="192"/>
  <c r="AB69" i="192"/>
  <c r="AB72" i="192"/>
  <c r="AB75" i="192"/>
  <c r="M71" i="192"/>
  <c r="M74" i="192"/>
  <c r="M64" i="192"/>
  <c r="M80" i="192"/>
  <c r="M82" i="192"/>
  <c r="M81" i="192"/>
  <c r="S86" i="192"/>
  <c r="AB87" i="192"/>
  <c r="AB85" i="192"/>
  <c r="AB84" i="192"/>
  <c r="AB70" i="192"/>
  <c r="AB73" i="192"/>
  <c r="AB63" i="192"/>
  <c r="M75" i="192"/>
  <c r="M65" i="192"/>
  <c r="M68" i="192"/>
  <c r="M92" i="192"/>
  <c r="M86" i="192"/>
  <c r="M85" i="192"/>
  <c r="AB91" i="192"/>
  <c r="AB89" i="192"/>
  <c r="AB88" i="192"/>
  <c r="AB74" i="192"/>
  <c r="AB64" i="192"/>
  <c r="AB67" i="192"/>
  <c r="M67" i="192"/>
  <c r="M66" i="192"/>
  <c r="M69" i="192"/>
  <c r="M72" i="192"/>
  <c r="M84" i="192"/>
  <c r="M83" i="192"/>
  <c r="M90" i="192"/>
  <c r="AB82" i="192"/>
  <c r="AB90" i="192"/>
  <c r="AB86" i="192"/>
  <c r="L63" i="190"/>
  <c r="V64" i="191"/>
  <c r="V86" i="191"/>
  <c r="V65" i="191"/>
  <c r="V81" i="191"/>
  <c r="V73" i="191"/>
  <c r="V70" i="191"/>
  <c r="V68" i="191"/>
  <c r="V67" i="191"/>
  <c r="V75" i="191"/>
  <c r="V80" i="191"/>
  <c r="V88" i="191"/>
  <c r="V89" i="191"/>
  <c r="V66" i="191"/>
  <c r="V72" i="191"/>
  <c r="V69" i="191"/>
  <c r="V85" i="191"/>
  <c r="V82" i="191"/>
  <c r="V90" i="191"/>
  <c r="V91" i="191"/>
  <c r="V74" i="191"/>
  <c r="V63" i="191"/>
  <c r="V71" i="191"/>
  <c r="V83" i="191"/>
  <c r="V84" i="191"/>
  <c r="M68" i="188"/>
  <c r="M84" i="188"/>
  <c r="R72" i="194"/>
  <c r="R86" i="194"/>
  <c r="R75" i="194"/>
  <c r="R68" i="194"/>
  <c r="R88" i="194"/>
  <c r="K73" i="193"/>
  <c r="Q69" i="193"/>
  <c r="U69" i="193"/>
  <c r="AH80" i="193"/>
  <c r="K90" i="193"/>
  <c r="Q91" i="193"/>
  <c r="U88" i="193"/>
  <c r="Z88" i="193"/>
  <c r="AH64" i="193"/>
  <c r="Z72" i="193"/>
  <c r="Q74" i="193"/>
  <c r="U63" i="193"/>
  <c r="K91" i="193"/>
  <c r="Q92" i="193"/>
  <c r="U89" i="193"/>
  <c r="K67" i="193"/>
  <c r="Z66" i="193"/>
  <c r="Q75" i="193"/>
  <c r="U64" i="193"/>
  <c r="AH85" i="193"/>
  <c r="K80" i="193"/>
  <c r="U86" i="193"/>
  <c r="Z82" i="193"/>
  <c r="AH71" i="193"/>
  <c r="AF64" i="193"/>
  <c r="AH89" i="193"/>
  <c r="AH83" i="193"/>
  <c r="AH84" i="193"/>
  <c r="AH66" i="193"/>
  <c r="AH74" i="193"/>
  <c r="AH67" i="193"/>
  <c r="AH82" i="193"/>
  <c r="AH87" i="193"/>
  <c r="AH88" i="193"/>
  <c r="AH63" i="193"/>
  <c r="AH65" i="193"/>
  <c r="AH73" i="193"/>
  <c r="AH81" i="193"/>
  <c r="AH86" i="193"/>
  <c r="AH91" i="193"/>
  <c r="AH92" i="193"/>
  <c r="AH70" i="193"/>
  <c r="AH69" i="193"/>
  <c r="AH72" i="193"/>
  <c r="K64" i="192"/>
  <c r="K67" i="192"/>
  <c r="K70" i="192"/>
  <c r="J63" i="192"/>
  <c r="J66" i="192"/>
  <c r="J69" i="192"/>
  <c r="K81" i="192"/>
  <c r="K92" i="192"/>
  <c r="K91" i="192"/>
  <c r="J85" i="192"/>
  <c r="J91" i="192"/>
  <c r="K69" i="192"/>
  <c r="K68" i="192"/>
  <c r="K71" i="192"/>
  <c r="K74" i="192"/>
  <c r="J68" i="192"/>
  <c r="J67" i="192"/>
  <c r="J70" i="192"/>
  <c r="J73" i="192"/>
  <c r="K86" i="192"/>
  <c r="K85" i="192"/>
  <c r="J84" i="192"/>
  <c r="J88" i="192"/>
  <c r="K65" i="192"/>
  <c r="K72" i="192"/>
  <c r="K75" i="192"/>
  <c r="J64" i="192"/>
  <c r="J71" i="192"/>
  <c r="J74" i="192"/>
  <c r="K80" i="192"/>
  <c r="K83" i="192"/>
  <c r="J89" i="192"/>
  <c r="J92" i="192"/>
  <c r="J82" i="192"/>
  <c r="R91" i="191"/>
  <c r="J82" i="191"/>
  <c r="N66" i="189"/>
  <c r="N65" i="189"/>
  <c r="N73" i="189"/>
  <c r="N83" i="189"/>
  <c r="N92" i="189"/>
  <c r="N64" i="189"/>
  <c r="N72" i="189"/>
  <c r="N67" i="189"/>
  <c r="N75" i="189"/>
  <c r="N82" i="189"/>
  <c r="N85" i="189"/>
  <c r="N68" i="189"/>
  <c r="N74" i="189"/>
  <c r="N69" i="189"/>
  <c r="N84" i="189"/>
  <c r="N89" i="189"/>
  <c r="N64" i="188"/>
  <c r="N69" i="188"/>
  <c r="N74" i="188"/>
  <c r="N75" i="188"/>
  <c r="L63" i="188"/>
  <c r="L64" i="188"/>
  <c r="L69" i="188"/>
  <c r="L87" i="188"/>
  <c r="L92" i="188"/>
  <c r="L89" i="188"/>
  <c r="L90" i="188"/>
  <c r="N90" i="188"/>
  <c r="N91" i="188"/>
  <c r="N84" i="188"/>
  <c r="N68" i="188"/>
  <c r="N73" i="188"/>
  <c r="N63" i="188"/>
  <c r="L66" i="188"/>
  <c r="L67" i="188"/>
  <c r="L68" i="188"/>
  <c r="L73" i="188"/>
  <c r="L80" i="188"/>
  <c r="L91" i="188"/>
  <c r="L83" i="188"/>
  <c r="N81" i="188"/>
  <c r="N85" i="188"/>
  <c r="N88" i="188"/>
  <c r="N72" i="188"/>
  <c r="N66" i="188"/>
  <c r="N67" i="188"/>
  <c r="L70" i="188"/>
  <c r="L71" i="188"/>
  <c r="L72" i="188"/>
  <c r="L84" i="188"/>
  <c r="L81" i="188"/>
  <c r="N82" i="188"/>
  <c r="N83" i="188"/>
  <c r="N89" i="188"/>
  <c r="J64" i="194"/>
  <c r="J74" i="194"/>
  <c r="J80" i="194"/>
  <c r="J87" i="194"/>
  <c r="J63" i="194"/>
  <c r="J68" i="194"/>
  <c r="J69" i="194"/>
  <c r="J84" i="194"/>
  <c r="J85" i="194"/>
  <c r="J67" i="194"/>
  <c r="J66" i="194"/>
  <c r="J73" i="194"/>
  <c r="J92" i="194"/>
  <c r="J82" i="194"/>
  <c r="L63" i="193"/>
  <c r="AF69" i="193"/>
  <c r="T63" i="193"/>
  <c r="L87" i="193"/>
  <c r="AF92" i="193"/>
  <c r="L64" i="193"/>
  <c r="T64" i="193"/>
  <c r="L88" i="193"/>
  <c r="T87" i="193"/>
  <c r="AF82" i="193"/>
  <c r="L69" i="193"/>
  <c r="AF63" i="193"/>
  <c r="T69" i="193"/>
  <c r="L89" i="193"/>
  <c r="T92" i="193"/>
  <c r="L74" i="193"/>
  <c r="L67" i="193"/>
  <c r="L68" i="193"/>
  <c r="L73" i="193"/>
  <c r="AF74" i="193"/>
  <c r="AF67" i="193"/>
  <c r="AF68" i="193"/>
  <c r="AF73" i="193"/>
  <c r="T66" i="193"/>
  <c r="T67" i="193"/>
  <c r="T68" i="193"/>
  <c r="T73" i="193"/>
  <c r="L91" i="193"/>
  <c r="L92" i="193"/>
  <c r="L82" i="193"/>
  <c r="T80" i="193"/>
  <c r="T81" i="193"/>
  <c r="T86" i="193"/>
  <c r="AF80" i="193"/>
  <c r="AF81" i="193"/>
  <c r="AF86" i="193"/>
  <c r="L66" i="193"/>
  <c r="L71" i="193"/>
  <c r="L72" i="193"/>
  <c r="AF70" i="193"/>
  <c r="AF71" i="193"/>
  <c r="AF72" i="193"/>
  <c r="T70" i="193"/>
  <c r="T71" i="193"/>
  <c r="T72" i="193"/>
  <c r="L80" i="193"/>
  <c r="L81" i="193"/>
  <c r="L86" i="193"/>
  <c r="T91" i="193"/>
  <c r="T84" i="193"/>
  <c r="T85" i="193"/>
  <c r="T90" i="193"/>
  <c r="AF83" i="193"/>
  <c r="AF84" i="193"/>
  <c r="AF85" i="193"/>
  <c r="AF90" i="193"/>
  <c r="L70" i="193"/>
  <c r="L75" i="193"/>
  <c r="L65" i="193"/>
  <c r="AF66" i="193"/>
  <c r="AF75" i="193"/>
  <c r="AF65" i="193"/>
  <c r="T74" i="193"/>
  <c r="T75" i="193"/>
  <c r="T65" i="193"/>
  <c r="L83" i="193"/>
  <c r="L84" i="193"/>
  <c r="L85" i="193"/>
  <c r="T83" i="193"/>
  <c r="T88" i="193"/>
  <c r="AF87" i="193"/>
  <c r="AF88" i="193"/>
  <c r="O68" i="192"/>
  <c r="S70" i="192"/>
  <c r="O70" i="192"/>
  <c r="Z89" i="192"/>
  <c r="Z84" i="192"/>
  <c r="Z87" i="192"/>
  <c r="Y83" i="192"/>
  <c r="Y82" i="192"/>
  <c r="S88" i="192"/>
  <c r="S64" i="192"/>
  <c r="O74" i="192"/>
  <c r="S83" i="192"/>
  <c r="O80" i="192"/>
  <c r="S63" i="192"/>
  <c r="O64" i="192"/>
  <c r="O84" i="192"/>
  <c r="L74" i="190"/>
  <c r="L72" i="190"/>
  <c r="L69" i="190"/>
  <c r="L66" i="190"/>
  <c r="N91" i="189"/>
  <c r="N90" i="189"/>
  <c r="O81" i="189"/>
  <c r="O91" i="189"/>
  <c r="O90" i="189"/>
  <c r="M70" i="188"/>
  <c r="M72" i="188"/>
  <c r="M88" i="188"/>
  <c r="M67" i="188"/>
  <c r="M87" i="188"/>
  <c r="M81" i="188"/>
  <c r="M65" i="188"/>
  <c r="M71" i="188"/>
  <c r="M91" i="188"/>
  <c r="M85" i="188"/>
  <c r="L70" i="187"/>
  <c r="Z87" i="187"/>
  <c r="AA73" i="187"/>
  <c r="R63" i="194"/>
  <c r="R66" i="194"/>
  <c r="R65" i="194"/>
  <c r="R89" i="194"/>
  <c r="R92" i="194"/>
  <c r="R91" i="194"/>
  <c r="R90" i="194"/>
  <c r="R67" i="194"/>
  <c r="R70" i="194"/>
  <c r="R69" i="194"/>
  <c r="R80" i="194"/>
  <c r="R85" i="194"/>
  <c r="R81" i="194"/>
  <c r="R64" i="194"/>
  <c r="R71" i="194"/>
  <c r="R74" i="194"/>
  <c r="R73" i="194"/>
  <c r="R84" i="194"/>
  <c r="R83" i="194"/>
  <c r="K75" i="193"/>
  <c r="K72" i="193"/>
  <c r="K66" i="193"/>
  <c r="Z65" i="193"/>
  <c r="Z70" i="193"/>
  <c r="Z71" i="193"/>
  <c r="Q73" i="193"/>
  <c r="Q63" i="193"/>
  <c r="Q64" i="193"/>
  <c r="U66" i="193"/>
  <c r="U67" i="193"/>
  <c r="U68" i="193"/>
  <c r="K84" i="193"/>
  <c r="K89" i="193"/>
  <c r="K92" i="193"/>
  <c r="Q82" i="193"/>
  <c r="Q80" i="193"/>
  <c r="Q81" i="193"/>
  <c r="U90" i="193"/>
  <c r="U91" i="193"/>
  <c r="U92" i="193"/>
  <c r="Z85" i="193"/>
  <c r="Z86" i="193"/>
  <c r="Z91" i="193"/>
  <c r="Z92" i="193"/>
  <c r="K63" i="193"/>
  <c r="K65" i="193"/>
  <c r="K70" i="193"/>
  <c r="Z64" i="193"/>
  <c r="Z69" i="193"/>
  <c r="Z74" i="193"/>
  <c r="Z75" i="193"/>
  <c r="Q66" i="193"/>
  <c r="Q67" i="193"/>
  <c r="Q68" i="193"/>
  <c r="U73" i="193"/>
  <c r="U70" i="193"/>
  <c r="U71" i="193"/>
  <c r="U72" i="193"/>
  <c r="K88" i="193"/>
  <c r="K82" i="193"/>
  <c r="K83" i="193"/>
  <c r="Q83" i="193"/>
  <c r="Q84" i="193"/>
  <c r="Q85" i="193"/>
  <c r="U82" i="193"/>
  <c r="U80" i="193"/>
  <c r="U81" i="193"/>
  <c r="Z89" i="193"/>
  <c r="Z90" i="193"/>
  <c r="Z80" i="193"/>
  <c r="K71" i="193"/>
  <c r="K64" i="193"/>
  <c r="K69" i="193"/>
  <c r="K74" i="193"/>
  <c r="Z68" i="193"/>
  <c r="Z73" i="193"/>
  <c r="Z63" i="193"/>
  <c r="Q65" i="193"/>
  <c r="Q70" i="193"/>
  <c r="Q71" i="193"/>
  <c r="Q72" i="193"/>
  <c r="U65" i="193"/>
  <c r="U74" i="193"/>
  <c r="U75" i="193"/>
  <c r="K81" i="193"/>
  <c r="K86" i="193"/>
  <c r="Q90" i="193"/>
  <c r="Q87" i="193"/>
  <c r="Q88" i="193"/>
  <c r="U83" i="193"/>
  <c r="U84" i="193"/>
  <c r="Z81" i="193"/>
  <c r="Z83" i="193"/>
  <c r="M65" i="190"/>
  <c r="M82" i="190"/>
  <c r="M70" i="190"/>
  <c r="M92" i="190"/>
  <c r="M68" i="190"/>
  <c r="M84" i="190"/>
  <c r="M83" i="190"/>
  <c r="M86" i="190"/>
  <c r="M81" i="190"/>
  <c r="M74" i="190"/>
  <c r="M72" i="190"/>
  <c r="M75" i="190"/>
  <c r="M63" i="190"/>
  <c r="M73" i="190"/>
  <c r="M87" i="190"/>
  <c r="M90" i="190"/>
  <c r="M85" i="190"/>
  <c r="M67" i="190"/>
  <c r="M69" i="190"/>
  <c r="M66" i="190"/>
  <c r="M71" i="190"/>
  <c r="M64" i="190"/>
  <c r="M88" i="190"/>
  <c r="M91" i="190"/>
  <c r="M80" i="190"/>
  <c r="J90" i="191"/>
  <c r="R84" i="191"/>
  <c r="R68" i="191"/>
  <c r="R74" i="191"/>
  <c r="J65" i="191"/>
  <c r="R92" i="191"/>
  <c r="J66" i="191"/>
  <c r="R69" i="191"/>
  <c r="J73" i="191"/>
  <c r="J91" i="191"/>
  <c r="R63" i="191"/>
  <c r="J67" i="191"/>
  <c r="J83" i="191"/>
  <c r="J84" i="191"/>
  <c r="J92" i="191"/>
  <c r="R85" i="191"/>
  <c r="R86" i="191"/>
  <c r="R83" i="191"/>
  <c r="R66" i="191"/>
  <c r="R65" i="191"/>
  <c r="R73" i="191"/>
  <c r="J64" i="191"/>
  <c r="J74" i="191"/>
  <c r="J69" i="191"/>
  <c r="K65" i="191"/>
  <c r="J85" i="191"/>
  <c r="J87" i="191"/>
  <c r="J86" i="191"/>
  <c r="J81" i="191"/>
  <c r="R81" i="191"/>
  <c r="R80" i="191"/>
  <c r="R88" i="191"/>
  <c r="R87" i="191"/>
  <c r="R72" i="191"/>
  <c r="R71" i="191"/>
  <c r="J72" i="191"/>
  <c r="J70" i="191"/>
  <c r="J75" i="191"/>
  <c r="R64" i="191"/>
  <c r="R70" i="191"/>
  <c r="R67" i="191"/>
  <c r="R75" i="191"/>
  <c r="J68" i="191"/>
  <c r="J63" i="191"/>
  <c r="J71" i="191"/>
  <c r="J89" i="191"/>
  <c r="J80" i="191"/>
  <c r="K82" i="191"/>
  <c r="R89" i="191"/>
  <c r="R82" i="191"/>
  <c r="M69" i="188"/>
  <c r="M74" i="188"/>
  <c r="M75" i="188"/>
  <c r="M82" i="188"/>
  <c r="M86" i="188"/>
  <c r="M92" i="188"/>
  <c r="M89" i="188"/>
  <c r="M73" i="188"/>
  <c r="M63" i="188"/>
  <c r="M64" i="188"/>
  <c r="M83" i="188"/>
  <c r="M80" i="188"/>
  <c r="AA80" i="187"/>
  <c r="AA88" i="187"/>
  <c r="M65" i="187"/>
  <c r="Y81" i="187"/>
  <c r="AF64" i="187"/>
  <c r="M66" i="187"/>
  <c r="M74" i="187"/>
  <c r="Y85" i="187"/>
  <c r="AA81" i="187"/>
  <c r="AA89" i="187"/>
  <c r="AF68" i="187"/>
  <c r="M69" i="187"/>
  <c r="Y89" i="187"/>
  <c r="AA84" i="187"/>
  <c r="AA92" i="187"/>
  <c r="AF72" i="187"/>
  <c r="M70" i="187"/>
  <c r="AA85" i="187"/>
  <c r="J71" i="194"/>
  <c r="J72" i="194"/>
  <c r="J65" i="194"/>
  <c r="J81" i="194"/>
  <c r="J88" i="194"/>
  <c r="J91" i="194"/>
  <c r="P73" i="194"/>
  <c r="P66" i="194"/>
  <c r="P86" i="194"/>
  <c r="P75" i="194"/>
  <c r="P91" i="194"/>
  <c r="P70" i="194"/>
  <c r="P80" i="194"/>
  <c r="P74" i="194"/>
  <c r="P64" i="194"/>
  <c r="P63" i="194"/>
  <c r="P90" i="194"/>
  <c r="P81" i="194"/>
  <c r="P84" i="194"/>
  <c r="P65" i="194"/>
  <c r="P68" i="194"/>
  <c r="P67" i="194"/>
  <c r="P83" i="194"/>
  <c r="P85" i="194"/>
  <c r="P88" i="194"/>
  <c r="P69" i="194"/>
  <c r="P72" i="194"/>
  <c r="P71" i="194"/>
  <c r="P82" i="194"/>
  <c r="P87" i="194"/>
  <c r="P89" i="194"/>
  <c r="L75" i="194"/>
  <c r="L83" i="194"/>
  <c r="L66" i="194"/>
  <c r="L86" i="194"/>
  <c r="L70" i="194"/>
  <c r="L89" i="194"/>
  <c r="L65" i="194"/>
  <c r="L74" i="194"/>
  <c r="L63" i="194"/>
  <c r="L87" i="194"/>
  <c r="L90" i="194"/>
  <c r="L80" i="194"/>
  <c r="L69" i="194"/>
  <c r="L64" i="194"/>
  <c r="L67" i="194"/>
  <c r="L91" i="194"/>
  <c r="L81" i="194"/>
  <c r="L84" i="194"/>
  <c r="L73" i="194"/>
  <c r="L68" i="194"/>
  <c r="L71" i="194"/>
  <c r="L82" i="194"/>
  <c r="L85" i="194"/>
  <c r="X66" i="193"/>
  <c r="X67" i="193"/>
  <c r="X68" i="193"/>
  <c r="X73" i="193"/>
  <c r="W63" i="193"/>
  <c r="W68" i="193"/>
  <c r="W73" i="193"/>
  <c r="AD68" i="193"/>
  <c r="AD66" i="193"/>
  <c r="AD67" i="193"/>
  <c r="P66" i="193"/>
  <c r="P75" i="193"/>
  <c r="P65" i="193"/>
  <c r="P80" i="193"/>
  <c r="P81" i="193"/>
  <c r="P86" i="193"/>
  <c r="X87" i="193"/>
  <c r="X88" i="193"/>
  <c r="X89" i="193"/>
  <c r="AD85" i="193"/>
  <c r="AD86" i="193"/>
  <c r="AD91" i="193"/>
  <c r="AD92" i="193"/>
  <c r="W84" i="193"/>
  <c r="W81" i="193"/>
  <c r="W86" i="193"/>
  <c r="W91" i="193"/>
  <c r="W92" i="193"/>
  <c r="X70" i="193"/>
  <c r="X71" i="193"/>
  <c r="X72" i="193"/>
  <c r="W67" i="193"/>
  <c r="W72" i="193"/>
  <c r="W66" i="193"/>
  <c r="AD65" i="193"/>
  <c r="AD70" i="193"/>
  <c r="AD71" i="193"/>
  <c r="P63" i="193"/>
  <c r="P64" i="193"/>
  <c r="P69" i="193"/>
  <c r="P83" i="193"/>
  <c r="P84" i="193"/>
  <c r="P85" i="193"/>
  <c r="P90" i="193"/>
  <c r="X83" i="193"/>
  <c r="X92" i="193"/>
  <c r="X82" i="193"/>
  <c r="AD81" i="193"/>
  <c r="AD90" i="193"/>
  <c r="AD80" i="193"/>
  <c r="W88" i="193"/>
  <c r="W85" i="193"/>
  <c r="W90" i="193"/>
  <c r="W82" i="193"/>
  <c r="W87" i="193"/>
  <c r="X74" i="193"/>
  <c r="X75" i="193"/>
  <c r="X65" i="193"/>
  <c r="W75" i="193"/>
  <c r="W65" i="193"/>
  <c r="W70" i="193"/>
  <c r="AD72" i="193"/>
  <c r="AD69" i="193"/>
  <c r="AD74" i="193"/>
  <c r="AD75" i="193"/>
  <c r="P74" i="193"/>
  <c r="P67" i="193"/>
  <c r="P68" i="193"/>
  <c r="P73" i="193"/>
  <c r="P87" i="193"/>
  <c r="P88" i="193"/>
  <c r="X80" i="193"/>
  <c r="X81" i="193"/>
  <c r="AD89" i="193"/>
  <c r="AD83" i="193"/>
  <c r="W80" i="193"/>
  <c r="W89" i="193"/>
  <c r="AA68" i="192"/>
  <c r="AA86" i="192"/>
  <c r="P88" i="192"/>
  <c r="AA71" i="192"/>
  <c r="P70" i="192"/>
  <c r="S67" i="192"/>
  <c r="O67" i="192"/>
  <c r="AA88" i="192"/>
  <c r="S81" i="192"/>
  <c r="S87" i="192"/>
  <c r="O86" i="192"/>
  <c r="O83" i="192"/>
  <c r="AA74" i="192"/>
  <c r="P73" i="192"/>
  <c r="S73" i="192"/>
  <c r="S66" i="192"/>
  <c r="O65" i="192"/>
  <c r="O71" i="192"/>
  <c r="AA87" i="192"/>
  <c r="S84" i="192"/>
  <c r="O90" i="192"/>
  <c r="O87" i="192"/>
  <c r="P82" i="192"/>
  <c r="AA65" i="192"/>
  <c r="AA75" i="192"/>
  <c r="P74" i="192"/>
  <c r="P67" i="192"/>
  <c r="AA85" i="192"/>
  <c r="AA91" i="192"/>
  <c r="P83" i="192"/>
  <c r="P90" i="192"/>
  <c r="AA73" i="192"/>
  <c r="AA63" i="192"/>
  <c r="AA66" i="192"/>
  <c r="P65" i="192"/>
  <c r="P68" i="192"/>
  <c r="P71" i="192"/>
  <c r="S65" i="192"/>
  <c r="S68" i="192"/>
  <c r="S71" i="192"/>
  <c r="S74" i="192"/>
  <c r="O69" i="192"/>
  <c r="O72" i="192"/>
  <c r="O75" i="192"/>
  <c r="AA82" i="192"/>
  <c r="AA80" i="192"/>
  <c r="AA89" i="192"/>
  <c r="S82" i="192"/>
  <c r="S85" i="192"/>
  <c r="S92" i="192"/>
  <c r="S91" i="192"/>
  <c r="O81" i="192"/>
  <c r="O85" i="192"/>
  <c r="O88" i="192"/>
  <c r="O91" i="192"/>
  <c r="P91" i="192"/>
  <c r="P81" i="192"/>
  <c r="P80" i="192"/>
  <c r="AA72" i="192"/>
  <c r="P64" i="192"/>
  <c r="AA90" i="192"/>
  <c r="AA92" i="192"/>
  <c r="P86" i="192"/>
  <c r="P92" i="192"/>
  <c r="AA64" i="192"/>
  <c r="AA67" i="192"/>
  <c r="AA70" i="192"/>
  <c r="P66" i="192"/>
  <c r="P69" i="192"/>
  <c r="P72" i="192"/>
  <c r="P75" i="192"/>
  <c r="S69" i="192"/>
  <c r="S72" i="192"/>
  <c r="S75" i="192"/>
  <c r="O73" i="192"/>
  <c r="O63" i="192"/>
  <c r="O66" i="192"/>
  <c r="AA81" i="192"/>
  <c r="AA84" i="192"/>
  <c r="K82" i="192"/>
  <c r="K84" i="192"/>
  <c r="S90" i="192"/>
  <c r="S80" i="192"/>
  <c r="O82" i="192"/>
  <c r="O89" i="192"/>
  <c r="J80" i="192"/>
  <c r="J87" i="192"/>
  <c r="P87" i="192"/>
  <c r="P85" i="192"/>
  <c r="L67" i="190"/>
  <c r="L65" i="190"/>
  <c r="L71" i="190"/>
  <c r="L68" i="190"/>
  <c r="L75" i="190"/>
  <c r="K68" i="191"/>
  <c r="K90" i="191"/>
  <c r="K69" i="191"/>
  <c r="K87" i="191"/>
  <c r="K67" i="191"/>
  <c r="K73" i="191"/>
  <c r="K70" i="191"/>
  <c r="K81" i="191"/>
  <c r="K89" i="191"/>
  <c r="K84" i="191"/>
  <c r="K92" i="191"/>
  <c r="K71" i="191"/>
  <c r="K64" i="191"/>
  <c r="K72" i="191"/>
  <c r="K83" i="191"/>
  <c r="K91" i="191"/>
  <c r="K86" i="191"/>
  <c r="K63" i="191"/>
  <c r="K75" i="191"/>
  <c r="K66" i="191"/>
  <c r="K74" i="191"/>
  <c r="K85" i="191"/>
  <c r="K80" i="191"/>
  <c r="N80" i="189"/>
  <c r="N88" i="189"/>
  <c r="O85" i="189"/>
  <c r="O80" i="189"/>
  <c r="L75" i="187"/>
  <c r="V63" i="187"/>
  <c r="Z92" i="187"/>
  <c r="N88" i="187"/>
  <c r="L64" i="187"/>
  <c r="V71" i="187"/>
  <c r="L67" i="187"/>
  <c r="Z83" i="187"/>
  <c r="N83" i="187"/>
  <c r="L63" i="187"/>
  <c r="L71" i="187"/>
  <c r="L72" i="187"/>
  <c r="V70" i="187"/>
  <c r="V67" i="187"/>
  <c r="V74" i="187"/>
  <c r="P68" i="187"/>
  <c r="P67" i="187"/>
  <c r="P74" i="187"/>
  <c r="AC65" i="187"/>
  <c r="AC64" i="187"/>
  <c r="AC72" i="187"/>
  <c r="M63" i="187"/>
  <c r="M67" i="187"/>
  <c r="M71" i="187"/>
  <c r="M75" i="187"/>
  <c r="V80" i="187"/>
  <c r="V88" i="187"/>
  <c r="V85" i="187"/>
  <c r="V91" i="187"/>
  <c r="AD83" i="187"/>
  <c r="AD80" i="187"/>
  <c r="AD88" i="187"/>
  <c r="Z81" i="187"/>
  <c r="Z85" i="187"/>
  <c r="Z89" i="187"/>
  <c r="N87" i="187"/>
  <c r="N84" i="187"/>
  <c r="N91" i="187"/>
  <c r="AA82" i="187"/>
  <c r="AA86" i="187"/>
  <c r="AA91" i="187"/>
  <c r="AC69" i="187"/>
  <c r="AC68" i="187"/>
  <c r="AC75" i="187"/>
  <c r="V84" i="187"/>
  <c r="V81" i="187"/>
  <c r="V89" i="187"/>
  <c r="L66" i="187"/>
  <c r="L69" i="187"/>
  <c r="L74" i="187"/>
  <c r="V68" i="187"/>
  <c r="V65" i="187"/>
  <c r="V73" i="187"/>
  <c r="AC63" i="187"/>
  <c r="AC71" i="187"/>
  <c r="AC70" i="187"/>
  <c r="AC74" i="187"/>
  <c r="V86" i="187"/>
  <c r="V83" i="187"/>
  <c r="V90" i="187"/>
  <c r="Z80" i="187"/>
  <c r="Z84" i="187"/>
  <c r="Z88" i="187"/>
  <c r="Z91" i="187"/>
  <c r="N85" i="187"/>
  <c r="N82" i="187"/>
  <c r="N90" i="187"/>
  <c r="L65" i="187"/>
  <c r="L68" i="187"/>
  <c r="L73" i="187"/>
  <c r="V64" i="187"/>
  <c r="V72" i="187"/>
  <c r="V69" i="187"/>
  <c r="V75" i="187"/>
  <c r="P70" i="187"/>
  <c r="P69" i="187"/>
  <c r="P73" i="187"/>
  <c r="AC67" i="187"/>
  <c r="AC66" i="187"/>
  <c r="AC73" i="187"/>
  <c r="M64" i="187"/>
  <c r="M68" i="187"/>
  <c r="M72" i="187"/>
  <c r="V82" i="187"/>
  <c r="V92" i="187"/>
  <c r="AD85" i="187"/>
  <c r="AD82" i="187"/>
  <c r="Z82" i="187"/>
  <c r="Z86" i="187"/>
  <c r="N81" i="187"/>
  <c r="N89" i="187"/>
  <c r="N86" i="187"/>
  <c r="AA83" i="187"/>
  <c r="AA87" i="187"/>
  <c r="AA65" i="187"/>
  <c r="AF66" i="187"/>
  <c r="AF70" i="187"/>
  <c r="AF74" i="187"/>
  <c r="Y83" i="187"/>
  <c r="Y87" i="187"/>
  <c r="Y91" i="187"/>
  <c r="S85" i="187"/>
  <c r="AF65" i="187"/>
  <c r="AF69" i="187"/>
  <c r="AF73" i="187"/>
  <c r="Y82" i="187"/>
  <c r="Y86" i="187"/>
  <c r="Y90" i="187"/>
  <c r="S81" i="187"/>
  <c r="AA69" i="187"/>
  <c r="AF63" i="187"/>
  <c r="AF67" i="187"/>
  <c r="AF71" i="187"/>
  <c r="AF75" i="187"/>
  <c r="Y80" i="187"/>
  <c r="Y84" i="187"/>
  <c r="Y88" i="187"/>
  <c r="S89" i="187"/>
  <c r="AA66" i="187"/>
  <c r="AA70" i="187"/>
  <c r="AA74" i="187"/>
  <c r="S82" i="187"/>
  <c r="S86" i="187"/>
  <c r="S90" i="187"/>
  <c r="AA63" i="187"/>
  <c r="AA67" i="187"/>
  <c r="AA71" i="187"/>
  <c r="AA75" i="187"/>
  <c r="S83" i="187"/>
  <c r="S87" i="187"/>
  <c r="S91" i="187"/>
  <c r="AA64" i="187"/>
  <c r="AA68" i="187"/>
  <c r="AA72" i="187"/>
  <c r="S80" i="187"/>
  <c r="S84" i="187"/>
  <c r="S88" i="187"/>
  <c r="Q76" i="194"/>
  <c r="S76" i="194"/>
  <c r="O76" i="194"/>
  <c r="K76" i="194"/>
  <c r="P67" i="195"/>
  <c r="P71" i="195"/>
  <c r="P75" i="195"/>
  <c r="P65" i="195"/>
  <c r="R73" i="195"/>
  <c r="R72" i="195"/>
  <c r="P68" i="195"/>
  <c r="R68" i="195"/>
  <c r="L71" i="195"/>
  <c r="P72" i="195"/>
  <c r="R63" i="195"/>
  <c r="L75" i="195"/>
  <c r="P64" i="195"/>
  <c r="P74" i="195"/>
  <c r="R66" i="195"/>
  <c r="R67" i="195"/>
  <c r="L63" i="195"/>
  <c r="L66" i="195"/>
  <c r="K69" i="195"/>
  <c r="P66" i="195"/>
  <c r="P63" i="195"/>
  <c r="R74" i="195"/>
  <c r="R71" i="195"/>
  <c r="L69" i="195"/>
  <c r="L70" i="195"/>
  <c r="J72" i="195"/>
  <c r="J65" i="195"/>
  <c r="J73" i="195"/>
  <c r="P73" i="195"/>
  <c r="P70" i="195"/>
  <c r="R70" i="195"/>
  <c r="R65" i="195"/>
  <c r="R75" i="195"/>
  <c r="L65" i="195"/>
  <c r="L68" i="195"/>
  <c r="J74" i="195"/>
  <c r="J63" i="195"/>
  <c r="J66" i="195"/>
  <c r="R69" i="195"/>
  <c r="L73" i="195"/>
  <c r="L64" i="195"/>
  <c r="J68" i="195"/>
  <c r="J69" i="195"/>
  <c r="N75" i="195"/>
  <c r="M65" i="195"/>
  <c r="Q65" i="195"/>
  <c r="M73" i="195"/>
  <c r="N66" i="195"/>
  <c r="Q73" i="195"/>
  <c r="M68" i="195"/>
  <c r="N67" i="195"/>
  <c r="Q68" i="195"/>
  <c r="J70" i="195"/>
  <c r="J71" i="195"/>
  <c r="M69" i="195"/>
  <c r="M64" i="195"/>
  <c r="M72" i="195"/>
  <c r="N64" i="195"/>
  <c r="N63" i="195"/>
  <c r="N71" i="195"/>
  <c r="N70" i="195"/>
  <c r="Q69" i="195"/>
  <c r="Q64" i="195"/>
  <c r="Q72" i="195"/>
  <c r="M67" i="195"/>
  <c r="M75" i="195"/>
  <c r="M70" i="195"/>
  <c r="N72" i="195"/>
  <c r="N69" i="195"/>
  <c r="N68" i="195"/>
  <c r="Q67" i="195"/>
  <c r="Q75" i="195"/>
  <c r="Q70" i="195"/>
  <c r="M63" i="195"/>
  <c r="M71" i="195"/>
  <c r="M66" i="195"/>
  <c r="N74" i="195"/>
  <c r="N65" i="195"/>
  <c r="Q63" i="195"/>
  <c r="Q71" i="195"/>
  <c r="Q66" i="195"/>
  <c r="J64" i="195"/>
  <c r="J67" i="195"/>
  <c r="O72" i="195"/>
  <c r="O64" i="195"/>
  <c r="O67" i="195"/>
  <c r="O75" i="195"/>
  <c r="O66" i="195"/>
  <c r="K66" i="195"/>
  <c r="O68" i="195"/>
  <c r="O63" i="195"/>
  <c r="O71" i="195"/>
  <c r="O74" i="195"/>
  <c r="O69" i="195"/>
  <c r="O70" i="195"/>
  <c r="O65" i="195"/>
  <c r="O73" i="195"/>
  <c r="K68" i="195"/>
  <c r="K63" i="195"/>
  <c r="K71" i="195"/>
  <c r="K70" i="195"/>
  <c r="K65" i="195"/>
  <c r="K73" i="195"/>
  <c r="K64" i="195"/>
  <c r="K72" i="195"/>
  <c r="K67" i="195"/>
  <c r="K75" i="195"/>
  <c r="V93" i="192"/>
  <c r="S93" i="194"/>
  <c r="O93" i="191"/>
  <c r="K93" i="190"/>
  <c r="R93" i="189"/>
  <c r="O76" i="190"/>
  <c r="M76" i="191"/>
  <c r="O76" i="191"/>
  <c r="P76" i="191"/>
  <c r="R93" i="192"/>
  <c r="K93" i="194"/>
  <c r="Q93" i="194"/>
  <c r="S93" i="195"/>
  <c r="M93" i="191"/>
  <c r="S76" i="191"/>
  <c r="M93" i="193"/>
  <c r="O93" i="194"/>
  <c r="U76" i="191"/>
  <c r="Q76" i="191"/>
  <c r="X76" i="192"/>
  <c r="V76" i="193"/>
  <c r="P93" i="191"/>
  <c r="R93" i="193"/>
  <c r="AC76" i="193"/>
  <c r="AE76" i="193"/>
  <c r="O93" i="190"/>
  <c r="N76" i="193"/>
  <c r="S93" i="191"/>
  <c r="R76" i="192"/>
  <c r="T76" i="192"/>
  <c r="U93" i="191"/>
  <c r="Q93" i="191"/>
  <c r="X93" i="192"/>
  <c r="V93" i="193"/>
  <c r="Q93" i="192"/>
  <c r="AC93" i="193"/>
  <c r="AE93" i="193"/>
  <c r="U76" i="192"/>
  <c r="N93" i="193"/>
  <c r="T93" i="192"/>
  <c r="V76" i="192"/>
  <c r="S76" i="195"/>
  <c r="K76" i="190"/>
  <c r="Q76" i="192"/>
  <c r="L76" i="192"/>
  <c r="U93" i="192"/>
  <c r="M76" i="193"/>
  <c r="L93" i="192"/>
  <c r="R76" i="193"/>
  <c r="L93" i="189"/>
  <c r="W93" i="187"/>
  <c r="J93" i="188"/>
  <c r="L76" i="189"/>
  <c r="Q76" i="189"/>
  <c r="Q93" i="189"/>
  <c r="J93" i="189"/>
  <c r="K76" i="189"/>
  <c r="M76" i="189"/>
  <c r="R76" i="189"/>
  <c r="K93" i="189"/>
  <c r="M93" i="189"/>
  <c r="J76" i="189"/>
  <c r="J76" i="188"/>
  <c r="X93" i="187"/>
  <c r="AB76" i="187"/>
  <c r="AE76" i="187"/>
  <c r="U76" i="187"/>
  <c r="X76" i="187"/>
  <c r="Q76" i="187"/>
  <c r="O76" i="187"/>
  <c r="J76" i="187"/>
  <c r="R76" i="187"/>
  <c r="Z76" i="187"/>
  <c r="W76" i="187"/>
  <c r="AE93" i="187"/>
  <c r="J93" i="187"/>
  <c r="AD76" i="187"/>
  <c r="K22" i="156"/>
  <c r="K18" i="156"/>
  <c r="K14" i="156"/>
  <c r="P18" i="156"/>
  <c r="P14" i="156"/>
  <c r="P22" i="156"/>
  <c r="P21" i="156" s="1"/>
  <c r="O22" i="156"/>
  <c r="O18" i="156"/>
  <c r="O14" i="156"/>
  <c r="J22" i="156"/>
  <c r="J18" i="156"/>
  <c r="J14" i="156"/>
  <c r="S22" i="156"/>
  <c r="S18" i="156"/>
  <c r="S17" i="156" s="1"/>
  <c r="S14" i="156"/>
  <c r="M14" i="156"/>
  <c r="M39" i="156"/>
  <c r="M22" i="156"/>
  <c r="M18" i="156"/>
  <c r="R22" i="156"/>
  <c r="R14" i="156"/>
  <c r="R18" i="156"/>
  <c r="R17" i="156" s="1"/>
  <c r="L18" i="156"/>
  <c r="L14" i="156"/>
  <c r="L22" i="156"/>
  <c r="Q14" i="156"/>
  <c r="Q22" i="156"/>
  <c r="Q18" i="156"/>
  <c r="Q17" i="156" s="1"/>
  <c r="K21" i="156" l="1"/>
  <c r="K17" i="156"/>
  <c r="N93" i="192"/>
  <c r="O21" i="156"/>
  <c r="S21" i="156"/>
  <c r="P17" i="156"/>
  <c r="L76" i="195"/>
  <c r="AF93" i="187"/>
  <c r="S76" i="193"/>
  <c r="Z76" i="192"/>
  <c r="O17" i="156"/>
  <c r="J93" i="193"/>
  <c r="K76" i="188"/>
  <c r="AC93" i="187"/>
  <c r="R21" i="156"/>
  <c r="M17" i="156"/>
  <c r="J17" i="156"/>
  <c r="M76" i="194"/>
  <c r="M21" i="156"/>
  <c r="L21" i="156"/>
  <c r="N76" i="192"/>
  <c r="L17" i="156"/>
  <c r="Q21" i="156"/>
  <c r="J21" i="156"/>
  <c r="O93" i="187"/>
  <c r="Y76" i="192"/>
  <c r="S93" i="189"/>
  <c r="T93" i="187"/>
  <c r="M93" i="187"/>
  <c r="R93" i="187"/>
  <c r="Q93" i="187"/>
  <c r="AF93" i="193"/>
  <c r="L93" i="191"/>
  <c r="T76" i="187"/>
  <c r="M93" i="194"/>
  <c r="L76" i="191"/>
  <c r="Y76" i="187"/>
  <c r="U93" i="187"/>
  <c r="L93" i="187"/>
  <c r="T76" i="194"/>
  <c r="AA93" i="193"/>
  <c r="K93" i="188"/>
  <c r="AG93" i="187"/>
  <c r="J76" i="193"/>
  <c r="N93" i="191"/>
  <c r="AB93" i="187"/>
  <c r="Y93" i="192"/>
  <c r="Q93" i="193"/>
  <c r="M76" i="192"/>
  <c r="BQ13" i="189"/>
  <c r="P93" i="189"/>
  <c r="N76" i="191"/>
  <c r="J76" i="192"/>
  <c r="Z76" i="193"/>
  <c r="L93" i="190"/>
  <c r="N76" i="194"/>
  <c r="P76" i="189"/>
  <c r="Z93" i="193"/>
  <c r="K76" i="192"/>
  <c r="O93" i="193"/>
  <c r="T76" i="191"/>
  <c r="W76" i="192"/>
  <c r="Y93" i="193"/>
  <c r="W76" i="191"/>
  <c r="AH93" i="193"/>
  <c r="T93" i="191"/>
  <c r="AG76" i="187"/>
  <c r="K76" i="187"/>
  <c r="J76" i="190"/>
  <c r="N93" i="194"/>
  <c r="N76" i="190"/>
  <c r="J93" i="190"/>
  <c r="K93" i="187"/>
  <c r="L93" i="188"/>
  <c r="V93" i="191"/>
  <c r="AB76" i="192"/>
  <c r="O76" i="193"/>
  <c r="W93" i="192"/>
  <c r="Y76" i="193"/>
  <c r="AB93" i="193"/>
  <c r="AG76" i="193"/>
  <c r="AA76" i="193"/>
  <c r="AB76" i="193"/>
  <c r="S93" i="193"/>
  <c r="N93" i="190"/>
  <c r="W93" i="191"/>
  <c r="T93" i="194"/>
  <c r="AG93" i="193"/>
  <c r="O76" i="189"/>
  <c r="S76" i="187"/>
  <c r="N76" i="187"/>
  <c r="AD93" i="187"/>
  <c r="AA93" i="187"/>
  <c r="S76" i="189"/>
  <c r="L76" i="188"/>
  <c r="P76" i="192"/>
  <c r="N93" i="189"/>
  <c r="K93" i="192"/>
  <c r="X93" i="193"/>
  <c r="Z93" i="192"/>
  <c r="N93" i="188"/>
  <c r="J93" i="192"/>
  <c r="M93" i="192"/>
  <c r="AB93" i="192"/>
  <c r="P93" i="193"/>
  <c r="U76" i="193"/>
  <c r="K76" i="193"/>
  <c r="U93" i="193"/>
  <c r="Q76" i="193"/>
  <c r="T93" i="193"/>
  <c r="L93" i="193"/>
  <c r="AH76" i="193"/>
  <c r="R76" i="191"/>
  <c r="J76" i="191"/>
  <c r="R93" i="191"/>
  <c r="V76" i="191"/>
  <c r="J93" i="191"/>
  <c r="N76" i="189"/>
  <c r="J93" i="194"/>
  <c r="R76" i="194"/>
  <c r="AD76" i="193"/>
  <c r="AD93" i="193"/>
  <c r="K93" i="193"/>
  <c r="T76" i="193"/>
  <c r="AF76" i="193"/>
  <c r="L76" i="190"/>
  <c r="N76" i="188"/>
  <c r="M93" i="188"/>
  <c r="M76" i="188"/>
  <c r="Y93" i="187"/>
  <c r="J76" i="194"/>
  <c r="R93" i="194"/>
  <c r="L76" i="193"/>
  <c r="X76" i="193"/>
  <c r="O93" i="192"/>
  <c r="M93" i="190"/>
  <c r="O93" i="189"/>
  <c r="Z93" i="187"/>
  <c r="N93" i="187"/>
  <c r="W76" i="193"/>
  <c r="M76" i="190"/>
  <c r="P76" i="187"/>
  <c r="L76" i="187"/>
  <c r="V76" i="187"/>
  <c r="L93" i="194"/>
  <c r="L76" i="194"/>
  <c r="P93" i="194"/>
  <c r="P76" i="194"/>
  <c r="W93" i="193"/>
  <c r="P76" i="193"/>
  <c r="AA76" i="192"/>
  <c r="S93" i="192"/>
  <c r="S76" i="192"/>
  <c r="O76" i="192"/>
  <c r="P93" i="192"/>
  <c r="AA93" i="192"/>
  <c r="K76" i="191"/>
  <c r="K93" i="191"/>
  <c r="BQ15" i="189"/>
  <c r="AA76" i="187"/>
  <c r="S93" i="187"/>
  <c r="AF76" i="187"/>
  <c r="AC76" i="187"/>
  <c r="V93" i="187"/>
  <c r="M76" i="187"/>
  <c r="BZ12" i="192"/>
  <c r="R93" i="195"/>
  <c r="L93" i="195"/>
  <c r="P93" i="195"/>
  <c r="P76" i="195"/>
  <c r="R76" i="195"/>
  <c r="J93" i="195"/>
  <c r="J76" i="195"/>
  <c r="M93" i="195"/>
  <c r="N76" i="195"/>
  <c r="N93" i="195"/>
  <c r="Q76" i="195"/>
  <c r="M76" i="195"/>
  <c r="Q93" i="195"/>
  <c r="O76" i="195"/>
  <c r="K76" i="195"/>
  <c r="K93" i="195"/>
  <c r="O93" i="195"/>
  <c r="BQ11" i="195"/>
  <c r="CE12" i="187"/>
  <c r="CE13" i="187"/>
  <c r="BU10" i="191"/>
  <c r="CF10" i="193"/>
  <c r="BN10" i="190"/>
  <c r="CF13" i="193"/>
  <c r="BU13" i="191"/>
  <c r="BU12" i="191"/>
  <c r="CF11" i="193"/>
  <c r="BU14" i="191"/>
  <c r="CF14" i="193"/>
  <c r="BL15" i="188"/>
  <c r="BZ14" i="192"/>
  <c r="BQ10" i="189"/>
  <c r="BQ12" i="189"/>
  <c r="BN12" i="190"/>
  <c r="BU11" i="191"/>
  <c r="CF12" i="193"/>
  <c r="V29" i="195"/>
  <c r="V14" i="195"/>
  <c r="S13" i="190"/>
  <c r="S28" i="190"/>
  <c r="AE30" i="192"/>
  <c r="AE15" i="192"/>
  <c r="Z30" i="191"/>
  <c r="Z15" i="191"/>
  <c r="W26" i="194"/>
  <c r="W11" i="194"/>
  <c r="AE25" i="192"/>
  <c r="AE10" i="192"/>
  <c r="V13" i="195"/>
  <c r="V28" i="195"/>
  <c r="BN13" i="190"/>
  <c r="BL12" i="188"/>
  <c r="W25" i="194"/>
  <c r="W10" i="194"/>
  <c r="AE29" i="192"/>
  <c r="AE14" i="192"/>
  <c r="AK30" i="193"/>
  <c r="AK15" i="193"/>
  <c r="Z27" i="191"/>
  <c r="Z12" i="191"/>
  <c r="BZ13" i="192"/>
  <c r="BN14" i="190"/>
  <c r="Z26" i="191"/>
  <c r="Z11" i="191"/>
  <c r="V12" i="195"/>
  <c r="V27" i="195"/>
  <c r="BU15" i="191"/>
  <c r="V30" i="195"/>
  <c r="V15" i="195"/>
  <c r="BQ12" i="195"/>
  <c r="S29" i="190"/>
  <c r="S14" i="190"/>
  <c r="Z29" i="191"/>
  <c r="Z14" i="191"/>
  <c r="W15" i="194"/>
  <c r="W30" i="194"/>
  <c r="BZ15" i="192"/>
  <c r="AK27" i="193"/>
  <c r="AK12" i="193"/>
  <c r="BZ10" i="192"/>
  <c r="BR10" i="194"/>
  <c r="AK26" i="193"/>
  <c r="AK11" i="193"/>
  <c r="Z25" i="191"/>
  <c r="Z10" i="191"/>
  <c r="V26" i="195"/>
  <c r="V11" i="195"/>
  <c r="CF15" i="193"/>
  <c r="S11" i="190"/>
  <c r="S26" i="190"/>
  <c r="W29" i="194"/>
  <c r="W14" i="194"/>
  <c r="AE12" i="192"/>
  <c r="AE27" i="192"/>
  <c r="BQ15" i="195"/>
  <c r="BQ13" i="195"/>
  <c r="BL10" i="188"/>
  <c r="BQ14" i="189"/>
  <c r="S27" i="190"/>
  <c r="S12" i="190"/>
  <c r="AE28" i="192"/>
  <c r="AE13" i="192"/>
  <c r="AK29" i="193"/>
  <c r="AK14" i="193"/>
  <c r="S25" i="190"/>
  <c r="S10" i="190"/>
  <c r="V25" i="195"/>
  <c r="V10" i="195"/>
  <c r="S15" i="190"/>
  <c r="S30" i="190"/>
  <c r="W12" i="194"/>
  <c r="W27" i="194"/>
  <c r="AE26" i="192"/>
  <c r="AE11" i="192"/>
  <c r="AK25" i="193"/>
  <c r="AK10" i="193"/>
  <c r="W28" i="194"/>
  <c r="W13" i="194"/>
  <c r="BZ11" i="192"/>
  <c r="AK28" i="193"/>
  <c r="AK13" i="193"/>
  <c r="Z28" i="191"/>
  <c r="Z13" i="191"/>
  <c r="BN15" i="190"/>
  <c r="BQ14" i="195"/>
  <c r="BQ10" i="195"/>
  <c r="BN11" i="190"/>
  <c r="CE10" i="187"/>
  <c r="V26" i="189"/>
  <c r="V11" i="189"/>
  <c r="BQ11" i="189"/>
  <c r="V29" i="189"/>
  <c r="V14" i="189"/>
  <c r="V30" i="189"/>
  <c r="V15" i="189"/>
  <c r="V12" i="189"/>
  <c r="V27" i="189"/>
  <c r="V28" i="189"/>
  <c r="V13" i="189"/>
  <c r="V25" i="189"/>
  <c r="V10" i="189"/>
  <c r="Q28" i="188"/>
  <c r="Q13" i="188"/>
  <c r="BL13" i="188"/>
  <c r="Q26" i="188"/>
  <c r="Q11" i="188"/>
  <c r="Q25" i="188"/>
  <c r="Q10" i="188"/>
  <c r="Q27" i="188"/>
  <c r="Q12" i="188"/>
  <c r="Q30" i="188"/>
  <c r="Q15" i="188"/>
  <c r="BL11" i="188"/>
  <c r="BL14" i="188"/>
  <c r="Q29" i="188"/>
  <c r="Q14" i="188"/>
  <c r="AJ11" i="187"/>
  <c r="AJ26" i="187"/>
  <c r="AJ25" i="187"/>
  <c r="AJ10" i="187"/>
  <c r="AJ29" i="187"/>
  <c r="AJ14" i="187"/>
  <c r="AJ30" i="187"/>
  <c r="AJ15" i="187"/>
  <c r="AJ28" i="187"/>
  <c r="AJ13" i="187"/>
  <c r="CE11" i="187"/>
  <c r="AJ27" i="187"/>
  <c r="AJ12" i="187"/>
  <c r="CE15" i="187"/>
  <c r="CE14" i="187"/>
  <c r="A7" i="109"/>
  <c r="BE60" i="109"/>
  <c r="U48" i="109"/>
  <c r="U49" i="109"/>
  <c r="U50" i="109"/>
  <c r="U51" i="109"/>
  <c r="U52" i="109"/>
  <c r="U53" i="109"/>
  <c r="U54" i="109"/>
  <c r="U55" i="109"/>
  <c r="U56" i="109"/>
  <c r="U57" i="109"/>
  <c r="U58" i="109"/>
  <c r="U59" i="109"/>
  <c r="U60" i="109"/>
  <c r="U47" i="109"/>
  <c r="BE48" i="109"/>
  <c r="BE49" i="109"/>
  <c r="BE50" i="109"/>
  <c r="BE51" i="109"/>
  <c r="BE52" i="109"/>
  <c r="BE53" i="109"/>
  <c r="BE54" i="109"/>
  <c r="BE55" i="109"/>
  <c r="BE56" i="109"/>
  <c r="BE57" i="109"/>
  <c r="BE58" i="109"/>
  <c r="BE59" i="109"/>
  <c r="BE47" i="109"/>
  <c r="A39" i="109"/>
  <c r="F41" i="109" s="1"/>
  <c r="H72" i="109"/>
  <c r="H71" i="109"/>
  <c r="H70" i="109"/>
  <c r="H69" i="109"/>
  <c r="H67" i="109"/>
  <c r="H66" i="109"/>
  <c r="H65" i="109"/>
  <c r="H64" i="109"/>
  <c r="J26" i="109" l="1"/>
  <c r="P26" i="109"/>
  <c r="L26" i="109"/>
  <c r="S26" i="109"/>
  <c r="O26" i="109"/>
  <c r="K26" i="109"/>
  <c r="N26" i="109"/>
  <c r="Q26" i="109"/>
  <c r="M26" i="109"/>
  <c r="R26" i="109"/>
  <c r="I62" i="109"/>
  <c r="P31" i="156"/>
  <c r="K31" i="156"/>
  <c r="R31" i="156"/>
  <c r="J31" i="156"/>
  <c r="M31" i="156"/>
  <c r="L31" i="156"/>
  <c r="Q31" i="156"/>
  <c r="S31" i="156"/>
  <c r="N31" i="156"/>
  <c r="O31" i="156"/>
  <c r="I39" i="109"/>
  <c r="S44" i="109" l="1"/>
  <c r="S36" i="109" s="1"/>
  <c r="O44" i="109"/>
  <c r="O36" i="109" s="1"/>
  <c r="K44" i="109"/>
  <c r="K36" i="109" s="1"/>
  <c r="L44" i="109"/>
  <c r="L36" i="109" s="1"/>
  <c r="R44" i="109"/>
  <c r="R36" i="109" s="1"/>
  <c r="N44" i="109"/>
  <c r="N36" i="109" s="1"/>
  <c r="J44" i="109"/>
  <c r="J36" i="109" s="1"/>
  <c r="P44" i="109"/>
  <c r="P36" i="109" s="1"/>
  <c r="Q44" i="109"/>
  <c r="Q36" i="109" s="1"/>
  <c r="M44" i="109"/>
  <c r="M36" i="109" s="1"/>
  <c r="K9" i="109"/>
  <c r="K13" i="109" s="1"/>
  <c r="S9" i="109"/>
  <c r="O9" i="109"/>
  <c r="N9" i="109"/>
  <c r="R9" i="109"/>
  <c r="Q9" i="109"/>
  <c r="M9" i="109"/>
  <c r="J9" i="109"/>
  <c r="P9" i="109"/>
  <c r="L9" i="109"/>
  <c r="R22" i="109" l="1"/>
  <c r="N22" i="109"/>
  <c r="J22" i="109"/>
  <c r="S22" i="109"/>
  <c r="Q22" i="109"/>
  <c r="P22" i="109"/>
  <c r="O22" i="109"/>
  <c r="M22" i="109"/>
  <c r="L22" i="109"/>
  <c r="K22" i="109"/>
  <c r="K12" i="109"/>
  <c r="K15" i="109"/>
  <c r="K14" i="109"/>
  <c r="K16" i="109"/>
  <c r="K17" i="109"/>
  <c r="O17" i="109"/>
  <c r="O15" i="109"/>
  <c r="O13" i="109"/>
  <c r="O16" i="109"/>
  <c r="O14" i="109"/>
  <c r="O12" i="109"/>
  <c r="S17" i="109"/>
  <c r="BO17" i="109" s="1"/>
  <c r="S15" i="109"/>
  <c r="BO15" i="109" s="1"/>
  <c r="S13" i="109"/>
  <c r="BO13" i="109" s="1"/>
  <c r="S16" i="109"/>
  <c r="BO16" i="109" s="1"/>
  <c r="S14" i="109"/>
  <c r="BO14" i="109" s="1"/>
  <c r="S12" i="109"/>
  <c r="BO12" i="109" s="1"/>
  <c r="M16" i="109"/>
  <c r="M14" i="109"/>
  <c r="M12" i="109"/>
  <c r="M17" i="109"/>
  <c r="M15" i="109"/>
  <c r="M13" i="109"/>
  <c r="R17" i="109"/>
  <c r="R15" i="109"/>
  <c r="R13" i="109"/>
  <c r="R16" i="109"/>
  <c r="R14" i="109"/>
  <c r="R12" i="109"/>
  <c r="L16" i="109"/>
  <c r="L14" i="109"/>
  <c r="L12" i="109"/>
  <c r="L17" i="109"/>
  <c r="L15" i="109"/>
  <c r="L13" i="109"/>
  <c r="Q16" i="109"/>
  <c r="Q14" i="109"/>
  <c r="Q12" i="109"/>
  <c r="Q17" i="109"/>
  <c r="Q15" i="109"/>
  <c r="Q13" i="109"/>
  <c r="P16" i="109"/>
  <c r="P14" i="109"/>
  <c r="P12" i="109"/>
  <c r="P17" i="109"/>
  <c r="P15" i="109"/>
  <c r="P13" i="109"/>
  <c r="J17" i="109"/>
  <c r="J15" i="109"/>
  <c r="J13" i="109"/>
  <c r="J16" i="109"/>
  <c r="J14" i="109"/>
  <c r="J12" i="109"/>
  <c r="N17" i="109"/>
  <c r="N15" i="109"/>
  <c r="N13" i="109"/>
  <c r="N16" i="109"/>
  <c r="N14" i="109"/>
  <c r="N12" i="109"/>
  <c r="T28" i="109" l="1"/>
  <c r="T29" i="109"/>
  <c r="T30" i="109"/>
  <c r="T31" i="109"/>
  <c r="T32" i="109"/>
  <c r="T33" i="109"/>
  <c r="T17" i="109" l="1"/>
  <c r="T16" i="109"/>
  <c r="T15" i="109"/>
  <c r="T14" i="109"/>
  <c r="T13" i="109"/>
  <c r="T12" i="109"/>
  <c r="H55" i="109" l="1"/>
  <c r="H54" i="109"/>
  <c r="H53" i="109"/>
  <c r="H52" i="109"/>
  <c r="H50" i="109"/>
  <c r="H49" i="109"/>
  <c r="H48" i="109"/>
  <c r="H47" i="109"/>
  <c r="P41" i="109" l="1"/>
  <c r="R41" i="109"/>
  <c r="Q41" i="109"/>
  <c r="O41" i="109"/>
  <c r="L41" i="109"/>
  <c r="N41" i="109"/>
  <c r="M41" i="109"/>
  <c r="J41" i="109"/>
  <c r="K41" i="109"/>
  <c r="S41" i="109"/>
  <c r="P20" i="109"/>
  <c r="R20" i="109"/>
  <c r="Q20" i="109"/>
  <c r="O20" i="109"/>
  <c r="L20" i="109"/>
  <c r="N20" i="109"/>
  <c r="M20" i="109"/>
  <c r="J20" i="109"/>
  <c r="K20" i="109"/>
  <c r="S20" i="109"/>
  <c r="T44" i="109"/>
  <c r="O71" i="109" l="1"/>
  <c r="O53" i="109"/>
  <c r="O50" i="109"/>
  <c r="O68" i="109"/>
  <c r="O47" i="109"/>
  <c r="O69" i="109"/>
  <c r="O70" i="109"/>
  <c r="O55" i="109"/>
  <c r="O73" i="109"/>
  <c r="O49" i="109"/>
  <c r="O58" i="109"/>
  <c r="O64" i="109"/>
  <c r="O52" i="109"/>
  <c r="O67" i="109"/>
  <c r="O75" i="109"/>
  <c r="O51" i="109"/>
  <c r="O66" i="109"/>
  <c r="O54" i="109"/>
  <c r="O48" i="109"/>
  <c r="O57" i="109"/>
  <c r="O74" i="109"/>
  <c r="O56" i="109"/>
  <c r="O76" i="109"/>
  <c r="O59" i="109"/>
  <c r="O65" i="109"/>
  <c r="O72" i="109"/>
  <c r="M75" i="109"/>
  <c r="M71" i="109"/>
  <c r="M52" i="109"/>
  <c r="M73" i="109"/>
  <c r="M55" i="109"/>
  <c r="M54" i="109"/>
  <c r="M65" i="109"/>
  <c r="M59" i="109"/>
  <c r="M66" i="109"/>
  <c r="M68" i="109"/>
  <c r="M76" i="109"/>
  <c r="M47" i="109"/>
  <c r="M49" i="109"/>
  <c r="M74" i="109"/>
  <c r="M51" i="109"/>
  <c r="M70" i="109"/>
  <c r="M56" i="109"/>
  <c r="M50" i="109"/>
  <c r="M57" i="109"/>
  <c r="M48" i="109"/>
  <c r="M72" i="109"/>
  <c r="M53" i="109"/>
  <c r="M64" i="109"/>
  <c r="M58" i="109"/>
  <c r="M67" i="109"/>
  <c r="M69" i="109"/>
  <c r="Q73" i="109"/>
  <c r="Q65" i="109"/>
  <c r="Q72" i="109"/>
  <c r="Q64" i="109"/>
  <c r="Q59" i="109"/>
  <c r="Q53" i="109"/>
  <c r="Q50" i="109"/>
  <c r="Q47" i="109"/>
  <c r="Q75" i="109"/>
  <c r="Q71" i="109"/>
  <c r="Q76" i="109"/>
  <c r="Q70" i="109"/>
  <c r="Q51" i="109"/>
  <c r="Q58" i="109"/>
  <c r="Q52" i="109"/>
  <c r="Q74" i="109"/>
  <c r="Q55" i="109"/>
  <c r="Q56" i="109"/>
  <c r="Q69" i="109"/>
  <c r="Q68" i="109"/>
  <c r="Q57" i="109"/>
  <c r="Q49" i="109"/>
  <c r="Q48" i="109"/>
  <c r="Q67" i="109"/>
  <c r="Q66" i="109"/>
  <c r="Q54" i="109"/>
  <c r="S75" i="109"/>
  <c r="S55" i="109"/>
  <c r="S69" i="109"/>
  <c r="S64" i="109"/>
  <c r="S53" i="109"/>
  <c r="S51" i="109"/>
  <c r="S76" i="109"/>
  <c r="S72" i="109"/>
  <c r="S48" i="109"/>
  <c r="S66" i="109"/>
  <c r="S68" i="109"/>
  <c r="S70" i="109"/>
  <c r="S54" i="109"/>
  <c r="S58" i="109"/>
  <c r="S52" i="109"/>
  <c r="S47" i="109"/>
  <c r="S56" i="109"/>
  <c r="S65" i="109"/>
  <c r="S74" i="109"/>
  <c r="S57" i="109"/>
  <c r="S67" i="109"/>
  <c r="S49" i="109"/>
  <c r="S59" i="109"/>
  <c r="S71" i="109"/>
  <c r="S73" i="109"/>
  <c r="S50" i="109"/>
  <c r="N73" i="109"/>
  <c r="N65" i="109"/>
  <c r="N64" i="109"/>
  <c r="N72" i="109"/>
  <c r="N74" i="109"/>
  <c r="N57" i="109"/>
  <c r="N68" i="109"/>
  <c r="N70" i="109"/>
  <c r="N52" i="109"/>
  <c r="N75" i="109"/>
  <c r="N54" i="109"/>
  <c r="N48" i="109"/>
  <c r="N47" i="109"/>
  <c r="N59" i="109"/>
  <c r="N58" i="109"/>
  <c r="N67" i="109"/>
  <c r="N49" i="109"/>
  <c r="N56" i="109"/>
  <c r="N50" i="109"/>
  <c r="N76" i="109"/>
  <c r="N51" i="109"/>
  <c r="N55" i="109"/>
  <c r="N66" i="109"/>
  <c r="N69" i="109"/>
  <c r="N71" i="109"/>
  <c r="N53" i="109"/>
  <c r="R72" i="109"/>
  <c r="R64" i="109"/>
  <c r="R75" i="109"/>
  <c r="R50" i="109"/>
  <c r="R51" i="109"/>
  <c r="R65" i="109"/>
  <c r="R59" i="109"/>
  <c r="R76" i="109"/>
  <c r="R70" i="109"/>
  <c r="R73" i="109"/>
  <c r="R56" i="109"/>
  <c r="R48" i="109"/>
  <c r="R55" i="109"/>
  <c r="R53" i="109"/>
  <c r="R47" i="109"/>
  <c r="R66" i="109"/>
  <c r="R52" i="109"/>
  <c r="R68" i="109"/>
  <c r="R71" i="109"/>
  <c r="R69" i="109"/>
  <c r="R58" i="109"/>
  <c r="R54" i="109"/>
  <c r="R49" i="109"/>
  <c r="R74" i="109"/>
  <c r="R67" i="109"/>
  <c r="R57" i="109"/>
  <c r="J76" i="109"/>
  <c r="J67" i="109"/>
  <c r="J54" i="109"/>
  <c r="J56" i="109"/>
  <c r="J73" i="109"/>
  <c r="J57" i="109"/>
  <c r="J51" i="109"/>
  <c r="J53" i="109"/>
  <c r="J69" i="109"/>
  <c r="J48" i="109"/>
  <c r="J71" i="109"/>
  <c r="J47" i="109"/>
  <c r="J59" i="109"/>
  <c r="J64" i="109"/>
  <c r="J72" i="109"/>
  <c r="J55" i="109"/>
  <c r="J58" i="109"/>
  <c r="J50" i="109"/>
  <c r="J68" i="109"/>
  <c r="J75" i="109"/>
  <c r="J66" i="109"/>
  <c r="J49" i="109"/>
  <c r="J70" i="109"/>
  <c r="J74" i="109"/>
  <c r="J65" i="109"/>
  <c r="J52" i="109"/>
  <c r="K52" i="109"/>
  <c r="K68" i="109"/>
  <c r="K59" i="109"/>
  <c r="K57" i="109"/>
  <c r="K58" i="109"/>
  <c r="K76" i="109"/>
  <c r="K48" i="109"/>
  <c r="K49" i="109"/>
  <c r="K69" i="109"/>
  <c r="K47" i="109"/>
  <c r="K56" i="109"/>
  <c r="K71" i="109"/>
  <c r="K53" i="109"/>
  <c r="K64" i="109"/>
  <c r="K70" i="109"/>
  <c r="K51" i="109"/>
  <c r="K66" i="109"/>
  <c r="K67" i="109"/>
  <c r="K72" i="109"/>
  <c r="K65" i="109"/>
  <c r="K74" i="109"/>
  <c r="K55" i="109"/>
  <c r="K50" i="109"/>
  <c r="K73" i="109"/>
  <c r="K75" i="109"/>
  <c r="K54" i="109"/>
  <c r="L70" i="109"/>
  <c r="L53" i="109"/>
  <c r="L57" i="109"/>
  <c r="L49" i="109"/>
  <c r="L74" i="109"/>
  <c r="L54" i="109"/>
  <c r="L76" i="109"/>
  <c r="L58" i="109"/>
  <c r="L50" i="109"/>
  <c r="L67" i="109"/>
  <c r="L47" i="109"/>
  <c r="L71" i="109"/>
  <c r="L51" i="109"/>
  <c r="L69" i="109"/>
  <c r="L73" i="109"/>
  <c r="L48" i="109"/>
  <c r="L64" i="109"/>
  <c r="L59" i="109"/>
  <c r="L55" i="109"/>
  <c r="L72" i="109"/>
  <c r="L75" i="109"/>
  <c r="L52" i="109"/>
  <c r="L66" i="109"/>
  <c r="L65" i="109"/>
  <c r="L56" i="109"/>
  <c r="L68" i="109"/>
  <c r="P68" i="109"/>
  <c r="P49" i="109"/>
  <c r="P66" i="109"/>
  <c r="P73" i="109"/>
  <c r="P76" i="109"/>
  <c r="P51" i="109"/>
  <c r="P65" i="109"/>
  <c r="P54" i="109"/>
  <c r="P56" i="109"/>
  <c r="P67" i="109"/>
  <c r="P48" i="109"/>
  <c r="P50" i="109"/>
  <c r="P59" i="109"/>
  <c r="P74" i="109"/>
  <c r="P58" i="109"/>
  <c r="P47" i="109"/>
  <c r="P70" i="109"/>
  <c r="P57" i="109"/>
  <c r="P52" i="109"/>
  <c r="P53" i="109"/>
  <c r="P55" i="109"/>
  <c r="P72" i="109"/>
  <c r="P71" i="109"/>
  <c r="P64" i="109"/>
  <c r="P69" i="109"/>
  <c r="P75" i="109"/>
  <c r="M77" i="109" l="1"/>
  <c r="O60" i="109"/>
  <c r="Q77" i="109"/>
  <c r="O77" i="109"/>
  <c r="L60" i="109"/>
  <c r="K60" i="109"/>
  <c r="K77" i="109"/>
  <c r="J60" i="109"/>
  <c r="S60" i="109"/>
  <c r="P60" i="109"/>
  <c r="L77" i="109"/>
  <c r="N60" i="109"/>
  <c r="N77" i="109"/>
  <c r="S77" i="109"/>
  <c r="Q60" i="109"/>
  <c r="P77" i="109"/>
  <c r="J77" i="109"/>
  <c r="R77" i="109"/>
  <c r="R60" i="109"/>
  <c r="M60" i="109"/>
  <c r="B7827" i="20" l="1"/>
  <c r="B7826" i="20"/>
  <c r="B7825" i="20"/>
  <c r="B7824" i="20"/>
  <c r="B7823" i="20"/>
  <c r="B7822" i="20"/>
  <c r="B7821" i="20"/>
  <c r="B7820" i="20"/>
  <c r="B7819" i="20"/>
  <c r="B7818" i="20"/>
  <c r="B7817" i="20"/>
  <c r="B7816" i="20"/>
  <c r="B7815" i="20"/>
  <c r="B7814" i="20"/>
  <c r="B7813" i="20"/>
  <c r="B7812" i="20"/>
  <c r="B7811" i="20"/>
  <c r="B7810" i="20"/>
  <c r="B7809" i="20"/>
  <c r="B7808" i="20"/>
  <c r="B7807" i="20"/>
  <c r="B7806" i="20"/>
  <c r="B7805" i="20"/>
  <c r="B7804" i="20"/>
  <c r="B7803" i="20"/>
  <c r="B7802" i="20"/>
  <c r="B7801" i="20"/>
  <c r="B7800" i="20"/>
  <c r="B7799" i="20"/>
  <c r="B7798" i="20"/>
  <c r="B7797" i="20"/>
  <c r="B7796" i="20"/>
  <c r="B7795" i="20"/>
  <c r="B7794" i="20"/>
  <c r="B7793" i="20"/>
  <c r="B7792" i="20"/>
  <c r="B7791" i="20"/>
  <c r="B7790" i="20"/>
  <c r="B7789" i="20"/>
  <c r="B7788" i="20"/>
  <c r="B7787" i="20"/>
  <c r="B7786" i="20"/>
  <c r="B7785" i="20"/>
  <c r="B7784" i="20"/>
  <c r="B7783" i="20"/>
  <c r="B7782" i="20"/>
  <c r="B7781" i="20"/>
  <c r="B7780" i="20"/>
  <c r="B7779" i="20"/>
  <c r="B7778" i="20"/>
  <c r="B7777" i="20"/>
  <c r="B7776" i="20"/>
  <c r="B7775" i="20"/>
  <c r="B7774" i="20"/>
  <c r="B7773" i="20"/>
  <c r="B7772" i="20"/>
  <c r="B7771" i="20"/>
  <c r="B7770" i="20"/>
  <c r="B7769" i="20"/>
  <c r="B7768" i="20"/>
  <c r="B7767" i="20"/>
  <c r="B7766" i="20"/>
  <c r="B7765" i="20"/>
  <c r="B7764" i="20"/>
  <c r="B7763" i="20"/>
  <c r="B7762" i="20"/>
  <c r="B7761" i="20"/>
  <c r="B7760" i="20"/>
  <c r="B7759" i="20"/>
  <c r="B7758" i="20"/>
  <c r="B7757" i="20"/>
  <c r="B7756" i="20"/>
  <c r="B7755" i="20"/>
  <c r="B7754" i="20"/>
  <c r="B7753" i="20"/>
  <c r="B7752" i="20"/>
  <c r="B7751" i="20"/>
  <c r="B7750" i="20"/>
  <c r="B7749" i="20"/>
  <c r="B7748" i="20"/>
  <c r="B7747" i="20"/>
  <c r="B7746" i="20"/>
  <c r="B7745" i="20"/>
  <c r="B7744" i="20"/>
  <c r="B7743" i="20"/>
  <c r="B7742" i="20"/>
  <c r="B7741" i="20"/>
  <c r="B7740" i="20"/>
  <c r="B7739" i="20"/>
  <c r="B7738" i="20"/>
  <c r="B7737" i="20"/>
  <c r="B7736" i="20"/>
  <c r="B7735" i="20"/>
  <c r="B7734" i="20"/>
  <c r="B7733" i="20"/>
  <c r="B7732" i="20"/>
  <c r="B7731" i="20"/>
  <c r="B7730" i="20"/>
  <c r="B7729" i="20"/>
  <c r="B7728" i="20"/>
  <c r="B7727" i="20"/>
  <c r="B7726" i="20"/>
  <c r="B7725" i="20"/>
  <c r="B7724" i="20"/>
  <c r="B7723" i="20"/>
  <c r="B7722" i="20"/>
  <c r="B7721" i="20"/>
  <c r="B7720" i="20"/>
  <c r="B7719" i="20"/>
  <c r="B7718" i="20"/>
  <c r="B7717" i="20"/>
  <c r="B7716" i="20"/>
  <c r="B7715" i="20"/>
  <c r="B7714" i="20"/>
  <c r="B7713" i="20"/>
  <c r="B7712" i="20"/>
  <c r="B7711" i="20"/>
  <c r="B7710" i="20"/>
  <c r="B7709" i="20"/>
  <c r="B7708" i="20"/>
  <c r="B7707" i="20"/>
  <c r="B7706" i="20"/>
  <c r="B7705" i="20"/>
  <c r="B7704" i="20"/>
  <c r="B7703" i="20"/>
  <c r="B7702" i="20"/>
  <c r="B7701" i="20"/>
  <c r="B7700" i="20"/>
  <c r="B7699" i="20"/>
  <c r="B7698" i="20"/>
  <c r="B7697" i="20"/>
  <c r="B7696" i="20"/>
  <c r="B7695" i="20"/>
  <c r="B7694" i="20"/>
  <c r="B7693" i="20"/>
  <c r="B7692" i="20"/>
  <c r="B7691" i="20"/>
  <c r="B7690" i="20"/>
  <c r="B7689" i="20"/>
  <c r="B7688" i="20"/>
  <c r="B7687" i="20"/>
  <c r="B7686" i="20"/>
  <c r="B7685" i="20"/>
  <c r="B7684" i="20"/>
  <c r="B7683" i="20"/>
  <c r="B7682" i="20"/>
  <c r="B7681" i="20"/>
  <c r="B7680" i="20"/>
  <c r="B7679" i="20"/>
  <c r="B7678" i="20"/>
  <c r="B7677" i="20"/>
  <c r="B7676" i="20"/>
  <c r="B7675" i="20"/>
  <c r="B7674" i="20"/>
  <c r="B7673" i="20"/>
  <c r="B7672" i="20"/>
  <c r="B7671" i="20"/>
  <c r="B7670" i="20"/>
  <c r="B7669" i="20"/>
  <c r="B7668" i="20"/>
  <c r="B7667" i="20"/>
  <c r="B7666" i="20"/>
  <c r="B7665" i="20"/>
  <c r="B7664" i="20"/>
  <c r="B7663" i="20"/>
  <c r="B7662" i="20"/>
  <c r="B7661" i="20"/>
  <c r="B7660" i="20"/>
  <c r="B7659" i="20"/>
  <c r="B7658" i="20"/>
  <c r="B7657" i="20"/>
  <c r="B7656" i="20"/>
  <c r="B7655" i="20"/>
  <c r="B7654" i="20"/>
  <c r="B7653" i="20"/>
  <c r="B7652" i="20"/>
  <c r="B7651" i="20"/>
  <c r="B7650" i="20"/>
  <c r="B7649" i="20"/>
  <c r="B7648" i="20"/>
  <c r="B7647" i="20"/>
  <c r="B7646" i="20"/>
  <c r="B7645" i="20"/>
  <c r="B7644" i="20"/>
  <c r="B7643" i="20"/>
  <c r="B7642" i="20"/>
  <c r="B7641" i="20"/>
  <c r="B7640" i="20"/>
  <c r="B7639" i="20"/>
  <c r="B7638" i="20"/>
  <c r="B7637" i="20"/>
  <c r="B7636" i="20"/>
  <c r="B7635" i="20"/>
  <c r="B7634" i="20"/>
  <c r="B7633" i="20"/>
  <c r="B7632" i="20"/>
  <c r="B7631" i="20"/>
  <c r="B7630" i="20"/>
  <c r="B7629" i="20"/>
  <c r="B7628" i="20"/>
  <c r="B7627" i="20"/>
  <c r="B7626" i="20"/>
  <c r="B7625" i="20"/>
  <c r="B7624" i="20"/>
  <c r="B7623" i="20"/>
  <c r="B7622" i="20"/>
  <c r="B7621" i="20"/>
  <c r="B7620" i="20"/>
  <c r="B7619" i="20"/>
  <c r="B7618" i="20"/>
  <c r="B7617" i="20"/>
  <c r="B7616" i="20"/>
  <c r="B7615" i="20"/>
  <c r="B7614" i="20"/>
  <c r="B7613" i="20"/>
  <c r="B7612" i="20"/>
  <c r="B7611" i="20"/>
  <c r="B7610" i="20"/>
  <c r="B7609" i="20"/>
  <c r="B7608" i="20"/>
  <c r="B7607" i="20"/>
  <c r="B7606" i="20"/>
  <c r="B7605" i="20"/>
  <c r="B7604" i="20"/>
  <c r="B7603" i="20"/>
  <c r="B7602" i="20"/>
  <c r="B7601" i="20"/>
  <c r="B7600" i="20"/>
  <c r="B7599" i="20"/>
  <c r="B7598" i="20"/>
  <c r="B7597" i="20"/>
  <c r="B7596" i="20"/>
  <c r="B7595" i="20"/>
  <c r="B7594" i="20"/>
  <c r="B7593" i="20"/>
  <c r="B7592" i="20"/>
  <c r="B7591" i="20"/>
  <c r="B7590" i="20"/>
  <c r="B7589" i="20"/>
  <c r="B7588" i="20"/>
  <c r="B7587" i="20"/>
  <c r="B7586" i="20"/>
  <c r="B7585" i="20"/>
  <c r="B7584" i="20"/>
  <c r="B7583" i="20"/>
  <c r="B7582" i="20"/>
  <c r="B7581" i="20"/>
  <c r="B7580" i="20"/>
  <c r="B7579" i="20"/>
  <c r="B7578" i="20"/>
  <c r="B7577" i="20"/>
  <c r="B7576" i="20"/>
  <c r="B7575" i="20"/>
  <c r="B7574" i="20"/>
  <c r="B7573" i="20"/>
  <c r="B7572" i="20"/>
  <c r="B7571" i="20"/>
  <c r="B7570" i="20"/>
  <c r="B7569" i="20"/>
  <c r="B7568" i="20"/>
  <c r="B7567" i="20"/>
  <c r="B7566" i="20"/>
  <c r="B7565" i="20"/>
  <c r="B7564" i="20"/>
  <c r="B7563" i="20"/>
  <c r="B7562" i="20"/>
  <c r="B7561" i="20"/>
  <c r="B7560" i="20"/>
  <c r="B7559" i="20"/>
  <c r="B7558" i="20"/>
  <c r="B7557" i="20"/>
  <c r="B7556" i="20"/>
  <c r="B7555" i="20"/>
  <c r="B7554" i="20"/>
  <c r="B7553" i="20"/>
  <c r="B7552" i="20"/>
  <c r="B7551" i="20"/>
  <c r="B7550" i="20"/>
  <c r="B7549" i="20"/>
  <c r="B7548" i="20"/>
  <c r="B7547" i="20"/>
  <c r="B7546" i="20"/>
  <c r="B7545" i="20"/>
  <c r="B7544" i="20"/>
  <c r="B7543" i="20"/>
  <c r="B7542" i="20"/>
  <c r="B7541" i="20"/>
  <c r="B7540" i="20"/>
  <c r="B7539" i="20"/>
  <c r="B7538" i="20"/>
  <c r="B7537" i="20"/>
  <c r="B7536" i="20"/>
  <c r="B7535" i="20"/>
  <c r="B7534" i="20"/>
  <c r="B7533" i="20"/>
  <c r="B7532" i="20"/>
  <c r="B7531" i="20"/>
  <c r="B7530" i="20"/>
  <c r="B7529" i="20"/>
  <c r="B7528" i="20"/>
  <c r="B7527" i="20"/>
  <c r="B7526" i="20"/>
  <c r="B7525" i="20"/>
  <c r="B7524" i="20"/>
  <c r="B7523" i="20"/>
  <c r="B7522" i="20"/>
  <c r="B7521" i="20"/>
  <c r="B7520" i="20"/>
  <c r="B7519" i="20"/>
  <c r="B7518" i="20"/>
  <c r="B7517" i="20"/>
  <c r="B7516" i="20"/>
  <c r="B7515" i="20"/>
  <c r="B7514" i="20"/>
  <c r="B7513" i="20"/>
  <c r="B7512" i="20"/>
  <c r="B7511" i="20"/>
  <c r="B7510" i="20"/>
  <c r="B7509" i="20"/>
  <c r="B7508" i="20"/>
  <c r="B7507" i="20"/>
  <c r="B7506" i="20"/>
  <c r="B7505" i="20"/>
  <c r="B7504" i="20"/>
  <c r="B7503" i="20"/>
  <c r="B7502" i="20"/>
  <c r="B7501" i="20"/>
  <c r="B7500" i="20"/>
  <c r="B7499" i="20"/>
  <c r="B7498" i="20"/>
  <c r="B7497" i="20"/>
  <c r="B7496" i="20"/>
  <c r="B7495" i="20"/>
  <c r="B7494" i="20"/>
  <c r="B7493" i="20"/>
  <c r="B7492" i="20"/>
  <c r="B7491" i="20"/>
  <c r="B7490" i="20"/>
  <c r="B7489" i="20"/>
  <c r="B7488" i="20"/>
  <c r="B7487" i="20"/>
  <c r="B7486" i="20"/>
  <c r="B7485" i="20"/>
  <c r="B7484" i="20"/>
  <c r="B7483" i="20"/>
  <c r="B7482" i="20"/>
  <c r="B7481" i="20"/>
  <c r="B7480" i="20"/>
  <c r="B7479" i="20"/>
  <c r="B7478" i="20"/>
  <c r="B7477" i="20"/>
  <c r="B7476" i="20"/>
  <c r="B7475" i="20"/>
  <c r="B7474" i="20"/>
  <c r="B7473" i="20"/>
  <c r="B7472" i="20"/>
  <c r="B7471" i="20"/>
  <c r="B7470" i="20"/>
  <c r="B7469" i="20"/>
  <c r="B7468" i="20"/>
  <c r="B7467" i="20"/>
  <c r="B7466" i="20"/>
  <c r="B7465" i="20"/>
  <c r="B7464" i="20"/>
  <c r="B7463" i="20"/>
  <c r="B7462" i="20"/>
  <c r="B7461" i="20"/>
  <c r="B7460" i="20"/>
  <c r="B7459" i="20"/>
  <c r="B7458" i="20"/>
  <c r="B7457" i="20"/>
  <c r="B7456" i="20"/>
  <c r="B7455" i="20"/>
  <c r="B7454" i="20"/>
  <c r="B7453" i="20"/>
  <c r="B7452" i="20"/>
  <c r="B7451" i="20"/>
  <c r="B7450" i="20"/>
  <c r="B7449" i="20"/>
  <c r="B7448" i="20"/>
  <c r="B7447" i="20"/>
  <c r="B7446" i="20"/>
  <c r="B7445" i="20"/>
  <c r="B7444" i="20"/>
  <c r="B7443" i="20"/>
  <c r="B7442" i="20"/>
  <c r="B7441" i="20"/>
  <c r="B7440" i="20"/>
  <c r="B7439" i="20"/>
  <c r="B7438" i="20"/>
  <c r="B7437" i="20"/>
  <c r="B7436" i="20"/>
  <c r="B7435" i="20"/>
  <c r="B7434" i="20"/>
  <c r="B7433" i="20"/>
  <c r="B7432" i="20"/>
  <c r="B7431" i="20"/>
  <c r="B7430" i="20"/>
  <c r="B7429" i="20"/>
  <c r="B7428" i="20"/>
  <c r="B7427" i="20"/>
  <c r="B7426" i="20"/>
  <c r="B7425" i="20"/>
  <c r="B7424" i="20"/>
  <c r="B7423" i="20"/>
  <c r="B7422" i="20"/>
  <c r="B7421" i="20"/>
  <c r="B7420" i="20"/>
  <c r="B7419" i="20"/>
  <c r="B7418" i="20"/>
  <c r="B7417" i="20"/>
  <c r="B7416" i="20"/>
  <c r="B7415" i="20"/>
  <c r="B7414" i="20"/>
  <c r="B7413" i="20"/>
  <c r="B7412" i="20"/>
  <c r="B7411" i="20"/>
  <c r="B7410" i="20"/>
  <c r="B7409" i="20"/>
  <c r="B7408" i="20"/>
  <c r="B7407" i="20"/>
  <c r="B7406" i="20"/>
  <c r="B7405" i="20"/>
  <c r="B7404" i="20"/>
  <c r="B7403" i="20"/>
  <c r="B7402" i="20"/>
  <c r="B7401" i="20"/>
  <c r="B7400" i="20"/>
  <c r="B7399" i="20"/>
  <c r="B7398" i="20"/>
  <c r="B7397" i="20"/>
  <c r="B7396" i="20"/>
  <c r="B7395" i="20"/>
  <c r="B7394" i="20"/>
  <c r="B7393" i="20"/>
  <c r="B7392" i="20"/>
  <c r="B7391" i="20"/>
  <c r="B7390" i="20"/>
  <c r="B7389" i="20"/>
  <c r="B7388" i="20"/>
  <c r="B7387" i="20"/>
  <c r="B7386" i="20"/>
  <c r="B7385" i="20"/>
  <c r="B7384" i="20"/>
  <c r="B7383" i="20"/>
  <c r="B7382" i="20"/>
  <c r="B7381" i="20"/>
  <c r="B7380" i="20"/>
  <c r="B7379" i="20"/>
  <c r="B7378" i="20"/>
  <c r="B7377" i="20"/>
  <c r="B7376" i="20"/>
  <c r="B7375" i="20"/>
  <c r="B7374" i="20"/>
  <c r="B7373" i="20"/>
  <c r="B7372" i="20"/>
  <c r="B7371" i="20"/>
  <c r="B7370" i="20"/>
  <c r="B7369" i="20"/>
  <c r="B7368" i="20"/>
  <c r="B7367" i="20"/>
  <c r="B7366" i="20"/>
  <c r="B7365" i="20"/>
  <c r="B7364" i="20"/>
  <c r="B7363" i="20"/>
  <c r="B7362" i="20"/>
  <c r="B7361" i="20"/>
  <c r="B7360" i="20"/>
  <c r="B7359" i="20"/>
  <c r="B7358" i="20"/>
  <c r="B7357" i="20"/>
  <c r="B7356" i="20"/>
  <c r="B7355" i="20"/>
  <c r="B7354" i="20"/>
  <c r="B7353" i="20"/>
  <c r="B7352" i="20"/>
  <c r="B7351" i="20"/>
  <c r="B7350" i="20"/>
  <c r="B7349" i="20"/>
  <c r="B7348" i="20"/>
  <c r="B7347" i="20"/>
  <c r="B7346" i="20"/>
  <c r="B7345" i="20"/>
  <c r="B7344" i="20"/>
  <c r="B7343" i="20"/>
  <c r="B7342" i="20"/>
  <c r="B7341" i="20"/>
  <c r="B7340" i="20"/>
  <c r="B7339" i="20"/>
  <c r="B7338" i="20"/>
  <c r="B7337" i="20"/>
  <c r="B7336" i="20"/>
  <c r="B7335" i="20"/>
  <c r="B7334" i="20"/>
  <c r="B7333" i="20"/>
  <c r="B7332" i="20"/>
  <c r="B7331" i="20"/>
  <c r="B7330" i="20"/>
  <c r="B7329" i="20"/>
  <c r="B7328" i="20"/>
  <c r="B7327" i="20"/>
  <c r="B7326" i="20"/>
  <c r="B7325" i="20"/>
  <c r="B7324" i="20"/>
  <c r="B7323" i="20"/>
  <c r="B7322" i="20"/>
  <c r="B7321" i="20"/>
  <c r="B7320" i="20"/>
  <c r="B7319" i="20"/>
  <c r="B7318" i="20"/>
  <c r="B7317" i="20"/>
  <c r="B7316" i="20"/>
  <c r="B7315" i="20"/>
  <c r="B7314" i="20"/>
  <c r="B7313" i="20"/>
  <c r="B7312" i="20"/>
  <c r="B7311" i="20"/>
  <c r="B7310" i="20"/>
  <c r="B7309" i="20"/>
  <c r="B7308" i="20"/>
  <c r="B7307" i="20"/>
  <c r="B7306" i="20"/>
  <c r="B7305" i="20"/>
  <c r="B7304" i="20"/>
  <c r="B7303" i="20"/>
  <c r="B7302" i="20"/>
  <c r="B7301" i="20"/>
  <c r="B7300" i="20"/>
  <c r="B7299" i="20"/>
  <c r="B7298" i="20"/>
  <c r="B7297" i="20"/>
  <c r="B7296" i="20"/>
  <c r="B7295" i="20"/>
  <c r="B7294" i="20"/>
  <c r="B7293" i="20"/>
  <c r="B7292" i="20"/>
  <c r="B7291" i="20"/>
  <c r="B7290" i="20"/>
  <c r="B7289" i="20"/>
  <c r="B7288" i="20"/>
  <c r="B7287" i="20"/>
  <c r="B7286" i="20"/>
  <c r="B7285" i="20"/>
  <c r="B7284" i="20"/>
  <c r="B7283" i="20"/>
  <c r="B7282" i="20"/>
  <c r="B7281" i="20"/>
  <c r="B7280" i="20"/>
  <c r="B7279" i="20"/>
  <c r="B7278" i="20"/>
  <c r="B7277" i="20"/>
  <c r="B7276" i="20"/>
  <c r="B7275" i="20"/>
  <c r="B7274" i="20"/>
  <c r="B7273" i="20"/>
  <c r="B7272" i="20"/>
  <c r="B7271" i="20"/>
  <c r="B7270" i="20"/>
  <c r="B7269" i="20"/>
  <c r="B7268" i="20"/>
  <c r="B7267" i="20"/>
  <c r="B7266" i="20"/>
  <c r="B7265" i="20"/>
  <c r="B7264" i="20"/>
  <c r="B7263" i="20"/>
  <c r="B7262" i="20"/>
  <c r="B7261" i="20"/>
  <c r="B7260" i="20"/>
  <c r="B7259" i="20"/>
  <c r="B7258" i="20"/>
  <c r="B7257" i="20"/>
  <c r="B7256" i="20"/>
  <c r="B7255" i="20"/>
  <c r="B7254" i="20"/>
  <c r="B7253" i="20"/>
  <c r="B7252" i="20"/>
  <c r="B7251" i="20"/>
  <c r="B7250" i="20"/>
  <c r="B7249" i="20"/>
  <c r="B7248" i="20"/>
  <c r="B7247" i="20"/>
  <c r="B7246" i="20"/>
  <c r="B7245" i="20"/>
  <c r="B7244" i="20"/>
  <c r="B7243" i="20"/>
  <c r="B7242" i="20"/>
  <c r="B7241" i="20"/>
  <c r="B7240" i="20"/>
  <c r="B7239" i="20"/>
  <c r="B7238" i="20"/>
  <c r="B7237" i="20"/>
  <c r="B7236" i="20"/>
  <c r="B7235" i="20"/>
  <c r="B7234" i="20"/>
  <c r="B7233" i="20"/>
  <c r="B7232" i="20"/>
  <c r="B7231" i="20"/>
  <c r="B7230" i="20"/>
  <c r="B7229" i="20"/>
  <c r="B7228" i="20"/>
  <c r="B7227" i="20"/>
  <c r="B7226" i="20"/>
  <c r="B7225" i="20"/>
  <c r="B7224" i="20"/>
  <c r="B7223" i="20"/>
  <c r="B7222" i="20"/>
  <c r="B7221" i="20"/>
  <c r="B7220" i="20"/>
  <c r="B7219" i="20"/>
  <c r="B7218" i="20"/>
  <c r="B7217" i="20"/>
  <c r="B7216" i="20"/>
  <c r="B7215" i="20"/>
  <c r="B7214" i="20"/>
  <c r="B7213" i="20"/>
  <c r="B7212" i="20"/>
  <c r="B7211" i="20"/>
  <c r="B7210" i="20"/>
  <c r="B7209" i="20"/>
  <c r="B7208" i="20"/>
  <c r="B7207" i="20"/>
  <c r="B7206" i="20"/>
  <c r="B7205" i="20"/>
  <c r="B7204" i="20"/>
  <c r="B7203" i="20"/>
  <c r="B7202" i="20"/>
  <c r="B7201" i="20"/>
  <c r="B7200" i="20"/>
  <c r="B7199" i="20"/>
  <c r="B7198" i="20"/>
  <c r="B7197" i="20"/>
  <c r="B7196" i="20"/>
  <c r="B7195" i="20"/>
  <c r="B7194" i="20"/>
  <c r="B7193" i="20"/>
  <c r="B7192" i="20"/>
  <c r="B7191" i="20"/>
  <c r="B7190" i="20"/>
  <c r="B7189" i="20"/>
  <c r="B7188" i="20"/>
  <c r="B7187" i="20"/>
  <c r="B7186" i="20"/>
  <c r="B7185" i="20"/>
  <c r="B7184" i="20"/>
  <c r="B7183" i="20"/>
  <c r="B7182" i="20"/>
  <c r="B7181" i="20"/>
  <c r="B7180" i="20"/>
  <c r="B7179" i="20"/>
  <c r="B7178" i="20"/>
  <c r="B7177" i="20"/>
  <c r="B7176" i="20"/>
  <c r="B7175" i="20"/>
  <c r="B7174" i="20"/>
  <c r="B7173" i="20"/>
  <c r="B7172" i="20"/>
  <c r="B7171" i="20"/>
  <c r="B7170" i="20"/>
  <c r="B7169" i="20"/>
  <c r="B7168" i="20"/>
  <c r="B7167" i="20"/>
  <c r="B7166" i="20"/>
  <c r="B7165" i="20"/>
  <c r="B7164" i="20"/>
  <c r="B7163" i="20"/>
  <c r="B7162" i="20"/>
  <c r="B7161" i="20"/>
  <c r="B7160" i="20"/>
  <c r="B7159" i="20"/>
  <c r="B7158" i="20"/>
  <c r="B7157" i="20"/>
  <c r="B7156" i="20"/>
  <c r="B7155" i="20"/>
  <c r="B7154" i="20"/>
  <c r="B7153" i="20"/>
  <c r="B7152" i="20"/>
  <c r="B7151" i="20"/>
  <c r="B7150" i="20"/>
  <c r="B7149" i="20"/>
  <c r="B7148" i="20"/>
  <c r="B7147" i="20"/>
  <c r="B7146" i="20"/>
  <c r="B7145" i="20"/>
  <c r="B7144" i="20"/>
  <c r="B7143" i="20"/>
  <c r="B7142" i="20"/>
  <c r="B7141" i="20"/>
  <c r="B7140" i="20"/>
  <c r="B7139" i="20"/>
  <c r="B7138" i="20"/>
  <c r="B7137" i="20"/>
  <c r="B7136" i="20"/>
  <c r="B7135" i="20"/>
  <c r="B7134" i="20"/>
  <c r="B7133" i="20"/>
  <c r="B7132" i="20"/>
  <c r="B7131" i="20"/>
  <c r="B7130" i="20"/>
  <c r="B7129" i="20"/>
  <c r="B7128" i="20"/>
  <c r="B7127" i="20"/>
  <c r="B7126" i="20"/>
  <c r="B7125" i="20"/>
  <c r="B7124" i="20"/>
  <c r="B7123" i="20"/>
  <c r="B7122" i="20"/>
  <c r="B7121" i="20"/>
  <c r="B7120" i="20"/>
  <c r="B7119" i="20"/>
  <c r="B7118" i="20"/>
  <c r="B7117" i="20"/>
  <c r="B7116" i="20"/>
  <c r="B7115" i="20"/>
  <c r="B7114" i="20"/>
  <c r="B7113" i="20"/>
  <c r="B7112" i="20"/>
  <c r="B7111" i="20"/>
  <c r="B7110" i="20"/>
  <c r="B7109" i="20"/>
  <c r="B7108" i="20"/>
  <c r="B7107" i="20"/>
  <c r="B7106" i="20"/>
  <c r="B7105" i="20"/>
  <c r="B7104" i="20"/>
  <c r="B7103" i="20"/>
  <c r="B7102" i="20"/>
  <c r="B7101" i="20"/>
  <c r="B7100" i="20"/>
  <c r="B7099" i="20"/>
  <c r="B7098" i="20"/>
  <c r="B7097" i="20"/>
  <c r="B7096" i="20"/>
  <c r="B7095" i="20"/>
  <c r="B7094" i="20"/>
  <c r="B7093" i="20"/>
  <c r="B7092" i="20"/>
  <c r="B7091" i="20"/>
  <c r="B7090" i="20"/>
  <c r="B7089" i="20"/>
  <c r="B7088" i="20"/>
  <c r="B7087" i="20"/>
  <c r="B7086" i="20"/>
  <c r="B7085" i="20"/>
  <c r="B7084" i="20"/>
  <c r="B7083" i="20"/>
  <c r="B7082" i="20"/>
  <c r="B7081" i="20"/>
  <c r="B7080" i="20"/>
  <c r="B7079" i="20"/>
  <c r="B7078" i="20"/>
  <c r="B7077" i="20"/>
  <c r="B7076" i="20"/>
  <c r="B7075" i="20"/>
  <c r="B7074" i="20"/>
  <c r="B7073" i="20"/>
  <c r="B7072" i="20"/>
  <c r="B7071" i="20"/>
  <c r="B7070" i="20"/>
  <c r="B7069" i="20"/>
  <c r="B7068" i="20"/>
  <c r="B7067" i="20"/>
  <c r="B7066" i="20"/>
  <c r="B7065" i="20"/>
  <c r="B7064" i="20"/>
  <c r="B7063" i="20"/>
  <c r="B7062" i="20"/>
  <c r="B7061" i="20"/>
  <c r="B7060" i="20"/>
  <c r="B7059" i="20"/>
  <c r="B7058" i="20"/>
  <c r="B7057" i="20"/>
  <c r="B7056" i="20"/>
  <c r="B7055" i="20"/>
  <c r="B7054" i="20"/>
  <c r="B7053" i="20"/>
  <c r="B7052" i="20"/>
  <c r="B7051" i="20"/>
  <c r="B7050" i="20"/>
  <c r="B7049" i="20"/>
  <c r="B7048" i="20"/>
  <c r="B7047" i="20"/>
  <c r="B7046" i="20"/>
  <c r="B7045" i="20"/>
  <c r="B7044" i="20"/>
  <c r="B7043" i="20"/>
  <c r="B7042" i="20"/>
  <c r="B7041" i="20"/>
  <c r="B7040" i="20"/>
  <c r="B7039" i="20"/>
  <c r="B7038" i="20"/>
  <c r="B7037" i="20"/>
  <c r="B7036" i="20"/>
  <c r="B7035" i="20"/>
  <c r="B7034" i="20"/>
  <c r="B7033" i="20"/>
  <c r="B7032" i="20"/>
  <c r="B7031" i="20"/>
  <c r="B7030" i="20"/>
  <c r="B7029" i="20"/>
  <c r="B7028" i="20"/>
  <c r="B7027" i="20"/>
  <c r="B7026" i="20"/>
  <c r="B7025" i="20"/>
  <c r="B7024" i="20"/>
  <c r="B7023" i="20"/>
  <c r="B7022" i="20"/>
  <c r="B7021" i="20"/>
  <c r="B7020" i="20"/>
  <c r="B7019" i="20"/>
  <c r="B7018" i="20"/>
  <c r="B7017" i="20"/>
  <c r="B7016" i="20"/>
  <c r="B7015" i="20"/>
  <c r="B7014" i="20"/>
  <c r="B7013" i="20"/>
  <c r="B7012" i="20"/>
  <c r="B7011" i="20"/>
  <c r="B7010" i="20"/>
  <c r="B7009" i="20"/>
  <c r="B7008" i="20"/>
  <c r="B7007" i="20"/>
  <c r="B7006" i="20"/>
  <c r="B7005" i="20"/>
  <c r="B7004" i="20"/>
  <c r="B7003" i="20"/>
  <c r="B7002" i="20"/>
  <c r="B7001" i="20"/>
  <c r="B7000" i="20"/>
  <c r="B6999" i="20"/>
  <c r="B6998" i="20"/>
  <c r="B6997" i="20"/>
  <c r="B6996" i="20"/>
  <c r="B6995" i="20"/>
  <c r="B6994" i="20"/>
  <c r="B6993" i="20"/>
  <c r="B6992" i="20"/>
  <c r="B6991" i="20"/>
  <c r="B6990" i="20"/>
  <c r="B6989" i="20"/>
  <c r="B6988" i="20"/>
  <c r="B6987" i="20"/>
  <c r="B6986" i="20"/>
  <c r="B6985" i="20"/>
  <c r="B6984" i="20"/>
  <c r="B6983" i="20"/>
  <c r="B6982" i="20"/>
  <c r="B6981" i="20"/>
  <c r="B6980" i="20"/>
  <c r="B6979" i="20"/>
  <c r="B6978" i="20"/>
  <c r="B6977" i="20"/>
  <c r="B6976" i="20"/>
  <c r="B6975" i="20"/>
  <c r="B6974" i="20"/>
  <c r="B6973" i="20"/>
  <c r="B6972" i="20"/>
  <c r="B6971" i="20"/>
  <c r="B6970" i="20"/>
  <c r="B6969" i="20"/>
  <c r="B6968" i="20"/>
  <c r="B6967" i="20"/>
  <c r="B6966" i="20"/>
  <c r="B6965" i="20"/>
  <c r="B6964" i="20"/>
  <c r="B6963" i="20"/>
  <c r="B6962" i="20"/>
  <c r="B6961" i="20"/>
  <c r="B6960" i="20"/>
  <c r="B6959" i="20"/>
  <c r="B6958" i="20"/>
  <c r="B6957" i="20"/>
  <c r="B6956" i="20"/>
  <c r="B6955" i="20"/>
  <c r="B6954" i="20"/>
  <c r="B6953" i="20"/>
  <c r="B6952" i="20"/>
  <c r="B6951" i="20"/>
  <c r="B6950" i="20"/>
  <c r="B6949" i="20"/>
  <c r="B6948" i="20"/>
  <c r="B6947" i="20"/>
  <c r="B6946" i="20"/>
  <c r="B6945" i="20"/>
  <c r="B6944" i="20"/>
  <c r="B6943" i="20"/>
  <c r="B6942" i="20"/>
  <c r="B6941" i="20"/>
  <c r="B6940" i="20"/>
  <c r="B6939" i="20"/>
  <c r="B6938" i="20"/>
  <c r="B6937" i="20"/>
  <c r="B6936" i="20"/>
  <c r="B6935" i="20"/>
  <c r="B6934" i="20"/>
  <c r="B6933" i="20"/>
  <c r="B6932" i="20"/>
  <c r="B6931" i="20"/>
  <c r="B6930" i="20"/>
  <c r="B6929" i="20"/>
  <c r="B6928" i="20"/>
  <c r="B6927" i="20"/>
  <c r="B6926" i="20"/>
  <c r="B6925" i="20"/>
  <c r="B6924" i="20"/>
  <c r="B6923" i="20"/>
  <c r="B6922" i="20"/>
  <c r="B6921" i="20"/>
  <c r="B6920" i="20"/>
  <c r="B6919" i="20"/>
  <c r="B6918" i="20"/>
  <c r="B6917" i="20"/>
  <c r="B6916" i="20"/>
  <c r="B6915" i="20"/>
  <c r="B6914" i="20"/>
  <c r="B6913" i="20"/>
  <c r="B6912" i="20"/>
  <c r="B6911" i="20"/>
  <c r="B6910" i="20"/>
  <c r="B6909" i="20"/>
  <c r="B6908" i="20"/>
  <c r="B6907" i="20"/>
  <c r="B6906" i="20"/>
  <c r="B6905" i="20"/>
  <c r="B6904" i="20"/>
  <c r="B6903" i="20"/>
  <c r="B6902" i="20"/>
  <c r="B6901" i="20"/>
  <c r="B6900" i="20"/>
  <c r="B6899" i="20"/>
  <c r="B6898" i="20"/>
  <c r="B6897" i="20"/>
  <c r="B6896" i="20"/>
  <c r="B6895" i="20"/>
  <c r="B6894" i="20"/>
  <c r="B6893" i="20"/>
  <c r="B6892" i="20"/>
  <c r="B6891" i="20"/>
  <c r="B6890" i="20"/>
  <c r="B6889" i="20"/>
  <c r="B6888" i="20"/>
  <c r="B6887" i="20"/>
  <c r="B6886" i="20"/>
  <c r="B6885" i="20"/>
  <c r="B6884" i="20"/>
  <c r="B6883" i="20"/>
  <c r="B6882" i="20"/>
  <c r="B6881" i="20"/>
  <c r="B6880" i="20"/>
  <c r="B6879" i="20"/>
  <c r="B6878" i="20"/>
  <c r="B6877" i="20"/>
  <c r="B6876" i="20"/>
  <c r="B6875" i="20"/>
  <c r="B6874" i="20"/>
  <c r="B6873" i="20"/>
  <c r="B6872" i="20"/>
  <c r="B6871" i="20"/>
  <c r="B6870" i="20"/>
  <c r="B6869" i="20"/>
  <c r="B6868" i="20"/>
  <c r="B6867" i="20"/>
  <c r="B6866" i="20"/>
  <c r="B6865" i="20"/>
  <c r="B6864" i="20"/>
  <c r="B6863" i="20"/>
  <c r="B6862" i="20"/>
  <c r="B6861" i="20"/>
  <c r="B6860" i="20"/>
  <c r="B6859" i="20"/>
  <c r="B6858" i="20"/>
  <c r="B6857" i="20"/>
  <c r="B6856" i="20"/>
  <c r="B6855" i="20"/>
  <c r="B6854" i="20"/>
  <c r="B6853" i="20"/>
  <c r="B6852" i="20"/>
  <c r="B6851" i="20"/>
  <c r="B6850" i="20"/>
  <c r="B6849" i="20"/>
  <c r="B6848" i="20"/>
  <c r="B6847" i="20"/>
  <c r="B6846" i="20"/>
  <c r="B6845" i="20"/>
  <c r="B6844" i="20"/>
  <c r="B6843" i="20"/>
  <c r="B6842" i="20"/>
  <c r="B6841" i="20"/>
  <c r="B6840" i="20"/>
  <c r="B6839" i="20"/>
  <c r="B6838" i="20"/>
  <c r="B6837" i="20"/>
  <c r="B6836" i="20"/>
  <c r="B6835" i="20"/>
  <c r="B6834" i="20"/>
  <c r="B6833" i="20"/>
  <c r="B6832" i="20"/>
  <c r="B6831" i="20"/>
  <c r="B6830" i="20"/>
  <c r="B6829" i="20"/>
  <c r="B6828" i="20"/>
  <c r="B6827" i="20"/>
  <c r="B6826" i="20"/>
  <c r="B6825" i="20"/>
  <c r="B6824" i="20"/>
  <c r="B6823" i="20"/>
  <c r="B6822" i="20"/>
  <c r="B6821" i="20"/>
  <c r="B6820" i="20"/>
  <c r="B6819" i="20"/>
  <c r="B6818" i="20"/>
  <c r="B6817" i="20"/>
  <c r="B6816" i="20"/>
  <c r="B6815" i="20"/>
  <c r="B6814" i="20"/>
  <c r="B6813" i="20"/>
  <c r="B6812" i="20"/>
  <c r="B6811" i="20"/>
  <c r="B6810" i="20"/>
  <c r="B6809" i="20"/>
  <c r="B6808" i="20"/>
  <c r="B6807" i="20"/>
  <c r="B6806" i="20"/>
  <c r="B6805" i="20"/>
  <c r="B6804" i="20"/>
  <c r="B6803" i="20"/>
  <c r="B6802" i="20"/>
  <c r="B6801" i="20"/>
  <c r="B6800" i="20"/>
  <c r="B6799" i="20"/>
  <c r="B6798" i="20"/>
  <c r="B6797" i="20"/>
  <c r="B6796" i="20"/>
  <c r="B6795" i="20"/>
  <c r="B6794" i="20"/>
  <c r="B6793" i="20"/>
  <c r="B6792" i="20"/>
  <c r="B6791" i="20"/>
  <c r="B6790" i="20"/>
  <c r="B6789" i="20"/>
  <c r="B6788" i="20"/>
  <c r="B6787" i="20"/>
  <c r="B6786" i="20"/>
  <c r="B6785" i="20"/>
  <c r="B6784" i="20"/>
  <c r="B6783" i="20"/>
  <c r="B6782" i="20"/>
  <c r="B6781" i="20"/>
  <c r="B6780" i="20"/>
  <c r="B6779" i="20"/>
  <c r="B6778" i="20"/>
  <c r="B6777" i="20"/>
  <c r="B6776" i="20"/>
  <c r="B6775" i="20"/>
  <c r="B6774" i="20"/>
  <c r="B6773" i="20"/>
  <c r="B6772" i="20"/>
  <c r="B6771" i="20"/>
  <c r="B6770" i="20"/>
  <c r="B6769" i="20"/>
  <c r="B6768" i="20"/>
  <c r="B6767" i="20"/>
  <c r="B6766" i="20"/>
  <c r="B6765" i="20"/>
  <c r="B6764" i="20"/>
  <c r="B6763" i="20"/>
  <c r="B6762" i="20"/>
  <c r="B6761" i="20"/>
  <c r="B6760" i="20"/>
  <c r="B6759" i="20"/>
  <c r="B6758" i="20"/>
  <c r="B6757" i="20"/>
  <c r="B6756" i="20"/>
  <c r="B6755" i="20"/>
  <c r="B6754" i="20"/>
  <c r="B6753" i="20"/>
  <c r="B6752" i="20"/>
  <c r="B6751" i="20"/>
  <c r="B6750" i="20"/>
  <c r="B6749" i="20"/>
  <c r="B6748" i="20"/>
  <c r="B6747" i="20"/>
  <c r="B6746" i="20"/>
  <c r="B6745" i="20"/>
  <c r="B6744" i="20"/>
  <c r="B6743" i="20"/>
  <c r="B6742" i="20"/>
  <c r="B6741" i="20"/>
  <c r="B6740" i="20"/>
  <c r="B6739" i="20"/>
  <c r="B6738" i="20"/>
  <c r="B6737" i="20"/>
  <c r="B6736" i="20"/>
  <c r="B6735" i="20"/>
  <c r="B6734" i="20"/>
  <c r="B6733" i="20"/>
  <c r="B6732" i="20"/>
  <c r="B6731" i="20"/>
  <c r="B6730" i="20"/>
  <c r="B6729" i="20"/>
  <c r="B6728" i="20"/>
  <c r="B6727" i="20"/>
  <c r="B6726" i="20"/>
  <c r="B6725" i="20"/>
  <c r="B6724" i="20"/>
  <c r="B6723" i="20"/>
  <c r="B6722" i="20"/>
  <c r="B6721" i="20"/>
  <c r="B6720" i="20"/>
  <c r="B6719" i="20"/>
  <c r="B6718" i="20"/>
  <c r="B6717" i="20"/>
  <c r="B6716" i="20"/>
  <c r="B6715" i="20"/>
  <c r="B6714" i="20"/>
  <c r="B6713" i="20"/>
  <c r="B6712" i="20"/>
  <c r="B6711" i="20"/>
  <c r="B6710" i="20"/>
  <c r="B6709" i="20"/>
  <c r="B6708" i="20"/>
  <c r="B6707" i="20"/>
  <c r="B6706" i="20"/>
  <c r="B6705" i="20"/>
  <c r="B6704" i="20"/>
  <c r="B6703" i="20"/>
  <c r="B6702" i="20"/>
  <c r="B6701" i="20"/>
  <c r="B6700" i="20"/>
  <c r="B6699" i="20"/>
  <c r="B6698" i="20"/>
  <c r="B6697" i="20"/>
  <c r="B6696" i="20"/>
  <c r="B6695" i="20"/>
  <c r="B6694" i="20"/>
  <c r="B6693" i="20"/>
  <c r="B6692" i="20"/>
  <c r="B6691" i="20"/>
  <c r="B6690" i="20"/>
  <c r="B6689" i="20"/>
  <c r="B6688" i="20"/>
  <c r="B6687" i="20"/>
  <c r="B6686" i="20"/>
  <c r="B6685" i="20"/>
  <c r="B6684" i="20"/>
  <c r="B6683" i="20"/>
  <c r="B6682" i="20"/>
  <c r="B6681" i="20"/>
  <c r="B6680" i="20"/>
  <c r="B6679" i="20"/>
  <c r="B6678" i="20"/>
  <c r="B6677" i="20"/>
  <c r="B6676" i="20"/>
  <c r="B6675" i="20"/>
  <c r="B6674" i="20"/>
  <c r="B6673" i="20"/>
  <c r="B6672" i="20"/>
  <c r="B6671" i="20"/>
  <c r="B6670" i="20"/>
  <c r="B6669" i="20"/>
  <c r="B6668" i="20"/>
  <c r="B6667" i="20"/>
  <c r="B6666" i="20"/>
  <c r="B6665" i="20"/>
  <c r="B6664" i="20"/>
  <c r="B6663" i="20"/>
  <c r="B6662" i="20"/>
  <c r="B6661" i="20"/>
  <c r="B6660" i="20"/>
  <c r="B6659" i="20"/>
  <c r="B6658" i="20"/>
  <c r="B6657" i="20"/>
  <c r="B6656" i="20"/>
  <c r="B6655" i="20"/>
  <c r="B6654" i="20"/>
  <c r="B6653" i="20"/>
  <c r="B6652" i="20"/>
  <c r="B6651" i="20"/>
  <c r="B6650" i="20"/>
  <c r="B6649" i="20"/>
  <c r="B6648" i="20"/>
  <c r="B6647" i="20"/>
  <c r="B6646" i="20"/>
  <c r="B6645" i="20"/>
  <c r="B6644" i="20"/>
  <c r="B6643" i="20"/>
  <c r="B6642" i="20"/>
  <c r="B6641" i="20"/>
  <c r="B6640" i="20"/>
  <c r="B6639" i="20"/>
  <c r="B6638" i="20"/>
  <c r="B6637" i="20"/>
  <c r="B6636" i="20"/>
  <c r="B6635" i="20"/>
  <c r="B6634" i="20"/>
  <c r="B6633" i="20"/>
  <c r="B6632" i="20"/>
  <c r="B6631" i="20"/>
  <c r="B6630" i="20"/>
  <c r="B6629" i="20"/>
  <c r="B6628" i="20"/>
  <c r="B6627" i="20"/>
  <c r="B6626" i="20"/>
  <c r="B6625" i="20"/>
  <c r="B6624" i="20"/>
  <c r="B6623" i="20"/>
  <c r="B6622" i="20"/>
  <c r="B6621" i="20"/>
  <c r="B6620" i="20"/>
  <c r="B6619" i="20"/>
  <c r="B6618" i="20"/>
  <c r="B6617" i="20"/>
  <c r="B6616" i="20"/>
  <c r="B6615" i="20"/>
  <c r="B6614" i="20"/>
  <c r="B6613" i="20"/>
  <c r="B6612" i="20"/>
  <c r="B6611" i="20"/>
  <c r="B6610" i="20"/>
  <c r="B6609" i="20"/>
  <c r="B6608" i="20"/>
  <c r="B6607" i="20"/>
  <c r="B6606" i="20"/>
  <c r="B6605" i="20"/>
  <c r="B6604" i="20"/>
  <c r="B6603" i="20"/>
  <c r="B6602" i="20"/>
  <c r="B6601" i="20"/>
  <c r="B6600" i="20"/>
  <c r="B6599" i="20"/>
  <c r="B6598" i="20"/>
  <c r="B6597" i="20"/>
  <c r="B6596" i="20"/>
  <c r="B6595" i="20"/>
  <c r="B6594" i="20"/>
  <c r="B6593" i="20"/>
  <c r="B6592" i="20"/>
  <c r="B6591" i="20"/>
  <c r="B6590" i="20"/>
  <c r="B6589" i="20"/>
  <c r="B6588" i="20"/>
  <c r="B6587" i="20"/>
  <c r="B6586" i="20"/>
  <c r="B6585" i="20"/>
  <c r="B6584" i="20"/>
  <c r="B6583" i="20"/>
  <c r="B6582" i="20"/>
  <c r="B6581" i="20"/>
  <c r="B6580" i="20"/>
  <c r="B6579" i="20"/>
  <c r="B6578" i="20"/>
  <c r="B6577" i="20"/>
  <c r="B6576" i="20"/>
  <c r="B6575" i="20"/>
  <c r="B6574" i="20"/>
  <c r="B6573" i="20"/>
  <c r="B6572" i="20"/>
  <c r="B6571" i="20"/>
  <c r="B6570" i="20"/>
  <c r="B6569" i="20"/>
  <c r="B6568" i="20"/>
  <c r="B6567" i="20"/>
  <c r="B6566" i="20"/>
  <c r="B6565" i="20"/>
  <c r="B6564" i="20"/>
  <c r="B6563" i="20"/>
  <c r="B6562" i="20"/>
  <c r="B6561" i="20"/>
  <c r="B6560" i="20"/>
  <c r="B6559" i="20"/>
  <c r="B6558" i="20"/>
  <c r="B6557" i="20"/>
  <c r="B6556" i="20"/>
  <c r="B6555" i="20"/>
  <c r="B6554" i="20"/>
  <c r="B6553" i="20"/>
  <c r="B6552" i="20"/>
  <c r="B6551" i="20"/>
  <c r="B6550" i="20"/>
  <c r="B6549" i="20"/>
  <c r="B6548" i="20"/>
  <c r="B6547" i="20"/>
  <c r="B6546" i="20"/>
  <c r="B6545" i="20"/>
  <c r="B6544" i="20"/>
  <c r="B6543" i="20"/>
  <c r="B6542" i="20"/>
  <c r="B6541" i="20"/>
  <c r="B6540" i="20"/>
  <c r="B6539" i="20"/>
  <c r="B6538" i="20"/>
  <c r="B6537" i="20"/>
  <c r="B6536" i="20"/>
  <c r="B6535" i="20"/>
  <c r="B6534" i="20"/>
  <c r="B6533" i="20"/>
  <c r="B6532" i="20"/>
  <c r="B6531" i="20"/>
  <c r="B6530" i="20"/>
  <c r="B6529" i="20"/>
  <c r="B6528" i="20"/>
  <c r="B6527" i="20"/>
  <c r="B6526" i="20"/>
  <c r="B6525" i="20"/>
  <c r="B6524" i="20"/>
  <c r="B6523" i="20"/>
  <c r="B6522" i="20"/>
  <c r="B6521" i="20"/>
  <c r="B6520" i="20"/>
  <c r="B6519" i="20"/>
  <c r="B6518" i="20"/>
  <c r="B6517" i="20"/>
  <c r="B6516" i="20"/>
  <c r="B6515" i="20"/>
  <c r="B6514" i="20"/>
  <c r="B6513" i="20"/>
  <c r="B6512" i="20"/>
  <c r="B6511" i="20"/>
  <c r="B6510" i="20"/>
  <c r="B6509" i="20"/>
  <c r="B6508" i="20"/>
  <c r="B6507" i="20"/>
  <c r="B6506" i="20"/>
  <c r="B6505" i="20"/>
  <c r="B6504" i="20"/>
  <c r="B6503" i="20"/>
  <c r="B6502" i="20"/>
  <c r="B6501" i="20"/>
  <c r="B6500" i="20"/>
  <c r="B6499" i="20"/>
  <c r="B6498" i="20"/>
  <c r="B6497" i="20"/>
  <c r="B6496" i="20"/>
  <c r="B6495" i="20"/>
  <c r="B6494" i="20"/>
  <c r="B6493" i="20"/>
  <c r="B6492" i="20"/>
  <c r="B6491" i="20"/>
  <c r="B6490" i="20"/>
  <c r="B6489" i="20"/>
  <c r="B6488" i="20"/>
  <c r="B6487" i="20"/>
  <c r="B6486" i="20"/>
  <c r="B6485" i="20"/>
  <c r="B6484" i="20"/>
  <c r="B6483" i="20"/>
  <c r="B6482" i="20"/>
  <c r="B6481" i="20"/>
  <c r="B6480" i="20"/>
  <c r="B6479" i="20"/>
  <c r="B6478" i="20"/>
  <c r="B6477" i="20"/>
  <c r="B6476" i="20"/>
  <c r="B6475" i="20"/>
  <c r="B6474" i="20"/>
  <c r="B6473" i="20"/>
  <c r="B6472" i="20"/>
  <c r="B6471" i="20"/>
  <c r="B6470" i="20"/>
  <c r="B6469" i="20"/>
  <c r="B6468" i="20"/>
  <c r="B6467" i="20"/>
  <c r="B6466" i="20"/>
  <c r="B6465" i="20"/>
  <c r="B6464" i="20"/>
  <c r="B6463" i="20"/>
  <c r="B6462" i="20"/>
  <c r="B6461" i="20"/>
  <c r="B6460" i="20"/>
  <c r="B6459" i="20"/>
  <c r="B6458" i="20"/>
  <c r="B6457" i="20"/>
  <c r="B6456" i="20"/>
  <c r="B6455" i="20"/>
  <c r="B6454" i="20"/>
  <c r="B6453" i="20"/>
  <c r="B6452" i="20"/>
  <c r="B6451" i="20"/>
  <c r="B6450" i="20"/>
  <c r="B6449" i="20"/>
  <c r="B6448" i="20"/>
  <c r="B6447" i="20"/>
  <c r="B6446" i="20"/>
  <c r="B6445" i="20"/>
  <c r="B6444" i="20"/>
  <c r="B6443" i="20"/>
  <c r="B6442" i="20"/>
  <c r="B6441" i="20"/>
  <c r="B6440" i="20"/>
  <c r="B6439" i="20"/>
  <c r="B6438" i="20"/>
  <c r="B6437" i="20"/>
  <c r="B6436" i="20"/>
  <c r="B6435" i="20"/>
  <c r="B6434" i="20"/>
  <c r="B6433" i="20"/>
  <c r="B6432" i="20"/>
  <c r="B6431" i="20"/>
  <c r="B6430" i="20"/>
  <c r="B6429" i="20"/>
  <c r="B6428" i="20"/>
  <c r="B6427" i="20"/>
  <c r="B6426" i="20"/>
  <c r="B6425" i="20"/>
  <c r="B6424" i="20"/>
  <c r="B6423" i="20"/>
  <c r="B6422" i="20"/>
  <c r="B6421" i="20"/>
  <c r="B6420" i="20"/>
  <c r="B6419" i="20"/>
  <c r="B6418" i="20"/>
  <c r="B6417" i="20"/>
  <c r="B6416" i="20"/>
  <c r="B6415" i="20"/>
  <c r="B6414" i="20"/>
  <c r="B6413" i="20"/>
  <c r="B6412" i="20"/>
  <c r="B6411" i="20"/>
  <c r="B6410" i="20"/>
  <c r="B6409" i="20"/>
  <c r="B6408" i="20"/>
  <c r="B6407" i="20"/>
  <c r="B6406" i="20"/>
  <c r="B6405" i="20"/>
  <c r="B6404" i="20"/>
  <c r="B6403" i="20"/>
  <c r="B6402" i="20"/>
  <c r="B6401" i="20"/>
  <c r="B6400" i="20"/>
  <c r="B6399" i="20"/>
  <c r="B6398" i="20"/>
  <c r="B6397" i="20"/>
  <c r="B6396" i="20"/>
  <c r="B6395" i="20"/>
  <c r="B6394" i="20"/>
  <c r="B6393" i="20"/>
  <c r="B6392" i="20"/>
  <c r="B6391" i="20"/>
  <c r="B6390" i="20"/>
  <c r="B6389" i="20"/>
  <c r="B6388" i="20"/>
  <c r="B6387" i="20"/>
  <c r="B6386" i="20"/>
  <c r="B6385" i="20"/>
  <c r="B6384" i="20"/>
  <c r="B6383" i="20"/>
  <c r="B6382" i="20"/>
  <c r="B6381" i="20"/>
  <c r="B6380" i="20"/>
  <c r="B6379" i="20"/>
  <c r="B6378" i="20"/>
  <c r="B6377" i="20"/>
  <c r="B6376" i="20"/>
  <c r="B6375" i="20"/>
  <c r="B6374" i="20"/>
  <c r="B6373" i="20"/>
  <c r="B6372" i="20"/>
  <c r="B6371" i="20"/>
  <c r="B6370" i="20"/>
  <c r="B6369" i="20"/>
  <c r="B6368" i="20"/>
  <c r="B6367" i="20"/>
  <c r="B6366" i="20"/>
  <c r="B6365" i="20"/>
  <c r="B6364" i="20"/>
  <c r="B6363" i="20"/>
  <c r="B6362" i="20"/>
  <c r="B6361" i="20"/>
  <c r="B6360" i="20"/>
  <c r="B6359" i="20"/>
  <c r="B6358" i="20"/>
  <c r="B6357" i="20"/>
  <c r="B6356" i="20"/>
  <c r="B6355" i="20"/>
  <c r="B6354" i="20"/>
  <c r="B6353" i="20"/>
  <c r="B6352" i="20"/>
  <c r="B6351" i="20"/>
  <c r="B6350" i="20"/>
  <c r="B6349" i="20"/>
  <c r="B6348" i="20"/>
  <c r="B6347" i="20"/>
  <c r="B6346" i="20"/>
  <c r="B6345" i="20"/>
  <c r="B6344" i="20"/>
  <c r="B6343" i="20"/>
  <c r="B6342" i="20"/>
  <c r="B6341" i="20"/>
  <c r="B6340" i="20"/>
  <c r="B6339" i="20"/>
  <c r="B6338" i="20"/>
  <c r="B6337" i="20"/>
  <c r="B6336" i="20"/>
  <c r="B6335" i="20"/>
  <c r="B6334" i="20"/>
  <c r="B6333" i="20"/>
  <c r="B6332" i="20"/>
  <c r="B6331" i="20"/>
  <c r="B6330" i="20"/>
  <c r="B6329" i="20"/>
  <c r="B6328" i="20"/>
  <c r="B6327" i="20"/>
  <c r="B6326" i="20"/>
  <c r="B6325" i="20"/>
  <c r="B6324" i="20"/>
  <c r="B6323" i="20"/>
  <c r="B6322" i="20"/>
  <c r="B6321" i="20"/>
  <c r="B6320" i="20"/>
  <c r="B6319" i="20"/>
  <c r="B6318" i="20"/>
  <c r="B6317" i="20"/>
  <c r="B6316" i="20"/>
  <c r="B6315" i="20"/>
  <c r="B6314" i="20"/>
  <c r="B6313" i="20"/>
  <c r="B6312" i="20"/>
  <c r="B6311" i="20"/>
  <c r="B6310" i="20"/>
  <c r="B6309" i="20"/>
  <c r="B6308" i="20"/>
  <c r="B6307" i="20"/>
  <c r="B6306" i="20"/>
  <c r="B6305" i="20"/>
  <c r="B6304" i="20"/>
  <c r="B6303" i="20"/>
  <c r="B6302" i="20"/>
  <c r="B6301" i="20"/>
  <c r="B6300" i="20"/>
  <c r="B6299" i="20"/>
  <c r="B6298" i="20"/>
  <c r="B6297" i="20"/>
  <c r="B6296" i="20"/>
  <c r="B6295" i="20"/>
  <c r="B6294" i="20"/>
  <c r="B6293" i="20"/>
  <c r="B6292" i="20"/>
  <c r="B6291" i="20"/>
  <c r="B6290" i="20"/>
  <c r="B6289" i="20"/>
  <c r="B6288" i="20"/>
  <c r="B6287" i="20"/>
  <c r="B6286" i="20"/>
  <c r="B6285" i="20"/>
  <c r="B6284" i="20"/>
  <c r="B6283" i="20"/>
  <c r="B6282" i="20"/>
  <c r="B6281" i="20"/>
  <c r="B6280" i="20"/>
  <c r="B6279" i="20"/>
  <c r="B6278" i="20"/>
  <c r="B6277" i="20"/>
  <c r="B6276" i="20"/>
  <c r="B6275" i="20"/>
  <c r="B6274" i="20"/>
  <c r="B6273" i="20"/>
  <c r="B6272" i="20"/>
  <c r="B6271" i="20"/>
  <c r="B6270" i="20"/>
  <c r="B6269" i="20"/>
  <c r="B6268" i="20"/>
  <c r="B6267" i="20"/>
  <c r="B6266" i="20"/>
  <c r="B6265" i="20"/>
  <c r="B6264" i="20"/>
  <c r="B6263" i="20"/>
  <c r="B6262" i="20"/>
  <c r="B6261" i="20"/>
  <c r="B6260" i="20"/>
  <c r="B6259" i="20"/>
  <c r="B6258" i="20"/>
  <c r="B6257" i="20"/>
  <c r="B6256" i="20"/>
  <c r="B6255" i="20"/>
  <c r="B6254" i="20"/>
  <c r="B6253" i="20"/>
  <c r="B6252" i="20"/>
  <c r="B6251" i="20"/>
  <c r="B6250" i="20"/>
  <c r="B6249" i="20"/>
  <c r="B6248" i="20"/>
  <c r="B6247" i="20"/>
  <c r="B6246" i="20"/>
  <c r="B6245" i="20"/>
  <c r="B6244" i="20"/>
  <c r="B6243" i="20"/>
  <c r="B6242" i="20"/>
  <c r="B6241" i="20"/>
  <c r="B6240" i="20"/>
  <c r="B6239" i="20"/>
  <c r="B6238" i="20"/>
  <c r="B6237" i="20"/>
  <c r="B6236" i="20"/>
  <c r="B6235" i="20"/>
  <c r="B6234" i="20"/>
  <c r="B6233" i="20"/>
  <c r="B6232" i="20"/>
  <c r="B6231" i="20"/>
  <c r="B6230" i="20"/>
  <c r="B6229" i="20"/>
  <c r="B6228" i="20"/>
  <c r="B6227" i="20"/>
  <c r="B6226" i="20"/>
  <c r="B6225" i="20"/>
  <c r="B6224" i="20"/>
  <c r="B6223" i="20"/>
  <c r="B6222" i="20"/>
  <c r="B6221" i="20"/>
  <c r="B6220" i="20"/>
  <c r="B6219" i="20"/>
  <c r="B6218" i="20"/>
  <c r="B6217" i="20"/>
  <c r="B6216" i="20"/>
  <c r="B6215" i="20"/>
  <c r="B6214" i="20"/>
  <c r="B6213" i="20"/>
  <c r="B6212" i="20"/>
  <c r="B6211" i="20"/>
  <c r="B6210" i="20"/>
  <c r="B6209" i="20"/>
  <c r="B6208" i="20"/>
  <c r="B6207" i="20"/>
  <c r="B6206" i="20"/>
  <c r="B6205" i="20"/>
  <c r="B6204" i="20"/>
  <c r="B6203" i="20"/>
  <c r="B6202" i="20"/>
  <c r="B6201" i="20"/>
  <c r="B6200" i="20"/>
  <c r="B6199" i="20"/>
  <c r="B6198" i="20"/>
  <c r="B6197" i="20"/>
  <c r="B6196" i="20"/>
  <c r="B6195" i="20"/>
  <c r="B6194" i="20"/>
  <c r="B6193" i="20"/>
  <c r="B6192" i="20"/>
  <c r="B6191" i="20"/>
  <c r="B6190" i="20"/>
  <c r="B6189" i="20"/>
  <c r="B6188" i="20"/>
  <c r="B6187" i="20"/>
  <c r="B6186" i="20"/>
  <c r="B6185" i="20"/>
  <c r="B6184" i="20"/>
  <c r="B6183" i="20"/>
  <c r="B6182" i="20"/>
  <c r="B6181" i="20"/>
  <c r="B6180" i="20"/>
  <c r="B6179" i="20"/>
  <c r="B6178" i="20"/>
  <c r="B6177" i="20"/>
  <c r="B6176" i="20"/>
  <c r="B6175" i="20"/>
  <c r="B6174" i="20"/>
  <c r="B6173" i="20"/>
  <c r="B6172" i="20"/>
  <c r="B6171" i="20"/>
  <c r="B6170" i="20"/>
  <c r="B6169" i="20"/>
  <c r="B6168" i="20"/>
  <c r="B6167" i="20"/>
  <c r="B6166" i="20"/>
  <c r="B6165" i="20"/>
  <c r="B6164" i="20"/>
  <c r="B6163" i="20"/>
  <c r="B6162" i="20"/>
  <c r="B6161" i="20"/>
  <c r="B6160" i="20"/>
  <c r="B6159" i="20"/>
  <c r="B6158" i="20"/>
  <c r="B6157" i="20"/>
  <c r="B6156" i="20"/>
  <c r="B6155" i="20"/>
  <c r="B6154" i="20"/>
  <c r="B6153" i="20"/>
  <c r="B6152" i="20"/>
  <c r="B6151" i="20"/>
  <c r="B6150" i="20"/>
  <c r="B6149" i="20"/>
  <c r="B6148" i="20"/>
  <c r="B6147" i="20"/>
  <c r="B6146" i="20"/>
  <c r="B6145" i="20"/>
  <c r="B6144" i="20"/>
  <c r="B6143" i="20"/>
  <c r="B6142" i="20"/>
  <c r="B6141" i="20"/>
  <c r="B6140" i="20"/>
  <c r="B6139" i="20"/>
  <c r="B6138" i="20"/>
  <c r="B6137" i="20"/>
  <c r="B6136" i="20"/>
  <c r="B6135" i="20"/>
  <c r="B6134" i="20"/>
  <c r="B6133" i="20"/>
  <c r="B6132" i="20"/>
  <c r="B6131" i="20"/>
  <c r="B6130" i="20"/>
  <c r="B6129" i="20"/>
  <c r="B6128" i="20"/>
  <c r="B6127" i="20"/>
  <c r="B6126" i="20"/>
  <c r="B6125" i="20"/>
  <c r="B6124" i="20"/>
  <c r="B6123" i="20"/>
  <c r="B6122" i="20"/>
  <c r="B6121" i="20"/>
  <c r="B6120" i="20"/>
  <c r="B6119" i="20"/>
  <c r="B6118" i="20"/>
  <c r="B6117" i="20"/>
  <c r="B6116" i="20"/>
  <c r="B6115" i="20"/>
  <c r="B6114" i="20"/>
  <c r="B6113" i="20"/>
  <c r="B6112" i="20"/>
  <c r="B6111" i="20"/>
  <c r="B6110" i="20"/>
  <c r="B6109" i="20"/>
  <c r="B6108" i="20"/>
  <c r="B6107" i="20"/>
  <c r="B6106" i="20"/>
  <c r="B6105" i="20"/>
  <c r="B6104" i="20"/>
  <c r="B6103" i="20"/>
  <c r="B6102" i="20"/>
  <c r="B6101" i="20"/>
  <c r="B6100" i="20"/>
  <c r="B6099" i="20"/>
  <c r="B6098" i="20"/>
  <c r="B6097" i="20"/>
  <c r="B6096" i="20"/>
  <c r="B6095" i="20"/>
  <c r="B6094" i="20"/>
  <c r="B6093" i="20"/>
  <c r="B6092" i="20"/>
  <c r="B6091" i="20"/>
  <c r="B6090" i="20"/>
  <c r="B6089" i="20"/>
  <c r="B6088" i="20"/>
  <c r="B6087" i="20"/>
  <c r="B6086" i="20"/>
  <c r="B6085" i="20"/>
  <c r="B6084" i="20"/>
  <c r="B6083" i="20"/>
  <c r="B6082" i="20"/>
  <c r="B6081" i="20"/>
  <c r="B6080" i="20"/>
  <c r="B6079" i="20"/>
  <c r="B6078" i="20"/>
  <c r="B6077" i="20"/>
  <c r="B6076" i="20"/>
  <c r="B6075" i="20"/>
  <c r="B6074" i="20"/>
  <c r="B6073" i="20"/>
  <c r="B6072" i="20"/>
  <c r="B6071" i="20"/>
  <c r="B6070" i="20"/>
  <c r="B6069" i="20"/>
  <c r="B6068" i="20"/>
  <c r="B6067" i="20"/>
  <c r="B6066" i="20"/>
  <c r="B6065" i="20"/>
  <c r="B6064" i="20"/>
  <c r="B6063" i="20"/>
  <c r="B6062" i="20"/>
  <c r="B6061" i="20"/>
  <c r="B6060" i="20"/>
  <c r="B6059" i="20"/>
  <c r="B6058" i="20"/>
  <c r="B6057" i="20"/>
  <c r="B6056" i="20"/>
  <c r="B6055" i="20"/>
  <c r="B6054" i="20"/>
  <c r="B6053" i="20"/>
  <c r="B6052" i="20"/>
  <c r="B6051" i="20"/>
  <c r="B6050" i="20"/>
  <c r="B6049" i="20"/>
  <c r="B6048" i="20"/>
  <c r="B6047" i="20"/>
  <c r="B6046" i="20"/>
  <c r="B6045" i="20"/>
  <c r="B6044" i="20"/>
  <c r="B6043" i="20"/>
  <c r="B6042" i="20"/>
  <c r="B6041" i="20"/>
  <c r="B6040" i="20"/>
  <c r="B6039" i="20"/>
  <c r="B6038" i="20"/>
  <c r="B6037" i="20"/>
  <c r="B6036" i="20"/>
  <c r="B6035" i="20"/>
  <c r="B6034" i="20"/>
  <c r="B6033" i="20"/>
  <c r="B6032" i="20"/>
  <c r="B6031" i="20"/>
  <c r="B6030" i="20"/>
  <c r="B6029" i="20"/>
  <c r="B6028" i="20"/>
  <c r="B6027" i="20"/>
  <c r="B6026" i="20"/>
  <c r="B6025" i="20"/>
  <c r="B6024" i="20"/>
  <c r="B6023" i="20"/>
  <c r="B6022" i="20"/>
  <c r="B6021" i="20"/>
  <c r="B6020" i="20"/>
  <c r="B6019" i="20"/>
  <c r="B6018" i="20"/>
  <c r="B6017" i="20"/>
  <c r="B6016" i="20"/>
  <c r="B6015" i="20"/>
  <c r="B6014" i="20"/>
  <c r="B6013" i="20"/>
  <c r="B6012" i="20"/>
  <c r="B6011" i="20"/>
  <c r="B6010" i="20"/>
  <c r="B6009" i="20"/>
  <c r="B6008" i="20"/>
  <c r="B6007" i="20"/>
  <c r="B6006" i="20"/>
  <c r="B6005" i="20"/>
  <c r="B6004" i="20"/>
  <c r="B6003" i="20"/>
  <c r="B6002" i="20"/>
  <c r="B6001" i="20"/>
  <c r="B6000" i="20"/>
  <c r="B5999" i="20"/>
  <c r="B5998" i="20"/>
  <c r="B5997" i="20"/>
  <c r="B5996" i="20"/>
  <c r="B5995" i="20"/>
  <c r="B5994" i="20"/>
  <c r="B5993" i="20"/>
  <c r="B5992" i="20"/>
  <c r="B5991" i="20"/>
  <c r="B5990" i="20"/>
  <c r="B5989" i="20"/>
  <c r="B5988" i="20"/>
  <c r="B5987" i="20"/>
  <c r="B5986" i="20"/>
  <c r="B5985" i="20"/>
  <c r="B5984" i="20"/>
  <c r="B5983" i="20"/>
  <c r="B5982" i="20"/>
  <c r="B5981" i="20"/>
  <c r="B5980" i="20"/>
  <c r="B5979" i="20"/>
  <c r="B5978" i="20"/>
  <c r="B5977" i="20"/>
  <c r="B5976" i="20"/>
  <c r="B5975" i="20"/>
  <c r="B5974" i="20"/>
  <c r="B5973" i="20"/>
  <c r="B5972" i="20"/>
  <c r="B5971" i="20"/>
  <c r="B5970" i="20"/>
  <c r="B5969" i="20"/>
  <c r="B5968" i="20"/>
  <c r="B5967" i="20"/>
  <c r="B5966" i="20"/>
  <c r="B5965" i="20"/>
  <c r="B5964" i="20"/>
  <c r="B5963" i="20"/>
  <c r="B5962" i="20"/>
  <c r="B5961" i="20"/>
  <c r="B5960" i="20"/>
  <c r="B5959" i="20"/>
  <c r="B5958" i="20"/>
  <c r="B5957" i="20"/>
  <c r="B5956" i="20"/>
  <c r="B5955" i="20"/>
  <c r="B5954" i="20"/>
  <c r="B5953" i="20"/>
  <c r="B5952" i="20"/>
  <c r="B5951" i="20"/>
  <c r="B5950" i="20"/>
  <c r="B5949" i="20"/>
  <c r="B5948" i="20"/>
  <c r="B5947" i="20"/>
  <c r="B5946" i="20"/>
  <c r="B5945" i="20"/>
  <c r="B5944" i="20"/>
  <c r="B5943" i="20"/>
  <c r="B5942" i="20"/>
  <c r="B5941" i="20"/>
  <c r="B5940" i="20"/>
  <c r="B5939" i="20"/>
  <c r="B5938" i="20"/>
  <c r="B5937" i="20"/>
  <c r="B5936" i="20"/>
  <c r="B5935" i="20"/>
  <c r="B5934" i="20"/>
  <c r="B5933" i="20"/>
  <c r="B5932" i="20"/>
  <c r="B5931" i="20"/>
  <c r="B5930" i="20"/>
  <c r="B5929" i="20"/>
  <c r="B5928" i="20"/>
  <c r="B5927" i="20"/>
  <c r="B5926" i="20"/>
  <c r="B5925" i="20"/>
  <c r="B5924" i="20"/>
  <c r="B5923" i="20"/>
  <c r="B5922" i="20"/>
  <c r="B5921" i="20"/>
  <c r="B5920" i="20"/>
  <c r="B5919" i="20"/>
  <c r="B5918" i="20"/>
  <c r="B5917" i="20"/>
  <c r="B5916" i="20"/>
  <c r="B5915" i="20"/>
  <c r="B5914" i="20"/>
  <c r="B5913" i="20"/>
  <c r="B5912" i="20"/>
  <c r="B5911" i="20"/>
  <c r="B5910" i="20"/>
  <c r="B5909" i="20"/>
  <c r="B5908" i="20"/>
  <c r="B5907" i="20"/>
  <c r="B5906" i="20"/>
  <c r="B5905" i="20"/>
  <c r="B5904" i="20"/>
  <c r="B5903" i="20"/>
  <c r="B5902" i="20"/>
  <c r="B5901" i="20"/>
  <c r="B5900" i="20"/>
  <c r="B5899" i="20"/>
  <c r="B5898" i="20"/>
  <c r="B5897" i="20"/>
  <c r="B5896" i="20"/>
  <c r="B5895" i="20"/>
  <c r="B5894" i="20"/>
  <c r="B5893" i="20"/>
  <c r="B5892" i="20"/>
  <c r="B5891" i="20"/>
  <c r="B5890" i="20"/>
  <c r="B5889" i="20"/>
  <c r="B5888" i="20"/>
  <c r="B5887" i="20"/>
  <c r="B5886" i="20"/>
  <c r="B5885" i="20"/>
  <c r="B5884" i="20"/>
  <c r="B5883" i="20"/>
  <c r="B5882" i="20"/>
  <c r="B5881" i="20"/>
  <c r="B5880" i="20"/>
  <c r="B5879" i="20"/>
  <c r="B5878" i="20"/>
  <c r="B5877" i="20"/>
  <c r="B5876" i="20"/>
  <c r="B5875" i="20"/>
  <c r="B5874" i="20"/>
  <c r="B5873" i="20"/>
  <c r="B5872" i="20"/>
  <c r="B5871" i="20"/>
  <c r="B5870" i="20"/>
  <c r="B5869" i="20"/>
  <c r="B5868" i="20"/>
  <c r="B5867" i="20"/>
  <c r="B5866" i="20"/>
  <c r="B5865" i="20"/>
  <c r="B5864" i="20"/>
  <c r="B5863" i="20"/>
  <c r="B5862" i="20"/>
  <c r="B5861" i="20"/>
  <c r="B5860" i="20"/>
  <c r="B5859" i="20"/>
  <c r="B5858" i="20"/>
  <c r="B5857" i="20"/>
  <c r="B5856" i="20"/>
  <c r="B5855" i="20"/>
  <c r="B5854" i="20"/>
  <c r="B5853" i="20"/>
  <c r="B5852" i="20"/>
  <c r="B5851" i="20"/>
  <c r="B5850" i="20"/>
  <c r="B5849" i="20"/>
  <c r="B5848" i="20"/>
  <c r="B5847" i="20"/>
  <c r="B5846" i="20"/>
  <c r="B5845" i="20"/>
  <c r="B5844" i="20"/>
  <c r="B5843" i="20"/>
  <c r="B5842" i="20"/>
  <c r="B5841" i="20"/>
  <c r="B5840" i="20"/>
  <c r="B5839" i="20"/>
  <c r="B5838" i="20"/>
  <c r="B5837" i="20"/>
  <c r="B5836" i="20"/>
  <c r="B5835" i="20"/>
  <c r="B5834" i="20"/>
  <c r="B5833" i="20"/>
  <c r="B5832" i="20"/>
  <c r="B5831" i="20"/>
  <c r="B5830" i="20"/>
  <c r="B5829" i="20"/>
  <c r="B5828" i="20"/>
  <c r="B5827" i="20"/>
  <c r="B5826" i="20"/>
  <c r="B5825" i="20"/>
  <c r="B5824" i="20"/>
  <c r="B5823" i="20"/>
  <c r="B5822" i="20"/>
  <c r="B5821" i="20"/>
  <c r="B5820" i="20"/>
  <c r="B5819" i="20"/>
  <c r="B5818" i="20"/>
  <c r="B5817" i="20"/>
  <c r="B5816" i="20"/>
  <c r="B5815" i="20"/>
  <c r="B5814" i="20"/>
  <c r="B5813" i="20"/>
  <c r="B5812" i="20"/>
  <c r="B5811" i="20"/>
  <c r="B5810" i="20"/>
  <c r="B5809" i="20"/>
  <c r="B5808" i="20"/>
  <c r="B5807" i="20"/>
  <c r="B5806" i="20"/>
  <c r="B5805" i="20"/>
  <c r="B5804" i="20"/>
  <c r="B5803" i="20"/>
  <c r="B5802" i="20"/>
  <c r="B5801" i="20"/>
  <c r="B5800" i="20"/>
  <c r="B5799" i="20"/>
  <c r="B5798" i="20"/>
  <c r="B5797" i="20"/>
  <c r="B5796" i="20"/>
  <c r="B5795" i="20"/>
  <c r="B5794" i="20"/>
  <c r="B5793" i="20"/>
  <c r="B5792" i="20"/>
  <c r="B5791" i="20"/>
  <c r="B5790" i="20"/>
  <c r="B5789" i="20"/>
  <c r="B5788" i="20"/>
  <c r="B5787" i="20"/>
  <c r="B5786" i="20"/>
  <c r="B5785" i="20"/>
  <c r="B5784" i="20"/>
  <c r="B5783" i="20"/>
  <c r="B5782" i="20"/>
  <c r="B5781" i="20"/>
  <c r="B5780" i="20"/>
  <c r="B5779" i="20"/>
  <c r="B5778" i="20"/>
  <c r="B5777" i="20"/>
  <c r="B5776" i="20"/>
  <c r="B5775" i="20"/>
  <c r="B5774" i="20"/>
  <c r="B5773" i="20"/>
  <c r="B5772" i="20"/>
  <c r="B5771" i="20"/>
  <c r="B5770" i="20"/>
  <c r="B5769" i="20"/>
  <c r="B5768" i="20"/>
  <c r="B5767" i="20"/>
  <c r="B5766" i="20"/>
  <c r="B5765" i="20"/>
  <c r="B5764" i="20"/>
  <c r="B5763" i="20"/>
  <c r="B5762" i="20"/>
  <c r="B5761" i="20"/>
  <c r="B5760" i="20"/>
  <c r="B5759" i="20"/>
  <c r="B5758" i="20"/>
  <c r="B5757" i="20"/>
  <c r="B5756" i="20"/>
  <c r="B5755" i="20"/>
  <c r="B5754" i="20"/>
  <c r="B5753" i="20"/>
  <c r="B5752" i="20"/>
  <c r="B5751" i="20"/>
  <c r="B5750" i="20"/>
  <c r="B5749" i="20"/>
  <c r="B5748" i="20"/>
  <c r="B5747" i="20"/>
  <c r="B5746" i="20"/>
  <c r="B5745" i="20"/>
  <c r="B5744" i="20"/>
  <c r="B5743" i="20"/>
  <c r="B5742" i="20"/>
  <c r="B5741" i="20"/>
  <c r="B5740" i="20"/>
  <c r="B5739" i="20"/>
  <c r="B5738" i="20"/>
  <c r="B5737" i="20"/>
  <c r="B5736" i="20"/>
  <c r="B5735" i="20"/>
  <c r="B5734" i="20"/>
  <c r="B5733" i="20"/>
  <c r="B5732" i="20"/>
  <c r="B5731" i="20"/>
  <c r="B5730" i="20"/>
  <c r="B5729" i="20"/>
  <c r="B5728" i="20"/>
  <c r="B5727" i="20"/>
  <c r="B5726" i="20"/>
  <c r="B5725" i="20"/>
  <c r="B5724" i="20"/>
  <c r="B5723" i="20"/>
  <c r="B5722" i="20"/>
  <c r="B5721" i="20"/>
  <c r="B5720" i="20"/>
  <c r="B5719" i="20"/>
  <c r="B5718" i="20"/>
  <c r="B5717" i="20"/>
  <c r="B5716" i="20"/>
  <c r="B5715" i="20"/>
  <c r="B5714" i="20"/>
  <c r="B5713" i="20"/>
  <c r="B5712" i="20"/>
  <c r="B5711" i="20"/>
  <c r="B5710" i="20"/>
  <c r="B5709" i="20"/>
  <c r="B5708" i="20"/>
  <c r="B5707" i="20"/>
  <c r="B5706" i="20"/>
  <c r="B5705" i="20"/>
  <c r="B5704" i="20"/>
  <c r="B5703" i="20"/>
  <c r="B5702" i="20"/>
  <c r="B5701" i="20"/>
  <c r="B5700" i="20"/>
  <c r="B5699" i="20"/>
  <c r="B5698" i="20"/>
  <c r="B5697" i="20"/>
  <c r="B5696" i="20"/>
  <c r="B5695" i="20"/>
  <c r="B5694" i="20"/>
  <c r="B5693" i="20"/>
  <c r="B5692" i="20"/>
  <c r="B5691" i="20"/>
  <c r="B5690" i="20"/>
  <c r="B5689" i="20"/>
  <c r="B5688" i="20"/>
  <c r="B5687" i="20"/>
  <c r="B5686" i="20"/>
  <c r="B5685" i="20"/>
  <c r="B5684" i="20"/>
  <c r="B5683" i="20"/>
  <c r="B5682" i="20"/>
  <c r="B5681" i="20"/>
  <c r="B5680" i="20"/>
  <c r="B5679" i="20"/>
  <c r="B5678" i="20"/>
  <c r="B5677" i="20"/>
  <c r="B5676" i="20"/>
  <c r="B5675" i="20"/>
  <c r="B5674" i="20"/>
  <c r="B5673" i="20"/>
  <c r="B5672" i="20"/>
  <c r="B5671" i="20"/>
  <c r="B5670" i="20"/>
  <c r="B5669" i="20"/>
  <c r="B5668" i="20"/>
  <c r="B5667" i="20"/>
  <c r="B5666" i="20"/>
  <c r="B5665" i="20"/>
  <c r="B5664" i="20"/>
  <c r="B5663" i="20"/>
  <c r="B5662" i="20"/>
  <c r="B5661" i="20"/>
  <c r="B5660" i="20"/>
  <c r="B5659" i="20"/>
  <c r="B5658" i="20"/>
  <c r="B5657" i="20"/>
  <c r="B5656" i="20"/>
  <c r="B5655" i="20"/>
  <c r="B5654" i="20"/>
  <c r="B5653" i="20"/>
  <c r="B5652" i="20"/>
  <c r="B5651" i="20"/>
  <c r="B5650" i="20"/>
  <c r="B5649" i="20"/>
  <c r="B5648" i="20"/>
  <c r="B5647" i="20"/>
  <c r="B5646" i="20"/>
  <c r="B5645" i="20"/>
  <c r="B5644" i="20"/>
  <c r="B5643" i="20"/>
  <c r="B5642" i="20"/>
  <c r="B5641" i="20"/>
  <c r="B5640" i="20"/>
  <c r="B5639" i="20"/>
  <c r="B5638" i="20"/>
  <c r="B5637" i="20"/>
  <c r="B5636" i="20"/>
  <c r="B5635" i="20"/>
  <c r="B5634" i="20"/>
  <c r="B5633" i="20"/>
  <c r="B5632" i="20"/>
  <c r="B5631" i="20"/>
  <c r="B5630" i="20"/>
  <c r="B5629" i="20"/>
  <c r="B5628" i="20"/>
  <c r="B5627" i="20"/>
  <c r="B5626" i="20"/>
  <c r="B5625" i="20"/>
  <c r="B5624" i="20"/>
  <c r="B5623" i="20"/>
  <c r="B5622" i="20"/>
  <c r="B5621" i="20"/>
  <c r="B5620" i="20"/>
  <c r="B5619" i="20"/>
  <c r="B5618" i="20"/>
  <c r="B5617" i="20"/>
  <c r="B5616" i="20"/>
  <c r="B5615" i="20"/>
  <c r="B5614" i="20"/>
  <c r="B5613" i="20"/>
  <c r="B5612" i="20"/>
  <c r="B5611" i="20"/>
  <c r="B5610" i="20"/>
  <c r="B5609" i="20"/>
  <c r="B5608" i="20"/>
  <c r="B5607" i="20"/>
  <c r="B5606" i="20"/>
  <c r="B5605" i="20"/>
  <c r="B5604" i="20"/>
  <c r="B5603" i="20"/>
  <c r="B5602" i="20"/>
  <c r="B5601" i="20"/>
  <c r="B5600" i="20"/>
  <c r="B5599" i="20"/>
  <c r="B5598" i="20"/>
  <c r="B5597" i="20"/>
  <c r="B5596" i="20"/>
  <c r="B5595" i="20"/>
  <c r="B5594" i="20"/>
  <c r="B5593" i="20"/>
  <c r="B5592" i="20"/>
  <c r="B5591" i="20"/>
  <c r="B5590" i="20"/>
  <c r="B5589" i="20"/>
  <c r="B5588" i="20"/>
  <c r="B5587" i="20"/>
  <c r="B5586" i="20"/>
  <c r="B5585" i="20"/>
  <c r="B5584" i="20"/>
  <c r="B5583" i="20"/>
  <c r="B5582" i="20"/>
  <c r="B5581" i="20"/>
  <c r="B5580" i="20"/>
  <c r="B5579" i="20"/>
  <c r="B5578" i="20"/>
  <c r="B5577" i="20"/>
  <c r="B5576" i="20"/>
  <c r="B5575" i="20"/>
  <c r="B5574" i="20"/>
  <c r="B5573" i="20"/>
  <c r="B5572" i="20"/>
  <c r="B5571" i="20"/>
  <c r="B5570" i="20"/>
  <c r="B5569" i="20"/>
  <c r="B5568" i="20"/>
  <c r="B5567" i="20"/>
  <c r="B5566" i="20"/>
  <c r="B5565" i="20"/>
  <c r="B5564" i="20"/>
  <c r="B5563" i="20"/>
  <c r="B5562" i="20"/>
  <c r="B5561" i="20"/>
  <c r="B5560" i="20"/>
  <c r="B5559" i="20"/>
  <c r="B5558" i="20"/>
  <c r="B5557" i="20"/>
  <c r="B5556" i="20"/>
  <c r="B5555" i="20"/>
  <c r="B5554" i="20"/>
  <c r="B5553" i="20"/>
  <c r="B5552" i="20"/>
  <c r="B5551" i="20"/>
  <c r="B5550" i="20"/>
  <c r="B5549" i="20"/>
  <c r="B5548" i="20"/>
  <c r="B5547" i="20"/>
  <c r="B5546" i="20"/>
  <c r="B5545" i="20"/>
  <c r="B5544" i="20"/>
  <c r="B5543" i="20"/>
  <c r="B5542" i="20"/>
  <c r="B5541" i="20"/>
  <c r="B5540" i="20"/>
  <c r="B5539" i="20"/>
  <c r="B5538" i="20"/>
  <c r="B5537" i="20"/>
  <c r="B5536" i="20"/>
  <c r="B5535" i="20"/>
  <c r="B5534" i="20"/>
  <c r="B5533" i="20"/>
  <c r="B5532" i="20"/>
  <c r="B5531" i="20"/>
  <c r="B5530" i="20"/>
  <c r="B5529" i="20"/>
  <c r="B5528" i="20"/>
  <c r="B5527" i="20"/>
  <c r="B5526" i="20"/>
  <c r="B5525" i="20"/>
  <c r="B5524" i="20"/>
  <c r="B5523" i="20"/>
  <c r="B5522" i="20"/>
  <c r="B5521" i="20"/>
  <c r="B5520" i="20"/>
  <c r="B5519" i="20"/>
  <c r="B5518" i="20"/>
  <c r="B5517" i="20"/>
  <c r="B5516" i="20"/>
  <c r="B5515" i="20"/>
  <c r="B5514" i="20"/>
  <c r="B5513" i="20"/>
  <c r="B5512" i="20"/>
  <c r="B5511" i="20"/>
  <c r="B5510" i="20"/>
  <c r="B5509" i="20"/>
  <c r="B5508" i="20"/>
  <c r="B5507" i="20"/>
  <c r="B5506" i="20"/>
  <c r="B5505" i="20"/>
  <c r="B5504" i="20"/>
  <c r="B5503" i="20"/>
  <c r="B5502" i="20"/>
  <c r="B5501" i="20"/>
  <c r="B5500" i="20"/>
  <c r="B5499" i="20"/>
  <c r="B5498" i="20"/>
  <c r="B5497" i="20"/>
  <c r="B5496" i="20"/>
  <c r="B5495" i="20"/>
  <c r="B5494" i="20"/>
  <c r="B5493" i="20"/>
  <c r="B5492" i="20"/>
  <c r="B5491" i="20"/>
  <c r="B5490" i="20"/>
  <c r="B5489" i="20"/>
  <c r="B5488" i="20"/>
  <c r="B5487" i="20"/>
  <c r="B5486" i="20"/>
  <c r="B5485" i="20"/>
  <c r="B5484" i="20"/>
  <c r="B5483" i="20"/>
  <c r="B5482" i="20"/>
  <c r="B5481" i="20"/>
  <c r="B5480" i="20"/>
  <c r="B5479" i="20"/>
  <c r="B5478" i="20"/>
  <c r="B5477" i="20"/>
  <c r="B5476" i="20"/>
  <c r="B5475" i="20"/>
  <c r="B5474" i="20"/>
  <c r="B5473" i="20"/>
  <c r="B5472" i="20"/>
  <c r="B5471" i="20"/>
  <c r="B5470" i="20"/>
  <c r="B5469" i="20"/>
  <c r="B5468" i="20"/>
  <c r="B5467" i="20"/>
  <c r="B5466" i="20"/>
  <c r="B5465" i="20"/>
  <c r="B5464" i="20"/>
  <c r="B5463" i="20"/>
  <c r="B5462" i="20"/>
  <c r="B5461" i="20"/>
  <c r="B5460" i="20"/>
  <c r="B5459" i="20"/>
  <c r="B5458" i="20"/>
  <c r="B5457" i="20"/>
  <c r="B5456" i="20"/>
  <c r="B5455" i="20"/>
  <c r="B5454" i="20"/>
  <c r="B5453" i="20"/>
  <c r="B5452" i="20"/>
  <c r="B5451" i="20"/>
  <c r="B5450" i="20"/>
  <c r="B5449" i="20"/>
  <c r="B5448" i="20"/>
  <c r="B5447" i="20"/>
  <c r="B5446" i="20"/>
  <c r="B5445" i="20"/>
  <c r="B5444" i="20"/>
  <c r="B5443" i="20"/>
  <c r="B5442" i="20"/>
  <c r="B5441" i="20"/>
  <c r="B5440" i="20"/>
  <c r="B5439" i="20"/>
  <c r="B5438" i="20"/>
  <c r="B5437" i="20"/>
  <c r="B5436" i="20"/>
  <c r="B5435" i="20"/>
  <c r="B5434" i="20"/>
  <c r="B5433" i="20"/>
  <c r="B5432" i="20"/>
  <c r="B5431" i="20"/>
  <c r="B5430" i="20"/>
  <c r="B5429" i="20"/>
  <c r="B5428" i="20"/>
  <c r="B5427" i="20"/>
  <c r="B5426" i="20"/>
  <c r="B5425" i="20"/>
  <c r="B5424" i="20"/>
  <c r="B5423" i="20"/>
  <c r="B5422" i="20"/>
  <c r="B5421" i="20"/>
  <c r="B5420" i="20"/>
  <c r="B5419" i="20"/>
  <c r="B5418" i="20"/>
  <c r="B5417" i="20"/>
  <c r="B5416" i="20"/>
  <c r="B5415" i="20"/>
  <c r="B5414" i="20"/>
  <c r="B5413" i="20"/>
  <c r="B5412" i="20"/>
  <c r="B5411" i="20"/>
  <c r="B5410" i="20"/>
  <c r="B5409" i="20"/>
  <c r="B5408" i="20"/>
  <c r="B5407" i="20"/>
  <c r="B5406" i="20"/>
  <c r="B5405" i="20"/>
  <c r="B5404" i="20"/>
  <c r="B5403" i="20"/>
  <c r="B5402" i="20"/>
  <c r="B5401" i="20"/>
  <c r="B5400" i="20"/>
  <c r="B5399" i="20"/>
  <c r="B5398" i="20"/>
  <c r="B5397" i="20"/>
  <c r="B5396" i="20"/>
  <c r="B5395" i="20"/>
  <c r="B5394" i="20"/>
  <c r="B5393" i="20"/>
  <c r="B5392" i="20"/>
  <c r="B5391" i="20"/>
  <c r="B5390" i="20"/>
  <c r="B5389" i="20"/>
  <c r="B5388" i="20"/>
  <c r="B5387" i="20"/>
  <c r="B5386" i="20"/>
  <c r="B5385" i="20"/>
  <c r="B5384" i="20"/>
  <c r="B5383" i="20"/>
  <c r="B5382" i="20"/>
  <c r="B5381" i="20"/>
  <c r="B5380" i="20"/>
  <c r="B5379" i="20"/>
  <c r="B5378" i="20"/>
  <c r="B5377" i="20"/>
  <c r="B5376" i="20"/>
  <c r="B5375" i="20"/>
  <c r="B5374" i="20"/>
  <c r="B5373" i="20"/>
  <c r="B5372" i="20"/>
  <c r="B5371" i="20"/>
  <c r="B5370" i="20"/>
  <c r="B5369" i="20"/>
  <c r="B5368" i="20"/>
  <c r="B5367" i="20"/>
  <c r="B5366" i="20"/>
  <c r="B5365" i="20"/>
  <c r="B5364" i="20"/>
  <c r="B5363" i="20"/>
  <c r="B5362" i="20"/>
  <c r="B5361" i="20"/>
  <c r="B5360" i="20"/>
  <c r="B5359" i="20"/>
  <c r="B5358" i="20"/>
  <c r="B5357" i="20"/>
  <c r="B5356" i="20"/>
  <c r="B5355" i="20"/>
  <c r="B5354" i="20"/>
  <c r="B5353" i="20"/>
  <c r="B5352" i="20"/>
  <c r="B5351" i="20"/>
  <c r="B5350" i="20"/>
  <c r="B5349" i="20"/>
  <c r="B5348" i="20"/>
  <c r="B5347" i="20"/>
  <c r="B5346" i="20"/>
  <c r="B5345" i="20"/>
  <c r="B5344" i="20"/>
  <c r="B5343" i="20"/>
  <c r="B5342" i="20"/>
  <c r="B5341" i="20"/>
  <c r="B5340" i="20"/>
  <c r="B5339" i="20"/>
  <c r="B5338" i="20"/>
  <c r="B5337" i="20"/>
  <c r="B5336" i="20"/>
  <c r="B5335" i="20"/>
  <c r="B5334" i="20"/>
  <c r="B5333" i="20"/>
  <c r="B5332" i="20"/>
  <c r="B5331" i="20"/>
  <c r="B5330" i="20"/>
  <c r="B5329" i="20"/>
  <c r="B5328" i="20"/>
  <c r="B5327" i="20"/>
  <c r="B5326" i="20"/>
  <c r="B5325" i="20"/>
  <c r="B5324" i="20"/>
  <c r="B5323" i="20"/>
  <c r="B5322" i="20"/>
  <c r="B5321" i="20"/>
  <c r="B5320" i="20"/>
  <c r="B5319" i="20"/>
  <c r="B5318" i="20"/>
  <c r="B5317" i="20"/>
  <c r="B5316" i="20"/>
  <c r="B5315" i="20"/>
  <c r="B5314" i="20"/>
  <c r="B5313" i="20"/>
  <c r="B5312" i="20"/>
  <c r="B5311" i="20"/>
  <c r="B5310" i="20"/>
  <c r="B5309" i="20"/>
  <c r="B5308" i="20"/>
  <c r="B5307" i="20"/>
  <c r="B5306" i="20"/>
  <c r="B5305" i="20"/>
  <c r="B5304" i="20"/>
  <c r="B5303" i="20"/>
  <c r="B5302" i="20"/>
  <c r="B5301" i="20"/>
  <c r="B5300" i="20"/>
  <c r="B5299" i="20"/>
  <c r="B5298" i="20"/>
  <c r="B5297" i="20"/>
  <c r="B5296" i="20"/>
  <c r="B5295" i="20"/>
  <c r="B5294" i="20"/>
  <c r="B5293" i="20"/>
  <c r="B5292" i="20"/>
  <c r="B5291" i="20"/>
  <c r="B5290" i="20"/>
  <c r="B5289" i="20"/>
  <c r="B5288" i="20"/>
  <c r="B5287" i="20"/>
  <c r="B5286" i="20"/>
  <c r="B5285" i="20"/>
  <c r="B5284" i="20"/>
  <c r="B5283" i="20"/>
  <c r="B5282" i="20"/>
  <c r="B5281" i="20"/>
  <c r="B5280" i="20"/>
  <c r="B5279" i="20"/>
  <c r="B5278" i="20"/>
  <c r="B5277" i="20"/>
  <c r="B5276" i="20"/>
  <c r="B5275" i="20"/>
  <c r="B5274" i="20"/>
  <c r="B5273" i="20"/>
  <c r="B5272" i="20"/>
  <c r="B5271" i="20"/>
  <c r="B5270" i="20"/>
  <c r="B5269" i="20"/>
  <c r="B5268" i="20"/>
  <c r="B5267" i="20"/>
  <c r="B5266" i="20"/>
  <c r="B5265" i="20"/>
  <c r="B5264" i="20"/>
  <c r="B5263" i="20"/>
  <c r="B5262" i="20"/>
  <c r="B5261" i="20"/>
  <c r="B5260" i="20"/>
  <c r="B5259" i="20"/>
  <c r="B5258" i="20"/>
  <c r="B5257" i="20"/>
  <c r="B5256" i="20"/>
  <c r="B5255" i="20"/>
  <c r="B5254" i="20"/>
  <c r="B5253" i="20"/>
  <c r="B5252" i="20"/>
  <c r="B5251" i="20"/>
  <c r="B5250" i="20"/>
  <c r="B5249" i="20"/>
  <c r="B5248" i="20"/>
  <c r="B5247" i="20"/>
  <c r="B5246" i="20"/>
  <c r="B5245" i="20"/>
  <c r="B5244" i="20"/>
  <c r="B5243" i="20"/>
  <c r="B5242" i="20"/>
  <c r="B5241" i="20"/>
  <c r="B5240" i="20"/>
  <c r="B5239" i="20"/>
  <c r="B5238" i="20"/>
  <c r="B5237" i="20"/>
  <c r="B5236" i="20"/>
  <c r="B5235" i="20"/>
  <c r="B5234" i="20"/>
  <c r="B5233" i="20"/>
  <c r="B5232" i="20"/>
  <c r="B5231" i="20"/>
  <c r="B5230" i="20"/>
  <c r="B5229" i="20"/>
  <c r="B5228" i="20"/>
  <c r="B5227" i="20"/>
  <c r="B5226" i="20"/>
  <c r="B5225" i="20"/>
  <c r="B5224" i="20"/>
  <c r="B5223" i="20"/>
  <c r="B5222" i="20"/>
  <c r="B5221" i="20"/>
  <c r="B5220" i="20"/>
  <c r="B5219" i="20"/>
  <c r="B5218" i="20"/>
  <c r="B5217" i="20"/>
  <c r="B5216" i="20"/>
  <c r="B5215" i="20"/>
  <c r="B5214" i="20"/>
  <c r="B5213" i="20"/>
  <c r="B5212" i="20"/>
  <c r="B5211" i="20"/>
  <c r="B5210" i="20"/>
  <c r="B5209" i="20"/>
  <c r="B5208" i="20"/>
  <c r="B5207" i="20"/>
  <c r="B5206" i="20"/>
  <c r="B5205" i="20"/>
  <c r="B5204" i="20"/>
  <c r="B5203" i="20"/>
  <c r="B5202" i="20"/>
  <c r="B5201" i="20"/>
  <c r="B5200" i="20"/>
  <c r="B5199" i="20"/>
  <c r="B5198" i="20"/>
  <c r="B5197" i="20"/>
  <c r="B5196" i="20"/>
  <c r="B5195" i="20"/>
  <c r="B5194" i="20"/>
  <c r="B5193" i="20"/>
  <c r="B5192" i="20"/>
  <c r="B5191" i="20"/>
  <c r="B5190" i="20"/>
  <c r="B5189" i="20"/>
  <c r="B5188" i="20"/>
  <c r="B5187" i="20"/>
  <c r="B5186" i="20"/>
  <c r="B5185" i="20"/>
  <c r="B5184" i="20"/>
  <c r="B5183" i="20"/>
  <c r="B5182" i="20"/>
  <c r="B5181" i="20"/>
  <c r="B5180" i="20"/>
  <c r="B5179" i="20"/>
  <c r="B5178" i="20"/>
  <c r="B5177" i="20"/>
  <c r="B5176" i="20"/>
  <c r="B5175" i="20"/>
  <c r="B5174" i="20"/>
  <c r="B5173" i="20"/>
  <c r="B5172" i="20"/>
  <c r="B5171" i="20"/>
  <c r="B5170" i="20"/>
  <c r="B5169" i="20"/>
  <c r="B5168" i="20"/>
  <c r="B5167" i="20"/>
  <c r="B5166" i="20"/>
  <c r="B5165" i="20"/>
  <c r="B5164" i="20"/>
  <c r="B5163" i="20"/>
  <c r="B5162" i="20"/>
  <c r="B5161" i="20"/>
  <c r="B5160" i="20"/>
  <c r="B5159" i="20"/>
  <c r="B5158" i="20"/>
  <c r="B5157" i="20"/>
  <c r="B5156" i="20"/>
  <c r="B5155" i="20"/>
  <c r="B5154" i="20"/>
  <c r="B5153" i="20"/>
  <c r="B5152" i="20"/>
  <c r="B5151" i="20"/>
  <c r="B5150" i="20"/>
  <c r="B5149" i="20"/>
  <c r="B5148" i="20"/>
  <c r="B5147" i="20"/>
  <c r="B5146" i="20"/>
  <c r="B5145" i="20"/>
  <c r="B5144" i="20"/>
  <c r="B5143" i="20"/>
  <c r="B5142" i="20"/>
  <c r="B5141" i="20"/>
  <c r="B5140" i="20"/>
  <c r="B5139" i="20"/>
  <c r="B5138" i="20"/>
  <c r="B5137" i="20"/>
  <c r="B5136" i="20"/>
  <c r="B5135" i="20"/>
  <c r="B5134" i="20"/>
  <c r="B5133" i="20"/>
  <c r="B5132" i="20"/>
  <c r="B5131" i="20"/>
  <c r="B5130" i="20"/>
  <c r="B5129" i="20"/>
  <c r="B5128" i="20"/>
  <c r="B5127" i="20"/>
  <c r="B5126" i="20"/>
  <c r="B5125" i="20"/>
  <c r="B5124" i="20"/>
  <c r="B5123" i="20"/>
  <c r="B5122" i="20"/>
  <c r="B5121" i="20"/>
  <c r="B5120" i="20"/>
  <c r="B5119" i="20"/>
  <c r="B5118" i="20"/>
  <c r="B5117" i="20"/>
  <c r="B5116" i="20"/>
  <c r="B5115" i="20"/>
  <c r="B5114" i="20"/>
  <c r="B5113" i="20"/>
  <c r="B5112" i="20"/>
  <c r="B5111" i="20"/>
  <c r="B5110" i="20"/>
  <c r="B5109" i="20"/>
  <c r="B5108" i="20"/>
  <c r="B5107" i="20"/>
  <c r="B5106" i="20"/>
  <c r="B5105" i="20"/>
  <c r="B5104" i="20"/>
  <c r="B5103" i="20"/>
  <c r="B5102" i="20"/>
  <c r="B5101" i="20"/>
  <c r="B5100" i="20"/>
  <c r="B5099" i="20"/>
  <c r="B5098" i="20"/>
  <c r="B5097" i="20"/>
  <c r="B5096" i="20"/>
  <c r="B5095" i="20"/>
  <c r="B5094" i="20"/>
  <c r="B5093" i="20"/>
  <c r="B5092" i="20"/>
  <c r="B5091" i="20"/>
  <c r="B5090" i="20"/>
  <c r="B5089" i="20"/>
  <c r="B5088" i="20"/>
  <c r="B5087" i="20"/>
  <c r="B5086" i="20"/>
  <c r="B5085" i="20"/>
  <c r="B5084" i="20"/>
  <c r="B5083" i="20"/>
  <c r="B5082" i="20"/>
  <c r="B5081" i="20"/>
  <c r="B5080" i="20"/>
  <c r="B5079" i="20"/>
  <c r="B5078" i="20"/>
  <c r="B5077" i="20"/>
  <c r="B5076" i="20"/>
  <c r="B5075" i="20"/>
  <c r="B5074" i="20"/>
  <c r="B5073" i="20"/>
  <c r="B5072" i="20"/>
  <c r="B5071" i="20"/>
  <c r="B5070" i="20"/>
  <c r="B5069" i="20"/>
  <c r="B5068" i="20"/>
  <c r="B5067" i="20"/>
  <c r="B5066" i="20"/>
  <c r="B5065" i="20"/>
  <c r="B5064" i="20"/>
  <c r="B5063" i="20"/>
  <c r="B5062" i="20"/>
  <c r="B5061" i="20"/>
  <c r="B5060" i="20"/>
  <c r="B5059" i="20"/>
  <c r="B5058" i="20"/>
  <c r="B5057" i="20"/>
  <c r="B5056" i="20"/>
  <c r="B5055" i="20"/>
  <c r="B5054" i="20"/>
  <c r="B5053" i="20"/>
  <c r="B5052" i="20"/>
  <c r="B5051" i="20"/>
  <c r="B5050" i="20"/>
  <c r="B5049" i="20"/>
  <c r="B5048" i="20"/>
  <c r="B5047" i="20"/>
  <c r="B5046" i="20"/>
  <c r="B5045" i="20"/>
  <c r="B5044" i="20"/>
  <c r="B5043" i="20"/>
  <c r="B5042" i="20"/>
  <c r="B5041" i="20"/>
  <c r="B5040" i="20"/>
  <c r="B5039" i="20"/>
  <c r="B5038" i="20"/>
  <c r="B5037" i="20"/>
  <c r="B5036" i="20"/>
  <c r="B5035" i="20"/>
  <c r="B5034" i="20"/>
  <c r="B5033" i="20"/>
  <c r="B5032" i="20"/>
  <c r="B5031" i="20"/>
  <c r="B5030" i="20"/>
  <c r="B5029" i="20"/>
  <c r="B5028" i="20"/>
  <c r="B5027" i="20"/>
  <c r="B5026" i="20"/>
  <c r="B5025" i="20"/>
  <c r="B5024" i="20"/>
  <c r="B5023" i="20"/>
  <c r="B5022" i="20"/>
  <c r="B5021" i="20"/>
  <c r="B5020" i="20"/>
  <c r="B5019" i="20"/>
  <c r="B5018" i="20"/>
  <c r="B5017" i="20"/>
  <c r="B5016" i="20"/>
  <c r="B5015" i="20"/>
  <c r="B5014" i="20"/>
  <c r="B5013" i="20"/>
  <c r="B5012" i="20"/>
  <c r="B5011" i="20"/>
  <c r="B5010" i="20"/>
  <c r="B5009" i="20"/>
  <c r="B5008" i="20"/>
  <c r="B5007" i="20"/>
  <c r="B5006" i="20"/>
  <c r="B5005" i="20"/>
  <c r="B5004" i="20"/>
  <c r="B5003" i="20"/>
  <c r="B5002" i="20"/>
  <c r="B5001" i="20"/>
  <c r="B5000" i="20"/>
  <c r="B4999" i="20"/>
  <c r="B4998" i="20"/>
  <c r="B4997" i="20"/>
  <c r="B4996" i="20"/>
  <c r="B4995" i="20"/>
  <c r="B4994" i="20"/>
  <c r="B4993" i="20"/>
  <c r="B4992" i="20"/>
  <c r="B4991" i="20"/>
  <c r="B4990" i="20"/>
  <c r="B4989" i="20"/>
  <c r="B4988" i="20"/>
  <c r="B4987" i="20"/>
  <c r="B4986" i="20"/>
  <c r="B4985" i="20"/>
  <c r="B4984" i="20"/>
  <c r="B4983" i="20"/>
  <c r="B4982" i="20"/>
  <c r="B4981" i="20"/>
  <c r="B4980" i="20"/>
  <c r="B4979" i="20"/>
  <c r="B4978" i="20"/>
  <c r="B4977" i="20"/>
  <c r="B4976" i="20"/>
  <c r="B4975" i="20"/>
  <c r="B4974" i="20"/>
  <c r="B4973" i="20"/>
  <c r="B4972" i="20"/>
  <c r="B4971" i="20"/>
  <c r="B4970" i="20"/>
  <c r="B4969" i="20"/>
  <c r="B4968" i="20"/>
  <c r="B4967" i="20"/>
  <c r="B4966" i="20"/>
  <c r="B4965" i="20"/>
  <c r="B4964" i="20"/>
  <c r="B4963" i="20"/>
  <c r="B4962" i="20"/>
  <c r="B4961" i="20"/>
  <c r="B4960" i="20"/>
  <c r="B4959" i="20"/>
  <c r="B4958" i="20"/>
  <c r="B4957" i="20"/>
  <c r="B4956" i="20"/>
  <c r="B4955" i="20"/>
  <c r="B4954" i="20"/>
  <c r="B4953" i="20"/>
  <c r="B4952" i="20"/>
  <c r="B4951" i="20"/>
  <c r="B4950" i="20"/>
  <c r="B4949" i="20"/>
  <c r="B4948" i="20"/>
  <c r="B4947" i="20"/>
  <c r="B4946" i="20"/>
  <c r="B4945" i="20"/>
  <c r="B4944" i="20"/>
  <c r="B4943" i="20"/>
  <c r="B4942" i="20"/>
  <c r="B4941" i="20"/>
  <c r="B4940" i="20"/>
  <c r="B4939" i="20"/>
  <c r="B4938" i="20"/>
  <c r="B4937" i="20"/>
  <c r="B4936" i="20"/>
  <c r="B4935" i="20"/>
  <c r="B4934" i="20"/>
  <c r="B4933" i="20"/>
  <c r="B4932" i="20"/>
  <c r="B4931" i="20"/>
  <c r="B4930" i="20"/>
  <c r="B4929" i="20"/>
  <c r="B4928" i="20"/>
  <c r="B4927" i="20"/>
  <c r="B4926" i="20"/>
  <c r="B4925" i="20"/>
  <c r="B4924" i="20"/>
  <c r="B4923" i="20"/>
  <c r="B4922" i="20"/>
  <c r="B4921" i="20"/>
  <c r="B4920" i="20"/>
  <c r="B4919" i="20"/>
  <c r="B4918" i="20"/>
  <c r="B4917" i="20"/>
  <c r="B4916" i="20"/>
  <c r="B4915" i="20"/>
  <c r="B4914" i="20"/>
  <c r="B4913" i="20"/>
  <c r="B4912" i="20"/>
  <c r="B4911" i="20"/>
  <c r="B4910" i="20"/>
  <c r="B4909" i="20"/>
  <c r="B4908" i="20"/>
  <c r="B4907" i="20"/>
  <c r="B4906" i="20"/>
  <c r="B4905" i="20"/>
  <c r="B4904" i="20"/>
  <c r="B4903" i="20"/>
  <c r="B4902" i="20"/>
  <c r="B4901" i="20"/>
  <c r="B4900" i="20"/>
  <c r="B4899" i="20"/>
  <c r="B4898" i="20"/>
  <c r="B4897" i="20"/>
  <c r="B4896" i="20"/>
  <c r="B4895" i="20"/>
  <c r="B4894" i="20"/>
  <c r="B4893" i="20"/>
  <c r="B4892" i="20"/>
  <c r="B4891" i="20"/>
  <c r="B4890" i="20"/>
  <c r="B4889" i="20"/>
  <c r="B4888" i="20"/>
  <c r="B4887" i="20"/>
  <c r="B4886" i="20"/>
  <c r="B4885" i="20"/>
  <c r="B4884" i="20"/>
  <c r="B4883" i="20"/>
  <c r="B4882" i="20"/>
  <c r="B4881" i="20"/>
  <c r="B4880" i="20"/>
  <c r="B4879" i="20"/>
  <c r="B4878" i="20"/>
  <c r="B4877" i="20"/>
  <c r="B4876" i="20"/>
  <c r="B4875" i="20"/>
  <c r="B4874" i="20"/>
  <c r="B4873" i="20"/>
  <c r="B4872" i="20"/>
  <c r="B4871" i="20"/>
  <c r="B4870" i="20"/>
  <c r="B4869" i="20"/>
  <c r="B4868" i="20"/>
  <c r="B4867" i="20"/>
  <c r="B4866" i="20"/>
  <c r="B4865" i="20"/>
  <c r="B4864" i="20"/>
  <c r="B4863" i="20"/>
  <c r="B4862" i="20"/>
  <c r="B4861" i="20"/>
  <c r="B4860" i="20"/>
  <c r="B4859" i="20"/>
  <c r="B4858" i="20"/>
  <c r="B4857" i="20"/>
  <c r="B4856" i="20"/>
  <c r="B4855" i="20"/>
  <c r="B4854" i="20"/>
  <c r="B4853" i="20"/>
  <c r="B4852" i="20"/>
  <c r="B4851" i="20"/>
  <c r="B4850" i="20"/>
  <c r="B4849" i="20"/>
  <c r="B4848" i="20"/>
  <c r="B4847" i="20"/>
  <c r="B4846" i="20"/>
  <c r="B4845" i="20"/>
  <c r="B4844" i="20"/>
  <c r="B4843" i="20"/>
  <c r="B4842" i="20"/>
  <c r="B4841" i="20"/>
  <c r="B4840" i="20"/>
  <c r="B4839" i="20"/>
  <c r="B4838" i="20"/>
  <c r="B4837" i="20"/>
  <c r="B4836" i="20"/>
  <c r="B4835" i="20"/>
  <c r="B4834" i="20"/>
  <c r="B4833" i="20"/>
  <c r="B4832" i="20"/>
  <c r="B4831" i="20"/>
  <c r="B4830" i="20"/>
  <c r="B4829" i="20"/>
  <c r="B4828" i="20"/>
  <c r="B4827" i="20"/>
  <c r="B4826" i="20"/>
  <c r="B4825" i="20"/>
  <c r="B4824" i="20"/>
  <c r="B4823" i="20"/>
  <c r="B4822" i="20"/>
  <c r="B4821" i="20"/>
  <c r="B4820" i="20"/>
  <c r="B4819" i="20"/>
  <c r="B4818" i="20"/>
  <c r="B4817" i="20"/>
  <c r="B4816" i="20"/>
  <c r="B4815" i="20"/>
  <c r="B4814" i="20"/>
  <c r="B4813" i="20"/>
  <c r="B4812" i="20"/>
  <c r="B4811" i="20"/>
  <c r="B4810" i="20"/>
  <c r="B4809" i="20"/>
  <c r="B4808" i="20"/>
  <c r="B4807" i="20"/>
  <c r="B4806" i="20"/>
  <c r="B4805" i="20"/>
  <c r="B4804" i="20"/>
  <c r="B4803" i="20"/>
  <c r="B4802" i="20"/>
  <c r="B4801" i="20"/>
  <c r="B4800" i="20"/>
  <c r="B4799" i="20"/>
  <c r="B4798" i="20"/>
  <c r="B4797" i="20"/>
  <c r="B4796" i="20"/>
  <c r="B4795" i="20"/>
  <c r="B4794" i="20"/>
  <c r="B4793" i="20"/>
  <c r="B4792" i="20"/>
  <c r="B4791" i="20"/>
  <c r="B4790" i="20"/>
  <c r="B4789" i="20"/>
  <c r="B4788" i="20"/>
  <c r="B4787" i="20"/>
  <c r="B4786" i="20"/>
  <c r="B4785" i="20"/>
  <c r="B4784" i="20"/>
  <c r="B4783" i="20"/>
  <c r="B4782" i="20"/>
  <c r="B4781" i="20"/>
  <c r="B4780" i="20"/>
  <c r="B4779" i="20"/>
  <c r="B4778" i="20"/>
  <c r="B4777" i="20"/>
  <c r="B4776" i="20"/>
  <c r="B4775" i="20"/>
  <c r="B4774" i="20"/>
  <c r="B4773" i="20"/>
  <c r="B4772" i="20"/>
  <c r="B4771" i="20"/>
  <c r="B4770" i="20"/>
  <c r="B4769" i="20"/>
  <c r="B4768" i="20"/>
  <c r="B4767" i="20"/>
  <c r="B4766" i="20"/>
  <c r="B4765" i="20"/>
  <c r="B4764" i="20"/>
  <c r="B4763" i="20"/>
  <c r="B4762" i="20"/>
  <c r="B4761" i="20"/>
  <c r="B4760" i="20"/>
  <c r="B4759" i="20"/>
  <c r="B4758" i="20"/>
  <c r="B4757" i="20"/>
  <c r="B4756" i="20"/>
  <c r="B4755" i="20"/>
  <c r="B4754" i="20"/>
  <c r="B4753" i="20"/>
  <c r="B4752" i="20"/>
  <c r="B4751" i="20"/>
  <c r="B4750" i="20"/>
  <c r="B4749" i="20"/>
  <c r="B4748" i="20"/>
  <c r="B4747" i="20"/>
  <c r="B4746" i="20"/>
  <c r="B4745" i="20"/>
  <c r="B4744" i="20"/>
  <c r="B4743" i="20"/>
  <c r="B4742" i="20"/>
  <c r="B4741" i="20"/>
  <c r="B4740" i="20"/>
  <c r="B4739" i="20"/>
  <c r="B4738" i="20"/>
  <c r="B4737" i="20"/>
  <c r="B4736" i="20"/>
  <c r="B4735" i="20"/>
  <c r="B4734" i="20"/>
  <c r="B4733" i="20"/>
  <c r="B4732" i="20"/>
  <c r="B4731" i="20"/>
  <c r="B4730" i="20"/>
  <c r="B4729" i="20"/>
  <c r="B4728" i="20"/>
  <c r="B4727" i="20"/>
  <c r="B4726" i="20"/>
  <c r="B4725" i="20"/>
  <c r="B4724" i="20"/>
  <c r="B4723" i="20"/>
  <c r="B4722" i="20"/>
  <c r="B4721" i="20"/>
  <c r="B4720" i="20"/>
  <c r="B4719" i="20"/>
  <c r="B4718" i="20"/>
  <c r="B4717" i="20"/>
  <c r="B4716" i="20"/>
  <c r="B4715" i="20"/>
  <c r="B4714" i="20"/>
  <c r="B4713" i="20"/>
  <c r="B4712" i="20"/>
  <c r="B4711" i="20"/>
  <c r="B4710" i="20"/>
  <c r="B4709" i="20"/>
  <c r="B4708" i="20"/>
  <c r="B4707" i="20"/>
  <c r="B4706" i="20"/>
  <c r="B4705" i="20"/>
  <c r="B4704" i="20"/>
  <c r="B4703" i="20"/>
  <c r="B4702" i="20"/>
  <c r="B4701" i="20"/>
  <c r="B4700" i="20"/>
  <c r="B4699" i="20"/>
  <c r="B4698" i="20"/>
  <c r="B4697" i="20"/>
  <c r="B4696" i="20"/>
  <c r="B4695" i="20"/>
  <c r="B4694" i="20"/>
  <c r="B4693" i="20"/>
  <c r="B4692" i="20"/>
  <c r="B4691" i="20"/>
  <c r="B4690" i="20"/>
  <c r="B4689" i="20"/>
  <c r="B4688" i="20"/>
  <c r="B4687" i="20"/>
  <c r="B4686" i="20"/>
  <c r="B4685" i="20"/>
  <c r="B4684" i="20"/>
  <c r="B4683" i="20"/>
  <c r="B4682" i="20"/>
  <c r="B4681" i="20"/>
  <c r="B4680" i="20"/>
  <c r="B4679" i="20"/>
  <c r="B4678" i="20"/>
  <c r="B4677" i="20"/>
  <c r="B4676" i="20"/>
  <c r="B4675" i="20"/>
  <c r="B4674" i="20"/>
  <c r="B4673" i="20"/>
  <c r="B4672" i="20"/>
  <c r="B4671" i="20"/>
  <c r="B4670" i="20"/>
  <c r="B4669" i="20"/>
  <c r="B4668" i="20"/>
  <c r="B4667" i="20"/>
  <c r="B4666" i="20"/>
  <c r="B4665" i="20"/>
  <c r="B4664" i="20"/>
  <c r="B4663" i="20"/>
  <c r="B4662" i="20"/>
  <c r="B4661" i="20"/>
  <c r="B4660" i="20"/>
  <c r="B4659" i="20"/>
  <c r="B4658" i="20"/>
  <c r="B4657" i="20"/>
  <c r="B4656" i="20"/>
  <c r="B4655" i="20"/>
  <c r="B4654" i="20"/>
  <c r="B4653" i="20"/>
  <c r="B4652" i="20"/>
  <c r="B4651" i="20"/>
  <c r="B4650" i="20"/>
  <c r="B4649" i="20"/>
  <c r="B4648" i="20"/>
  <c r="B4647" i="20"/>
  <c r="B4646" i="20"/>
  <c r="B4645" i="20"/>
  <c r="B4644" i="20"/>
  <c r="B4643" i="20"/>
  <c r="B4642" i="20"/>
  <c r="B4641" i="20"/>
  <c r="B4640" i="20"/>
  <c r="B4639" i="20"/>
  <c r="B4638" i="20"/>
  <c r="B4637" i="20"/>
  <c r="B4636" i="20"/>
  <c r="B4635" i="20"/>
  <c r="B4634" i="20"/>
  <c r="B4633" i="20"/>
  <c r="B4632" i="20"/>
  <c r="B4631" i="20"/>
  <c r="B4630" i="20"/>
  <c r="B4629" i="20"/>
  <c r="B4628" i="20"/>
  <c r="B4627" i="20"/>
  <c r="B4626" i="20"/>
  <c r="B4625" i="20"/>
  <c r="B4624" i="20"/>
  <c r="B4623" i="20"/>
  <c r="B4622" i="20"/>
  <c r="B4621" i="20"/>
  <c r="B4620" i="20"/>
  <c r="B4619" i="20"/>
  <c r="B4618" i="20"/>
  <c r="B4617" i="20"/>
  <c r="B4616" i="20"/>
  <c r="B4615" i="20"/>
  <c r="B4614" i="20"/>
  <c r="B4613" i="20"/>
  <c r="B4612" i="20"/>
  <c r="B4611" i="20"/>
  <c r="B4610" i="20"/>
  <c r="B4609" i="20"/>
  <c r="B4608" i="20"/>
  <c r="B4607" i="20"/>
  <c r="B4606" i="20"/>
  <c r="B4605" i="20"/>
  <c r="B4604" i="20"/>
  <c r="B4603" i="20"/>
  <c r="B4602" i="20"/>
  <c r="B4601" i="20"/>
  <c r="B4600" i="20"/>
  <c r="B4599" i="20"/>
  <c r="B4598" i="20"/>
  <c r="B4597" i="20"/>
  <c r="B4596" i="20"/>
  <c r="B4595" i="20"/>
  <c r="B4594" i="20"/>
  <c r="B4593" i="20"/>
  <c r="B4592" i="20"/>
  <c r="B4591" i="20"/>
  <c r="B4590" i="20"/>
  <c r="B4589" i="20"/>
  <c r="B4588" i="20"/>
  <c r="B4587" i="20"/>
  <c r="B4586" i="20"/>
  <c r="B4585" i="20"/>
  <c r="B4584" i="20"/>
  <c r="B4583" i="20"/>
  <c r="B4582" i="20"/>
  <c r="B4581" i="20"/>
  <c r="B4580" i="20"/>
  <c r="B4579" i="20"/>
  <c r="B4578" i="20"/>
  <c r="B4577" i="20"/>
  <c r="B4576" i="20"/>
  <c r="B4575" i="20"/>
  <c r="B4574" i="20"/>
  <c r="B4573" i="20"/>
  <c r="B4572" i="20"/>
  <c r="B4571" i="20"/>
  <c r="B4570" i="20"/>
  <c r="B4569" i="20"/>
  <c r="B4568" i="20"/>
  <c r="B4567" i="20"/>
  <c r="B4566" i="20"/>
  <c r="B4565" i="20"/>
  <c r="B4564" i="20"/>
  <c r="B4563" i="20"/>
  <c r="B4562" i="20"/>
  <c r="B4561" i="20"/>
  <c r="B4560" i="20"/>
  <c r="B4559" i="20"/>
  <c r="B4558" i="20"/>
  <c r="B4557" i="20"/>
  <c r="B4556" i="20"/>
  <c r="B4555" i="20"/>
  <c r="B4554" i="20"/>
  <c r="B4553" i="20"/>
  <c r="B4552" i="20"/>
  <c r="B4551" i="20"/>
  <c r="B4550" i="20"/>
  <c r="B4549" i="20"/>
  <c r="B4548" i="20"/>
  <c r="B4547" i="20"/>
  <c r="B4546" i="20"/>
  <c r="B4545" i="20"/>
  <c r="B4544" i="20"/>
  <c r="B4543" i="20"/>
  <c r="B4542" i="20"/>
  <c r="B4541" i="20"/>
  <c r="B4540" i="20"/>
  <c r="B4539" i="20"/>
  <c r="B4538" i="20"/>
  <c r="B4537" i="20"/>
  <c r="B4536" i="20"/>
  <c r="B4535" i="20"/>
  <c r="B4534" i="20"/>
  <c r="B4533" i="20"/>
  <c r="B4532" i="20"/>
  <c r="B4531" i="20"/>
  <c r="B4530" i="20"/>
  <c r="B4529" i="20"/>
  <c r="B4528" i="20"/>
  <c r="B4527" i="20"/>
  <c r="B4526" i="20"/>
  <c r="B4525" i="20"/>
  <c r="B4524" i="20"/>
  <c r="B4523" i="20"/>
  <c r="B4522" i="20"/>
  <c r="B4521" i="20"/>
  <c r="B4520" i="20"/>
  <c r="B4519" i="20"/>
  <c r="B4518" i="20"/>
  <c r="B4517" i="20"/>
  <c r="B4516" i="20"/>
  <c r="B4515" i="20"/>
  <c r="B4514" i="20"/>
  <c r="B4513" i="20"/>
  <c r="B4512" i="20"/>
  <c r="B4511" i="20"/>
  <c r="B4510" i="20"/>
  <c r="B4509" i="20"/>
  <c r="B4508" i="20"/>
  <c r="B4507" i="20"/>
  <c r="B4506" i="20"/>
  <c r="B4505" i="20"/>
  <c r="B4504" i="20"/>
  <c r="B4503" i="20"/>
  <c r="B4502" i="20"/>
  <c r="B4501" i="20"/>
  <c r="B4500" i="20"/>
  <c r="B4499" i="20"/>
  <c r="B4498" i="20"/>
  <c r="B4497" i="20"/>
  <c r="B4496" i="20"/>
  <c r="B4495" i="20"/>
  <c r="B4494" i="20"/>
  <c r="B4493" i="20"/>
  <c r="B4492" i="20"/>
  <c r="B4491" i="20"/>
  <c r="B4490" i="20"/>
  <c r="B4489" i="20"/>
  <c r="B4488" i="20"/>
  <c r="B4487" i="20"/>
  <c r="B4486" i="20"/>
  <c r="B4485" i="20"/>
  <c r="B4484" i="20"/>
  <c r="B4483" i="20"/>
  <c r="B4482" i="20"/>
  <c r="B4481" i="20"/>
  <c r="B4480" i="20"/>
  <c r="B4479" i="20"/>
  <c r="B4478" i="20"/>
  <c r="B4477" i="20"/>
  <c r="B4476" i="20"/>
  <c r="B4475" i="20"/>
  <c r="B4474" i="20"/>
  <c r="B4473" i="20"/>
  <c r="B4472" i="20"/>
  <c r="B4471" i="20"/>
  <c r="B4470" i="20"/>
  <c r="B4469" i="20"/>
  <c r="B4468" i="20"/>
  <c r="B4467" i="20"/>
  <c r="B4466" i="20"/>
  <c r="B4465" i="20"/>
  <c r="B4464" i="20"/>
  <c r="B4463" i="20"/>
  <c r="B4462" i="20"/>
  <c r="B4461" i="20"/>
  <c r="B4460" i="20"/>
  <c r="B4459" i="20"/>
  <c r="B4458" i="20"/>
  <c r="B4457" i="20"/>
  <c r="B4456" i="20"/>
  <c r="B4455" i="20"/>
  <c r="B4454" i="20"/>
  <c r="B4453" i="20"/>
  <c r="B4452" i="20"/>
  <c r="B4451" i="20"/>
  <c r="B4450" i="20"/>
  <c r="B4449" i="20"/>
  <c r="B4448" i="20"/>
  <c r="B4447" i="20"/>
  <c r="B4446" i="20"/>
  <c r="B4445" i="20"/>
  <c r="B4444" i="20"/>
  <c r="B4443" i="20"/>
  <c r="B4442" i="20"/>
  <c r="B4441" i="20"/>
  <c r="B4440" i="20"/>
  <c r="B4439" i="20"/>
  <c r="B4438" i="20"/>
  <c r="B4437" i="20"/>
  <c r="B4436" i="20"/>
  <c r="B4435" i="20"/>
  <c r="B4434" i="20"/>
  <c r="B4433" i="20"/>
  <c r="B4432" i="20"/>
  <c r="B4431" i="20"/>
  <c r="B4430" i="20"/>
  <c r="B4429" i="20"/>
  <c r="B4428" i="20"/>
  <c r="B4427" i="20"/>
  <c r="B4426" i="20"/>
  <c r="B4425" i="20"/>
  <c r="B4424" i="20"/>
  <c r="B4423" i="20"/>
  <c r="B4422" i="20"/>
  <c r="B4421" i="20"/>
  <c r="B4420" i="20"/>
  <c r="B4419" i="20"/>
  <c r="B4418" i="20"/>
  <c r="B4417" i="20"/>
  <c r="B4416" i="20"/>
  <c r="B4415" i="20"/>
  <c r="B4414" i="20"/>
  <c r="B4413" i="20"/>
  <c r="B4412" i="20"/>
  <c r="B4411" i="20"/>
  <c r="B4410" i="20"/>
  <c r="B4409" i="20"/>
  <c r="B4408" i="20"/>
  <c r="B4407" i="20"/>
  <c r="B4406" i="20"/>
  <c r="B4405" i="20"/>
  <c r="B4404" i="20"/>
  <c r="B4403" i="20"/>
  <c r="B4402" i="20"/>
  <c r="B4401" i="20"/>
  <c r="B4400" i="20"/>
  <c r="B4399" i="20"/>
  <c r="B4398" i="20"/>
  <c r="B4397" i="20"/>
  <c r="B4396" i="20"/>
  <c r="B4395" i="20"/>
  <c r="B4394" i="20"/>
  <c r="B4393" i="20"/>
  <c r="B4392" i="20"/>
  <c r="B4391" i="20"/>
  <c r="B4390" i="20"/>
  <c r="B4389" i="20"/>
  <c r="B4388" i="20"/>
  <c r="B4387" i="20"/>
  <c r="B4386" i="20"/>
  <c r="B4385" i="20"/>
  <c r="B4384" i="20"/>
  <c r="B4383" i="20"/>
  <c r="B4382" i="20"/>
  <c r="B4381" i="20"/>
  <c r="B4380" i="20"/>
  <c r="B4379" i="20"/>
  <c r="B4378" i="20"/>
  <c r="B4377" i="20"/>
  <c r="B4376" i="20"/>
  <c r="B4375" i="20"/>
  <c r="B4374" i="20"/>
  <c r="B4373" i="20"/>
  <c r="B4372" i="20"/>
  <c r="B4371" i="20"/>
  <c r="B4370" i="20"/>
  <c r="B4369" i="20"/>
  <c r="B4368" i="20"/>
  <c r="B4367" i="20"/>
  <c r="B4366" i="20"/>
  <c r="B4365" i="20"/>
  <c r="B4364" i="20"/>
  <c r="B4363" i="20"/>
  <c r="B4362" i="20"/>
  <c r="B4361" i="20"/>
  <c r="B4360" i="20"/>
  <c r="B4359" i="20"/>
  <c r="B4358" i="20"/>
  <c r="B4357" i="20"/>
  <c r="B4356" i="20"/>
  <c r="B4355" i="20"/>
  <c r="B4354" i="20"/>
  <c r="B4353" i="20"/>
  <c r="B4352" i="20"/>
  <c r="B4351" i="20"/>
  <c r="B4350" i="20"/>
  <c r="B4349" i="20"/>
  <c r="B4348" i="20"/>
  <c r="B4347" i="20"/>
  <c r="B4346" i="20"/>
  <c r="B4345" i="20"/>
  <c r="B4344" i="20"/>
  <c r="B4343" i="20"/>
  <c r="B4342" i="20"/>
  <c r="B4341" i="20"/>
  <c r="B4340" i="20"/>
  <c r="B4339" i="20"/>
  <c r="B4338" i="20"/>
  <c r="B4337" i="20"/>
  <c r="B4336" i="20"/>
  <c r="B4335" i="20"/>
  <c r="B4334" i="20"/>
  <c r="B4333" i="20"/>
  <c r="B4332" i="20"/>
  <c r="B4331" i="20"/>
  <c r="B4330" i="20"/>
  <c r="B4329" i="20"/>
  <c r="B4328" i="20"/>
  <c r="B4327" i="20"/>
  <c r="B4326" i="20"/>
  <c r="B4325" i="20"/>
  <c r="B4324" i="20"/>
  <c r="B4323" i="20"/>
  <c r="B4322" i="20"/>
  <c r="B4321" i="20"/>
  <c r="B4320" i="20"/>
  <c r="B4319" i="20"/>
  <c r="B4318" i="20"/>
  <c r="B4317" i="20"/>
  <c r="B4316" i="20"/>
  <c r="B4315" i="20"/>
  <c r="B4314" i="20"/>
  <c r="B4313" i="20"/>
  <c r="B4312" i="20"/>
  <c r="B4311" i="20"/>
  <c r="B4310" i="20"/>
  <c r="B4309" i="20"/>
  <c r="B4308" i="20"/>
  <c r="B4307" i="20"/>
  <c r="B4306" i="20"/>
  <c r="B4305" i="20"/>
  <c r="B4304" i="20"/>
  <c r="B4303" i="20"/>
  <c r="B4302" i="20"/>
  <c r="B4301" i="20"/>
  <c r="B4300" i="20"/>
  <c r="B4299" i="20"/>
  <c r="B4298" i="20"/>
  <c r="B4297" i="20"/>
  <c r="B4296" i="20"/>
  <c r="B4295" i="20"/>
  <c r="B4294" i="20"/>
  <c r="B4293" i="20"/>
  <c r="B4292" i="20"/>
  <c r="B4291" i="20"/>
  <c r="B4290" i="20"/>
  <c r="B4289" i="20"/>
  <c r="B4288" i="20"/>
  <c r="B4287" i="20"/>
  <c r="B4286" i="20"/>
  <c r="B4285" i="20"/>
  <c r="B4284" i="20"/>
  <c r="B4283" i="20"/>
  <c r="B4282" i="20"/>
  <c r="B4281" i="20"/>
  <c r="B4280" i="20"/>
  <c r="B4279" i="20"/>
  <c r="B4278" i="20"/>
  <c r="B4277" i="20"/>
  <c r="B4276" i="20"/>
  <c r="B4275" i="20"/>
  <c r="B4274" i="20"/>
  <c r="B4273" i="20"/>
  <c r="B4272" i="20"/>
  <c r="B4271" i="20"/>
  <c r="B4270" i="20"/>
  <c r="B4269" i="20"/>
  <c r="B4268" i="20"/>
  <c r="B4267" i="20"/>
  <c r="B4266" i="20"/>
  <c r="B4265" i="20"/>
  <c r="B4264" i="20"/>
  <c r="B4263" i="20"/>
  <c r="B4262" i="20"/>
  <c r="B4261" i="20"/>
  <c r="B4260" i="20"/>
  <c r="B4259" i="20"/>
  <c r="B4258" i="20"/>
  <c r="B4257" i="20"/>
  <c r="B4256" i="20"/>
  <c r="B4255" i="20"/>
  <c r="B4254" i="20"/>
  <c r="B4253" i="20"/>
  <c r="B4252" i="20"/>
  <c r="B4251" i="20"/>
  <c r="B4250" i="20"/>
  <c r="B4249" i="20"/>
  <c r="B4248" i="20"/>
  <c r="B4247" i="20"/>
  <c r="B4246" i="20"/>
  <c r="B4245" i="20"/>
  <c r="B4244" i="20"/>
  <c r="B4243" i="20"/>
  <c r="B4242" i="20"/>
  <c r="B4241" i="20"/>
  <c r="B4240" i="20"/>
  <c r="B4239" i="20"/>
  <c r="B4238" i="20"/>
  <c r="B4237" i="20"/>
  <c r="B4236" i="20"/>
  <c r="B4235" i="20"/>
  <c r="B4234" i="20"/>
  <c r="B4233" i="20"/>
  <c r="B4232" i="20"/>
  <c r="B4231" i="20"/>
  <c r="B4230" i="20"/>
  <c r="B4229" i="20"/>
  <c r="B4228" i="20"/>
  <c r="B4227" i="20"/>
  <c r="B4226" i="20"/>
  <c r="B4225" i="20"/>
  <c r="B4224" i="20"/>
  <c r="B4223" i="20"/>
  <c r="B4222" i="20"/>
  <c r="B4221" i="20"/>
  <c r="B4220" i="20"/>
  <c r="B4219" i="20"/>
  <c r="B4218" i="20"/>
  <c r="B4217" i="20"/>
  <c r="B4216" i="20"/>
  <c r="B4215" i="20"/>
  <c r="B4214" i="20"/>
  <c r="B4213" i="20"/>
  <c r="B4212" i="20"/>
  <c r="B4211" i="20"/>
  <c r="B4210" i="20"/>
  <c r="B4209" i="20"/>
  <c r="B4208" i="20"/>
  <c r="B4207" i="20"/>
  <c r="B4206" i="20"/>
  <c r="B4205" i="20"/>
  <c r="B4204" i="20"/>
  <c r="B4203" i="20"/>
  <c r="B4202" i="20"/>
  <c r="B4201" i="20"/>
  <c r="B4200" i="20"/>
  <c r="B4199" i="20"/>
  <c r="B4198" i="20"/>
  <c r="B4197" i="20"/>
  <c r="B4196" i="20"/>
  <c r="B4195" i="20"/>
  <c r="B4194" i="20"/>
  <c r="B4193" i="20"/>
  <c r="B4192" i="20"/>
  <c r="B4191" i="20"/>
  <c r="B4190" i="20"/>
  <c r="B4189" i="20"/>
  <c r="B4188" i="20"/>
  <c r="B4187" i="20"/>
  <c r="B4186" i="20"/>
  <c r="B4185" i="20"/>
  <c r="B4184" i="20"/>
  <c r="B4183" i="20"/>
  <c r="B4182" i="20"/>
  <c r="B4181" i="20"/>
  <c r="B4180" i="20"/>
  <c r="B4179" i="20"/>
  <c r="B4178" i="20"/>
  <c r="B4177" i="20"/>
  <c r="B4176" i="20"/>
  <c r="B4175" i="20"/>
  <c r="B4174" i="20"/>
  <c r="B4173" i="20"/>
  <c r="B4172" i="20"/>
  <c r="B4171" i="20"/>
  <c r="B4170" i="20"/>
  <c r="B4169" i="20"/>
  <c r="B4168" i="20"/>
  <c r="B4167" i="20"/>
  <c r="B4166" i="20"/>
  <c r="B4165" i="20"/>
  <c r="B4164" i="20"/>
  <c r="B4163" i="20"/>
  <c r="B4162" i="20"/>
  <c r="B4161" i="20"/>
  <c r="B4160" i="20"/>
  <c r="B4159" i="20"/>
  <c r="B4158" i="20"/>
  <c r="B4157" i="20"/>
  <c r="B4156" i="20"/>
  <c r="B4155" i="20"/>
  <c r="B4154" i="20"/>
  <c r="B4153" i="20"/>
  <c r="B4152" i="20"/>
  <c r="B4151" i="20"/>
  <c r="B4150" i="20"/>
  <c r="B4149" i="20"/>
  <c r="B4148" i="20"/>
  <c r="B4147" i="20"/>
  <c r="B4146" i="20"/>
  <c r="B4145" i="20"/>
  <c r="B4144" i="20"/>
  <c r="B4143" i="20"/>
  <c r="B4142" i="20"/>
  <c r="B4141" i="20"/>
  <c r="B4140" i="20"/>
  <c r="B4139" i="20"/>
  <c r="B4138" i="20"/>
  <c r="B4137" i="20"/>
  <c r="B4136" i="20"/>
  <c r="B4135" i="20"/>
  <c r="B4134" i="20"/>
  <c r="B4133" i="20"/>
  <c r="B4132" i="20"/>
  <c r="B4131" i="20"/>
  <c r="B4130" i="20"/>
  <c r="B4129" i="20"/>
  <c r="B4128" i="20"/>
  <c r="B4127" i="20"/>
  <c r="B4126" i="20"/>
  <c r="B4125" i="20"/>
  <c r="B4124" i="20"/>
  <c r="B4123" i="20"/>
  <c r="B4122" i="20"/>
  <c r="B4121" i="20"/>
  <c r="B4120" i="20"/>
  <c r="B4119" i="20"/>
  <c r="B4118" i="20"/>
  <c r="B4117" i="20"/>
  <c r="B4116" i="20"/>
  <c r="B4115" i="20"/>
  <c r="B4114" i="20"/>
  <c r="B4113" i="20"/>
  <c r="B4112" i="20"/>
  <c r="B4111" i="20"/>
  <c r="B4110" i="20"/>
  <c r="B4109" i="20"/>
  <c r="B4108" i="20"/>
  <c r="B4107" i="20"/>
  <c r="B4106" i="20"/>
  <c r="B4105" i="20"/>
  <c r="B4104" i="20"/>
  <c r="B4103" i="20"/>
  <c r="B4102" i="20"/>
  <c r="B4101" i="20"/>
  <c r="B4100" i="20"/>
  <c r="B4099" i="20"/>
  <c r="B4098" i="20"/>
  <c r="B4097" i="20"/>
  <c r="B4096" i="20"/>
  <c r="B4095" i="20"/>
  <c r="B4094" i="20"/>
  <c r="B4093" i="20"/>
  <c r="B4092" i="20"/>
  <c r="B4091" i="20"/>
  <c r="B4090" i="20"/>
  <c r="B4089" i="20"/>
  <c r="B4088" i="20"/>
  <c r="B4087" i="20"/>
  <c r="B4086" i="20"/>
  <c r="B4085" i="20"/>
  <c r="B4084" i="20"/>
  <c r="B4083" i="20"/>
  <c r="B4082" i="20"/>
  <c r="B4081" i="20"/>
  <c r="B4080" i="20"/>
  <c r="B4079" i="20"/>
  <c r="B4078" i="20"/>
  <c r="B4077" i="20"/>
  <c r="B4076" i="20"/>
  <c r="B4075" i="20"/>
  <c r="B4074" i="20"/>
  <c r="B4073" i="20"/>
  <c r="B4072" i="20"/>
  <c r="B4071" i="20"/>
  <c r="B4070" i="20"/>
  <c r="B4069" i="20"/>
  <c r="B4068" i="20"/>
  <c r="B4067" i="20"/>
  <c r="B4066" i="20"/>
  <c r="B4065" i="20"/>
  <c r="B4064" i="20"/>
  <c r="B4063" i="20"/>
  <c r="B4062" i="20"/>
  <c r="B4061" i="20"/>
  <c r="B4060" i="20"/>
  <c r="B4059" i="20"/>
  <c r="B4058" i="20"/>
  <c r="B4057" i="20"/>
  <c r="B4056" i="20"/>
  <c r="B4055" i="20"/>
  <c r="B4054" i="20"/>
  <c r="B4053" i="20"/>
  <c r="B4052" i="20"/>
  <c r="B4051" i="20"/>
  <c r="B4050" i="20"/>
  <c r="B4049" i="20"/>
  <c r="B4048" i="20"/>
  <c r="B4047" i="20"/>
  <c r="B4046" i="20"/>
  <c r="B4045" i="20"/>
  <c r="B4044" i="20"/>
  <c r="B4043" i="20"/>
  <c r="B4042" i="20"/>
  <c r="B4041" i="20"/>
  <c r="B4040" i="20"/>
  <c r="B4039" i="20"/>
  <c r="B4038" i="20"/>
  <c r="B4037" i="20"/>
  <c r="B4036" i="20"/>
  <c r="B4035" i="20"/>
  <c r="B4034" i="20"/>
  <c r="B4033" i="20"/>
  <c r="B4032" i="20"/>
  <c r="B4031" i="20"/>
  <c r="B4030" i="20"/>
  <c r="B4029" i="20"/>
  <c r="B4028" i="20"/>
  <c r="B4027" i="20"/>
  <c r="B4026" i="20"/>
  <c r="B4025" i="20"/>
  <c r="B4024" i="20"/>
  <c r="B4023" i="20"/>
  <c r="B4022" i="20"/>
  <c r="B4021" i="20"/>
  <c r="B4020" i="20"/>
  <c r="B4019" i="20"/>
  <c r="B4018" i="20"/>
  <c r="B4017" i="20"/>
  <c r="B4016" i="20"/>
  <c r="B4015" i="20"/>
  <c r="B4014" i="20"/>
  <c r="B4013" i="20"/>
  <c r="B4012" i="20"/>
  <c r="B4011" i="20"/>
  <c r="B4010" i="20"/>
  <c r="B4009" i="20"/>
  <c r="B4008" i="20"/>
  <c r="B4007" i="20"/>
  <c r="B4006" i="20"/>
  <c r="B4005" i="20"/>
  <c r="B4004" i="20"/>
  <c r="B4003" i="20"/>
  <c r="B4002" i="20"/>
  <c r="B4001" i="20"/>
  <c r="B4000" i="20"/>
  <c r="B3999" i="20"/>
  <c r="B3998" i="20"/>
  <c r="B3997" i="20"/>
  <c r="B3996" i="20"/>
  <c r="B3995" i="20"/>
  <c r="B3994" i="20"/>
  <c r="B3993" i="20"/>
  <c r="B3992" i="20"/>
  <c r="B3991" i="20"/>
  <c r="B3990" i="20"/>
  <c r="B3989" i="20"/>
  <c r="B3988" i="20"/>
  <c r="B3987" i="20"/>
  <c r="B3986" i="20"/>
  <c r="B3985" i="20"/>
  <c r="B3984" i="20"/>
  <c r="B3983" i="20"/>
  <c r="B3982" i="20"/>
  <c r="B3981" i="20"/>
  <c r="B3980" i="20"/>
  <c r="B3979" i="20"/>
  <c r="B3978" i="20"/>
  <c r="B3977" i="20"/>
  <c r="B3976" i="20"/>
  <c r="B3975" i="20"/>
  <c r="B3974" i="20"/>
  <c r="B3973" i="20"/>
  <c r="B3972" i="20"/>
  <c r="B3971" i="20"/>
  <c r="B3970" i="20"/>
  <c r="B3969" i="20"/>
  <c r="B3968" i="20"/>
  <c r="B3967" i="20"/>
  <c r="B3966" i="20"/>
  <c r="B3965" i="20"/>
  <c r="B3964" i="20"/>
  <c r="B3963" i="20"/>
  <c r="B3962" i="20"/>
  <c r="B3961" i="20"/>
  <c r="B3960" i="20"/>
  <c r="B3959" i="20"/>
  <c r="B3958" i="20"/>
  <c r="B3957" i="20"/>
  <c r="B3956" i="20"/>
  <c r="B3955" i="20"/>
  <c r="B3954" i="20"/>
  <c r="B3953" i="20"/>
  <c r="B3952" i="20"/>
  <c r="B3951" i="20"/>
  <c r="B3950" i="20"/>
  <c r="B3949" i="20"/>
  <c r="B3948" i="20"/>
  <c r="B3947" i="20"/>
  <c r="B3946" i="20"/>
  <c r="B3945" i="20"/>
  <c r="B3944" i="20"/>
  <c r="B3943" i="20"/>
  <c r="B3942" i="20"/>
  <c r="B3941" i="20"/>
  <c r="B3940" i="20"/>
  <c r="B3939" i="20"/>
  <c r="B3938" i="20"/>
  <c r="B3937" i="20"/>
  <c r="B3936" i="20"/>
  <c r="B3935" i="20"/>
  <c r="B3934" i="20"/>
  <c r="B3933" i="20"/>
  <c r="B3932" i="20"/>
  <c r="B3931" i="20"/>
  <c r="B3930" i="20"/>
  <c r="B3929" i="20"/>
  <c r="B3928" i="20"/>
  <c r="B3927" i="20"/>
  <c r="B3926" i="20"/>
  <c r="B3925" i="20"/>
  <c r="B3924" i="20"/>
  <c r="B3923" i="20"/>
  <c r="B3922" i="20"/>
  <c r="B3921" i="20"/>
  <c r="B3920" i="20"/>
  <c r="B3919" i="20"/>
  <c r="B3918" i="20"/>
  <c r="B3917" i="20"/>
  <c r="B3916" i="20"/>
  <c r="B3915" i="20"/>
  <c r="B3914" i="20"/>
  <c r="B3913" i="20"/>
  <c r="B3912" i="20"/>
  <c r="B3911" i="20"/>
  <c r="B3910" i="20"/>
  <c r="B3909" i="20"/>
  <c r="B3908" i="20"/>
  <c r="B3907" i="20"/>
  <c r="B3906" i="20"/>
  <c r="B3905" i="20"/>
  <c r="B3904" i="20"/>
  <c r="B3903" i="20"/>
  <c r="B3902" i="20"/>
  <c r="B3901" i="20"/>
  <c r="B3900" i="20"/>
  <c r="B3899" i="20"/>
  <c r="B3898" i="20"/>
  <c r="B3897" i="20"/>
  <c r="B3896" i="20"/>
  <c r="B3895" i="20"/>
  <c r="B3894" i="20"/>
  <c r="B3893" i="20"/>
  <c r="B3892" i="20"/>
  <c r="B3891" i="20"/>
  <c r="B3890" i="20"/>
  <c r="B3889" i="20"/>
  <c r="B3888" i="20"/>
  <c r="B3887" i="20"/>
  <c r="B3886" i="20"/>
  <c r="B3885" i="20"/>
  <c r="B3884" i="20"/>
  <c r="B3883" i="20"/>
  <c r="B3882" i="20"/>
  <c r="B3881" i="20"/>
  <c r="B3880" i="20"/>
  <c r="B3879" i="20"/>
  <c r="B3878" i="20"/>
  <c r="B3877" i="20"/>
  <c r="B3876" i="20"/>
  <c r="B3875" i="20"/>
  <c r="B3874" i="20"/>
  <c r="B3873" i="20"/>
  <c r="B3872" i="20"/>
  <c r="B3871" i="20"/>
  <c r="B3870" i="20"/>
  <c r="B3869" i="20"/>
  <c r="B3868" i="20"/>
  <c r="B3867" i="20"/>
  <c r="B3866" i="20"/>
  <c r="B3865" i="20"/>
  <c r="B3864" i="20"/>
  <c r="B3863" i="20"/>
  <c r="B3862" i="20"/>
  <c r="B3861" i="20"/>
  <c r="B3860" i="20"/>
  <c r="B3859" i="20"/>
  <c r="B3858" i="20"/>
  <c r="B3857" i="20"/>
  <c r="B3856" i="20"/>
  <c r="B3855" i="20"/>
  <c r="B3854" i="20"/>
  <c r="B3853" i="20"/>
  <c r="B3852" i="20"/>
  <c r="B3851" i="20"/>
  <c r="B3850" i="20"/>
  <c r="B3849" i="20"/>
  <c r="B3848" i="20"/>
  <c r="B3847" i="20"/>
  <c r="B3846" i="20"/>
  <c r="B3845" i="20"/>
  <c r="B3844" i="20"/>
  <c r="B3843" i="20"/>
  <c r="B3842" i="20"/>
  <c r="B3841" i="20"/>
  <c r="B3840" i="20"/>
  <c r="B3839" i="20"/>
  <c r="B3838" i="20"/>
  <c r="B3837" i="20"/>
  <c r="B3836" i="20"/>
  <c r="B3835" i="20"/>
  <c r="B3834" i="20"/>
  <c r="B3833" i="20"/>
  <c r="B3832" i="20"/>
  <c r="B3831" i="20"/>
  <c r="B3830" i="20"/>
  <c r="B3829" i="20"/>
  <c r="B3828" i="20"/>
  <c r="B3827" i="20"/>
  <c r="B3826" i="20"/>
  <c r="B3825" i="20"/>
  <c r="B3824" i="20"/>
  <c r="B3823" i="20"/>
  <c r="B3822" i="20"/>
  <c r="B3821" i="20"/>
  <c r="B3820" i="20"/>
  <c r="B3819" i="20"/>
  <c r="B3818" i="20"/>
  <c r="B3817" i="20"/>
  <c r="B3816" i="20"/>
  <c r="B3815" i="20"/>
  <c r="B3814" i="20"/>
  <c r="B3813" i="20"/>
  <c r="B3812" i="20"/>
  <c r="B3811" i="20"/>
  <c r="B3810" i="20"/>
  <c r="B3809" i="20"/>
  <c r="B3808" i="20"/>
  <c r="B3807" i="20"/>
  <c r="B3806" i="20"/>
  <c r="B3805" i="20"/>
  <c r="B3804" i="20"/>
  <c r="B3803" i="20"/>
  <c r="B3802" i="20"/>
  <c r="B3801" i="20"/>
  <c r="B3800" i="20"/>
  <c r="B3799" i="20"/>
  <c r="B3798" i="20"/>
  <c r="B3797" i="20"/>
  <c r="B3796" i="20"/>
  <c r="B3795" i="20"/>
  <c r="B3794" i="20"/>
  <c r="B3793" i="20"/>
  <c r="B3792" i="20"/>
  <c r="B3791" i="20"/>
  <c r="B3790" i="20"/>
  <c r="B3789" i="20"/>
  <c r="B3788" i="20"/>
  <c r="B3787" i="20"/>
  <c r="B3786" i="20"/>
  <c r="B3785" i="20"/>
  <c r="B3784" i="20"/>
  <c r="B3783" i="20"/>
  <c r="B3782" i="20"/>
  <c r="B3781" i="20"/>
  <c r="B3780" i="20"/>
  <c r="B3779" i="20"/>
  <c r="B3778" i="20"/>
  <c r="B3777" i="20"/>
  <c r="B3776" i="20"/>
  <c r="B3775" i="20"/>
  <c r="B3774" i="20"/>
  <c r="B3773" i="20"/>
  <c r="B3772" i="20"/>
  <c r="B3771" i="20"/>
  <c r="B3770" i="20"/>
  <c r="B3769" i="20"/>
  <c r="B3768" i="20"/>
  <c r="B3767" i="20"/>
  <c r="B3766" i="20"/>
  <c r="B3765" i="20"/>
  <c r="B3764" i="20"/>
  <c r="B3763" i="20"/>
  <c r="B3762" i="20"/>
  <c r="B3761" i="20"/>
  <c r="B3760" i="20"/>
  <c r="B3759" i="20"/>
  <c r="B3758" i="20"/>
  <c r="B3757" i="20"/>
  <c r="B3756" i="20"/>
  <c r="B3755" i="20"/>
  <c r="B3754" i="20"/>
  <c r="B3753" i="20"/>
  <c r="B3752" i="20"/>
  <c r="B3751" i="20"/>
  <c r="B3750" i="20"/>
  <c r="B3749" i="20"/>
  <c r="B3748" i="20"/>
  <c r="B3747" i="20"/>
  <c r="B3746" i="20"/>
  <c r="B3745" i="20"/>
  <c r="B3744" i="20"/>
  <c r="B3743" i="20"/>
  <c r="B3742" i="20"/>
  <c r="B3741" i="20"/>
  <c r="B3740" i="20"/>
  <c r="B3739" i="20"/>
  <c r="B3738" i="20"/>
  <c r="B3737" i="20"/>
  <c r="B3736" i="20"/>
  <c r="B3735" i="20"/>
  <c r="B3734" i="20"/>
  <c r="B3733" i="20"/>
  <c r="B3732" i="20"/>
  <c r="B3731" i="20"/>
  <c r="B3730" i="20"/>
  <c r="B3729" i="20"/>
  <c r="B3728" i="20"/>
  <c r="B3727" i="20"/>
  <c r="B3726" i="20"/>
  <c r="B3725" i="20"/>
  <c r="B3724" i="20"/>
  <c r="B3723" i="20"/>
  <c r="B3722" i="20"/>
  <c r="B3721" i="20"/>
  <c r="B3720" i="20"/>
  <c r="B3719" i="20"/>
  <c r="B3718" i="20"/>
  <c r="B3717" i="20"/>
  <c r="B3716" i="20"/>
  <c r="B3715" i="20"/>
  <c r="B3714" i="20"/>
  <c r="B3713" i="20"/>
  <c r="B3712" i="20"/>
  <c r="B3711" i="20"/>
  <c r="B3710" i="20"/>
  <c r="B3709" i="20"/>
  <c r="B3708" i="20"/>
  <c r="B3707" i="20"/>
  <c r="B3706" i="20"/>
  <c r="B3705" i="20"/>
  <c r="B3704" i="20"/>
  <c r="B3703" i="20"/>
  <c r="B3702" i="20"/>
  <c r="B3701" i="20"/>
  <c r="B3700" i="20"/>
  <c r="B3699" i="20"/>
  <c r="B3698" i="20"/>
  <c r="B3697" i="20"/>
  <c r="B3696" i="20"/>
  <c r="B3695" i="20"/>
  <c r="B3694" i="20"/>
  <c r="B3693" i="20"/>
  <c r="B3692" i="20"/>
  <c r="B3691" i="20"/>
  <c r="B3690" i="20"/>
  <c r="B3689" i="20"/>
  <c r="B3688" i="20"/>
  <c r="B3687" i="20"/>
  <c r="B3686" i="20"/>
  <c r="B3685" i="20"/>
  <c r="B3684" i="20"/>
  <c r="B3683" i="20"/>
  <c r="B3682" i="20"/>
  <c r="B3681" i="20"/>
  <c r="B3680" i="20"/>
  <c r="B3679" i="20"/>
  <c r="B3678" i="20"/>
  <c r="B3677" i="20"/>
  <c r="B3676" i="20"/>
  <c r="B3675" i="20"/>
  <c r="B3674" i="20"/>
  <c r="B3673" i="20"/>
  <c r="B3672" i="20"/>
  <c r="B3671" i="20"/>
  <c r="B3670" i="20"/>
  <c r="B3669" i="20"/>
  <c r="B3668" i="20"/>
  <c r="B3667" i="20"/>
  <c r="B3666" i="20"/>
  <c r="B3665" i="20"/>
  <c r="B3664" i="20"/>
  <c r="B3663" i="20"/>
  <c r="B3662" i="20"/>
  <c r="B3661" i="20"/>
  <c r="B3660" i="20"/>
  <c r="B3659" i="20"/>
  <c r="B3658" i="20"/>
  <c r="B3657" i="20"/>
  <c r="B3656" i="20"/>
  <c r="B3655" i="20"/>
  <c r="B3654" i="20"/>
  <c r="B3653" i="20"/>
  <c r="B3652" i="20"/>
  <c r="B3651" i="20"/>
  <c r="B3650" i="20"/>
  <c r="B3649" i="20"/>
  <c r="B3648" i="20"/>
  <c r="B3647" i="20"/>
  <c r="B3646" i="20"/>
  <c r="B3645" i="20"/>
  <c r="B3644" i="20"/>
  <c r="B3643" i="20"/>
  <c r="B3642" i="20"/>
  <c r="B3641" i="20"/>
  <c r="B3640" i="20"/>
  <c r="B3639" i="20"/>
  <c r="B3638" i="20"/>
  <c r="B3637" i="20"/>
  <c r="B3636" i="20"/>
  <c r="B3635" i="20"/>
  <c r="B3634" i="20"/>
  <c r="B3633" i="20"/>
  <c r="B3632" i="20"/>
  <c r="B3631" i="20"/>
  <c r="B3630" i="20"/>
  <c r="B3629" i="20"/>
  <c r="B3628" i="20"/>
  <c r="B3627" i="20"/>
  <c r="B3626" i="20"/>
  <c r="B3625" i="20"/>
  <c r="B3624" i="20"/>
  <c r="B3623" i="20"/>
  <c r="B3622" i="20"/>
  <c r="B3621" i="20"/>
  <c r="B3620" i="20"/>
  <c r="B3619" i="20"/>
  <c r="B3618" i="20"/>
  <c r="B3617" i="20"/>
  <c r="B3616" i="20"/>
  <c r="B3615" i="20"/>
  <c r="B3614" i="20"/>
  <c r="B3613" i="20"/>
  <c r="B3612" i="20"/>
  <c r="B3611" i="20"/>
  <c r="B3610" i="20"/>
  <c r="B3609" i="20"/>
  <c r="B3608" i="20"/>
  <c r="B3607" i="20"/>
  <c r="B3606" i="20"/>
  <c r="B3605" i="20"/>
  <c r="B3604" i="20"/>
  <c r="B3603" i="20"/>
  <c r="B3602" i="20"/>
  <c r="B3601" i="20"/>
  <c r="B3600" i="20"/>
  <c r="B3599" i="20"/>
  <c r="B3598" i="20"/>
  <c r="B3597" i="20"/>
  <c r="B3596" i="20"/>
  <c r="B3595" i="20"/>
  <c r="B3594" i="20"/>
  <c r="B3593" i="20"/>
  <c r="B3592" i="20"/>
  <c r="B3591" i="20"/>
  <c r="B3590" i="20"/>
  <c r="B3589" i="20"/>
  <c r="B3588" i="20"/>
  <c r="B3587" i="20"/>
  <c r="B3586" i="20"/>
  <c r="B3585" i="20"/>
  <c r="B3584" i="20"/>
  <c r="B3583" i="20"/>
  <c r="B3582" i="20"/>
  <c r="B3581" i="20"/>
  <c r="B3580" i="20"/>
  <c r="B3579" i="20"/>
  <c r="B3578" i="20"/>
  <c r="B3577" i="20"/>
  <c r="B3576" i="20"/>
  <c r="B3575" i="20"/>
  <c r="B3574" i="20"/>
  <c r="B3573" i="20"/>
  <c r="B3572" i="20"/>
  <c r="B3571" i="20"/>
  <c r="B3570" i="20"/>
  <c r="B3569" i="20"/>
  <c r="B3568" i="20"/>
  <c r="B3567" i="20"/>
  <c r="B3566" i="20"/>
  <c r="B3565" i="20"/>
  <c r="B3564" i="20"/>
  <c r="B3563" i="20"/>
  <c r="B3562" i="20"/>
  <c r="B3561" i="20"/>
  <c r="B3560" i="20"/>
  <c r="B3559" i="20"/>
  <c r="B3558" i="20"/>
  <c r="B3557" i="20"/>
  <c r="B3556" i="20"/>
  <c r="B3555" i="20"/>
  <c r="B3554" i="20"/>
  <c r="B3553" i="20"/>
  <c r="B3552" i="20"/>
  <c r="B3551" i="20"/>
  <c r="B3550" i="20"/>
  <c r="B3549" i="20"/>
  <c r="B3548" i="20"/>
  <c r="B3547" i="20"/>
  <c r="B3546" i="20"/>
  <c r="B3545" i="20"/>
  <c r="B3544" i="20"/>
  <c r="B3543" i="20"/>
  <c r="B3542" i="20"/>
  <c r="B3541" i="20"/>
  <c r="B3540" i="20"/>
  <c r="B3539" i="20"/>
  <c r="B3538" i="20"/>
  <c r="B3537" i="20"/>
  <c r="B3536" i="20"/>
  <c r="B3535" i="20"/>
  <c r="B3534" i="20"/>
  <c r="B3533" i="20"/>
  <c r="B3532" i="20"/>
  <c r="B3531" i="20"/>
  <c r="B3530" i="20"/>
  <c r="B3529" i="20"/>
  <c r="B3528" i="20"/>
  <c r="B3527" i="20"/>
  <c r="B3526" i="20"/>
  <c r="B3525" i="20"/>
  <c r="B3524" i="20"/>
  <c r="B3523" i="20"/>
  <c r="B3522" i="20"/>
  <c r="B3521" i="20"/>
  <c r="B3520" i="20"/>
  <c r="B3519" i="20"/>
  <c r="B3518" i="20"/>
  <c r="B3517" i="20"/>
  <c r="B3516" i="20"/>
  <c r="B3515" i="20"/>
  <c r="B3514" i="20"/>
  <c r="B3513" i="20"/>
  <c r="B3512" i="20"/>
  <c r="B3511" i="20"/>
  <c r="B3510" i="20"/>
  <c r="B3509" i="20"/>
  <c r="B3508" i="20"/>
  <c r="B3507" i="20"/>
  <c r="B3506" i="20"/>
  <c r="B3505" i="20"/>
  <c r="B3504" i="20"/>
  <c r="B3503" i="20"/>
  <c r="B3502" i="20"/>
  <c r="B3501" i="20"/>
  <c r="B3500" i="20"/>
  <c r="B3499" i="20"/>
  <c r="B3498" i="20"/>
  <c r="B3497" i="20"/>
  <c r="B3496" i="20"/>
  <c r="B3495" i="20"/>
  <c r="B3494" i="20"/>
  <c r="B3493" i="20"/>
  <c r="B3492" i="20"/>
  <c r="B3491" i="20"/>
  <c r="B3490" i="20"/>
  <c r="B3489" i="20"/>
  <c r="B3488" i="20"/>
  <c r="B3487" i="20"/>
  <c r="B3486" i="20"/>
  <c r="B3485" i="20"/>
  <c r="B3484" i="20"/>
  <c r="B3483" i="20"/>
  <c r="B3482" i="20"/>
  <c r="B3481" i="20"/>
  <c r="B3480" i="20"/>
  <c r="B3479" i="20"/>
  <c r="B3478" i="20"/>
  <c r="B3477" i="20"/>
  <c r="B3476" i="20"/>
  <c r="B3475" i="20"/>
  <c r="B3474" i="20"/>
  <c r="B3473" i="20"/>
  <c r="B3472" i="20"/>
  <c r="B3471" i="20"/>
  <c r="B3470" i="20"/>
  <c r="B3469" i="20"/>
  <c r="B3468" i="20"/>
  <c r="B3467" i="20"/>
  <c r="B3466" i="20"/>
  <c r="B3465" i="20"/>
  <c r="B3464" i="20"/>
  <c r="B3463" i="20"/>
  <c r="B3462" i="20"/>
  <c r="B3461" i="20"/>
  <c r="B3460" i="20"/>
  <c r="B3459" i="20"/>
  <c r="B3458" i="20"/>
  <c r="B3457" i="20"/>
  <c r="B3456" i="20"/>
  <c r="B3455" i="20"/>
  <c r="B3454" i="20"/>
  <c r="B3453" i="20"/>
  <c r="B3452" i="20"/>
  <c r="B3451" i="20"/>
  <c r="B3450" i="20"/>
  <c r="B3449" i="20"/>
  <c r="B3448" i="20"/>
  <c r="B3447" i="20"/>
  <c r="B3446" i="20"/>
  <c r="B3445" i="20"/>
  <c r="B3444" i="20"/>
  <c r="B3443" i="20"/>
  <c r="B3442" i="20"/>
  <c r="B3441" i="20"/>
  <c r="B3440" i="20"/>
  <c r="B3439" i="20"/>
  <c r="B3438" i="20"/>
  <c r="B3437" i="20"/>
  <c r="B3436" i="20"/>
  <c r="B3435" i="20"/>
  <c r="B3434" i="20"/>
  <c r="B3433" i="20"/>
  <c r="B3432" i="20"/>
  <c r="B3431" i="20"/>
  <c r="B3430" i="20"/>
  <c r="B3429" i="20"/>
  <c r="B3428" i="20"/>
  <c r="B3427" i="20"/>
  <c r="B3426" i="20"/>
  <c r="B3425" i="20"/>
  <c r="B3424" i="20"/>
  <c r="B3423" i="20"/>
  <c r="B3422" i="20"/>
  <c r="B3421" i="20"/>
  <c r="B3420" i="20"/>
  <c r="B3419" i="20"/>
  <c r="B3418" i="20"/>
  <c r="B3417" i="20"/>
  <c r="B3416" i="20"/>
  <c r="B3415" i="20"/>
  <c r="B3414" i="20"/>
  <c r="B3413" i="20"/>
  <c r="B3412" i="20"/>
  <c r="B3411" i="20"/>
  <c r="B3410" i="20"/>
  <c r="B3409" i="20"/>
  <c r="B3408" i="20"/>
  <c r="B3407" i="20"/>
  <c r="B3406" i="20"/>
  <c r="B3405" i="20"/>
  <c r="B3404" i="20"/>
  <c r="B3403" i="20"/>
  <c r="B3402" i="20"/>
  <c r="B3401" i="20"/>
  <c r="B3400" i="20"/>
  <c r="B3399" i="20"/>
  <c r="B3398" i="20"/>
  <c r="B3397" i="20"/>
  <c r="B3396" i="20"/>
  <c r="B3395" i="20"/>
  <c r="B3394" i="20"/>
  <c r="B3393" i="20"/>
  <c r="B3392" i="20"/>
  <c r="B3391" i="20"/>
  <c r="B3390" i="20"/>
  <c r="B3389" i="20"/>
  <c r="B3388" i="20"/>
  <c r="B3387" i="20"/>
  <c r="B3386" i="20"/>
  <c r="B3385" i="20"/>
  <c r="B3384" i="20"/>
  <c r="B3383" i="20"/>
  <c r="B3382" i="20"/>
  <c r="B3381" i="20"/>
  <c r="B3380" i="20"/>
  <c r="B3379" i="20"/>
  <c r="B3378" i="20"/>
  <c r="B3377" i="20"/>
  <c r="B3376" i="20"/>
  <c r="B3375" i="20"/>
  <c r="B3374" i="20"/>
  <c r="B3373" i="20"/>
  <c r="B3372" i="20"/>
  <c r="B3371" i="20"/>
  <c r="B3370" i="20"/>
  <c r="B3369" i="20"/>
  <c r="B3368" i="20"/>
  <c r="B3367" i="20"/>
  <c r="B3366" i="20"/>
  <c r="B3365" i="20"/>
  <c r="B3364" i="20"/>
  <c r="B3363" i="20"/>
  <c r="B3362" i="20"/>
  <c r="B3361" i="20"/>
  <c r="B3360" i="20"/>
  <c r="B3359" i="20"/>
  <c r="B3358" i="20"/>
  <c r="B3357" i="20"/>
  <c r="B3356" i="20"/>
  <c r="B3355" i="20"/>
  <c r="B3354" i="20"/>
  <c r="B3353" i="20"/>
  <c r="B3352" i="20"/>
  <c r="B3351" i="20"/>
  <c r="B3350" i="20"/>
  <c r="B3349" i="20"/>
  <c r="B3348" i="20"/>
  <c r="B3347" i="20"/>
  <c r="B3346" i="20"/>
  <c r="B3345" i="20"/>
  <c r="B3344" i="20"/>
  <c r="B3343" i="20"/>
  <c r="B3342" i="20"/>
  <c r="B3341" i="20"/>
  <c r="B3340" i="20"/>
  <c r="B3339" i="20"/>
  <c r="B3338" i="20"/>
  <c r="B3337" i="20"/>
  <c r="B3336" i="20"/>
  <c r="B3335" i="20"/>
  <c r="B3334" i="20"/>
  <c r="B3333" i="20"/>
  <c r="B3332" i="20"/>
  <c r="B3331" i="20"/>
  <c r="B3330" i="20"/>
  <c r="B3329" i="20"/>
  <c r="B3328" i="20"/>
  <c r="B3327" i="20"/>
  <c r="B3326" i="20"/>
  <c r="B3325" i="20"/>
  <c r="B3324" i="20"/>
  <c r="B3323" i="20"/>
  <c r="B3322" i="20"/>
  <c r="B3321" i="20"/>
  <c r="B3320" i="20"/>
  <c r="B3319" i="20"/>
  <c r="B3318" i="20"/>
  <c r="B3317" i="20"/>
  <c r="B3316" i="20"/>
  <c r="B3315" i="20"/>
  <c r="B3314" i="20"/>
  <c r="B3313" i="20"/>
  <c r="B3312" i="20"/>
  <c r="B3311" i="20"/>
  <c r="B3310" i="20"/>
  <c r="B3309" i="20"/>
  <c r="B3308" i="20"/>
  <c r="B3307" i="20"/>
  <c r="B3306" i="20"/>
  <c r="B3305" i="20"/>
  <c r="B3304" i="20"/>
  <c r="B3303" i="20"/>
  <c r="B3302" i="20"/>
  <c r="B3301" i="20"/>
  <c r="B3300" i="20"/>
  <c r="B3299" i="20"/>
  <c r="B3298" i="20"/>
  <c r="B3297" i="20"/>
  <c r="B3296" i="20"/>
  <c r="B3295" i="20"/>
  <c r="B3294" i="20"/>
  <c r="B3293" i="20"/>
  <c r="B3292" i="20"/>
  <c r="B3291" i="20"/>
  <c r="B3290" i="20"/>
  <c r="B3289" i="20"/>
  <c r="B3288" i="20"/>
  <c r="B3287" i="20"/>
  <c r="B3286" i="20"/>
  <c r="B3285" i="20"/>
  <c r="B3284" i="20"/>
  <c r="B3283" i="20"/>
  <c r="B3282" i="20"/>
  <c r="B3281" i="20"/>
  <c r="B3280" i="20"/>
  <c r="B3279" i="20"/>
  <c r="B3278" i="20"/>
  <c r="B3277" i="20"/>
  <c r="B3276" i="20"/>
  <c r="B3275" i="20"/>
  <c r="B3274" i="20"/>
  <c r="B3273" i="20"/>
  <c r="B3272" i="20"/>
  <c r="B3271" i="20"/>
  <c r="B3270" i="20"/>
  <c r="B3269" i="20"/>
  <c r="B3268" i="20"/>
  <c r="B3267" i="20"/>
  <c r="B3266" i="20"/>
  <c r="B3265" i="20"/>
  <c r="B3264" i="20"/>
  <c r="B3263" i="20"/>
  <c r="B3262" i="20"/>
  <c r="B3261" i="20"/>
  <c r="B3260" i="20"/>
  <c r="B3259" i="20"/>
  <c r="B3258" i="20"/>
  <c r="B3257" i="20"/>
  <c r="B3256" i="20"/>
  <c r="B3255" i="20"/>
  <c r="B3254" i="20"/>
  <c r="B3253" i="20"/>
  <c r="B3252" i="20"/>
  <c r="B3251" i="20"/>
  <c r="B3250" i="20"/>
  <c r="B3249" i="20"/>
  <c r="B3248" i="20"/>
  <c r="B3247" i="20"/>
  <c r="B3246" i="20"/>
  <c r="B3245" i="20"/>
  <c r="B3244" i="20"/>
  <c r="B3243" i="20"/>
  <c r="B3242" i="20"/>
  <c r="B3241" i="20"/>
  <c r="B3240" i="20"/>
  <c r="B3239" i="20"/>
  <c r="B3238" i="20"/>
  <c r="B3237" i="20"/>
  <c r="B3236" i="20"/>
  <c r="B3235" i="20"/>
  <c r="B3234" i="20"/>
  <c r="B3233" i="20"/>
  <c r="B3232" i="20"/>
  <c r="B3231" i="20"/>
  <c r="B3230" i="20"/>
  <c r="B3229" i="20"/>
  <c r="B3228" i="20"/>
  <c r="B3227" i="20"/>
  <c r="B3226" i="20"/>
  <c r="B3225" i="20"/>
  <c r="B3224" i="20"/>
  <c r="B3223" i="20"/>
  <c r="B3222" i="20"/>
  <c r="B3221" i="20"/>
  <c r="B3220" i="20"/>
  <c r="B3219" i="20"/>
  <c r="B3218" i="20"/>
  <c r="B3217" i="20"/>
  <c r="B3216" i="20"/>
  <c r="B3215" i="20"/>
  <c r="B3214" i="20"/>
  <c r="B3213" i="20"/>
  <c r="B3212" i="20"/>
  <c r="B3211" i="20"/>
  <c r="B3210" i="20"/>
  <c r="B3209" i="20"/>
  <c r="B3208" i="20"/>
  <c r="B3207" i="20"/>
  <c r="B3206" i="20"/>
  <c r="B3205" i="20"/>
  <c r="B3204" i="20"/>
  <c r="B3203" i="20"/>
  <c r="B3202" i="20"/>
  <c r="B3201" i="20"/>
  <c r="B3200" i="20"/>
  <c r="B3199" i="20"/>
  <c r="B3198" i="20"/>
  <c r="B3197" i="20"/>
  <c r="B3196" i="20"/>
  <c r="B3195" i="20"/>
  <c r="B3194" i="20"/>
  <c r="B3193" i="20"/>
  <c r="B3192" i="20"/>
  <c r="B3191" i="20"/>
  <c r="B3190" i="20"/>
  <c r="B3189" i="20"/>
  <c r="B3188" i="20"/>
  <c r="B3187" i="20"/>
  <c r="B3186" i="20"/>
  <c r="B3185" i="20"/>
  <c r="B3184" i="20"/>
  <c r="B3183" i="20"/>
  <c r="B3182" i="20"/>
  <c r="B3181" i="20"/>
  <c r="B3180" i="20"/>
  <c r="B3179" i="20"/>
  <c r="B3178" i="20"/>
  <c r="B3177" i="20"/>
  <c r="B3176" i="20"/>
  <c r="B3175" i="20"/>
  <c r="B3174" i="20"/>
  <c r="B3173" i="20"/>
  <c r="B3172" i="20"/>
  <c r="B3171" i="20"/>
  <c r="B3170" i="20"/>
  <c r="B3169" i="20"/>
  <c r="B3168" i="20"/>
  <c r="B3167" i="20"/>
  <c r="B3166" i="20"/>
  <c r="B3165" i="20"/>
  <c r="B3164" i="20"/>
  <c r="B3163" i="20"/>
  <c r="B3162" i="20"/>
  <c r="B3161" i="20"/>
  <c r="B3160" i="20"/>
  <c r="B3159" i="20"/>
  <c r="B3158" i="20"/>
  <c r="B3157" i="20"/>
  <c r="B3156" i="20"/>
  <c r="B3155" i="20"/>
  <c r="B3154" i="20"/>
  <c r="B3153" i="20"/>
  <c r="B3152" i="20"/>
  <c r="B3151" i="20"/>
  <c r="B3150" i="20"/>
  <c r="B3149" i="20"/>
  <c r="B3148" i="20"/>
  <c r="B3147" i="20"/>
  <c r="B3146" i="20"/>
  <c r="B3145" i="20"/>
  <c r="B3144" i="20"/>
  <c r="B3143" i="20"/>
  <c r="B3142" i="20"/>
  <c r="B3141" i="20"/>
  <c r="B3140" i="20"/>
  <c r="B3139" i="20"/>
  <c r="B3138" i="20"/>
  <c r="B3137" i="20"/>
  <c r="B3136" i="20"/>
  <c r="B3135" i="20"/>
  <c r="B3134" i="20"/>
  <c r="B3133" i="20"/>
  <c r="B3132" i="20"/>
  <c r="B3131" i="20"/>
  <c r="B3130" i="20"/>
  <c r="B3129" i="20"/>
  <c r="B3128" i="20"/>
  <c r="B3127" i="20"/>
  <c r="B3126" i="20"/>
  <c r="B3125" i="20"/>
  <c r="B3124" i="20"/>
  <c r="B3123" i="20"/>
  <c r="B3122" i="20"/>
  <c r="B3121" i="20"/>
  <c r="B3120" i="20"/>
  <c r="B3119" i="20"/>
  <c r="B3118" i="20"/>
  <c r="B3117" i="20"/>
  <c r="B3116" i="20"/>
  <c r="B3115" i="20"/>
  <c r="B3114" i="20"/>
  <c r="B3113" i="20"/>
  <c r="B3112" i="20"/>
  <c r="B3111" i="20"/>
  <c r="B3110" i="20"/>
  <c r="B3109" i="20"/>
  <c r="B3108" i="20"/>
  <c r="B3107" i="20"/>
  <c r="B3106" i="20"/>
  <c r="B3105" i="20"/>
  <c r="B3104" i="20"/>
  <c r="B3103" i="20"/>
  <c r="B3102" i="20"/>
  <c r="B3101" i="20"/>
  <c r="B3100" i="20"/>
  <c r="B3099" i="20"/>
  <c r="B3098" i="20"/>
  <c r="B3097" i="20"/>
  <c r="B3096" i="20"/>
  <c r="B3095" i="20"/>
  <c r="B3094" i="20"/>
  <c r="B3093" i="20"/>
  <c r="B3092" i="20"/>
  <c r="B3091" i="20"/>
  <c r="B3090" i="20"/>
  <c r="B3089" i="20"/>
  <c r="B3088" i="20"/>
  <c r="B3087" i="20"/>
  <c r="B3086" i="20"/>
  <c r="B3085" i="20"/>
  <c r="B3084" i="20"/>
  <c r="B3083" i="20"/>
  <c r="B3082" i="20"/>
  <c r="B3081" i="20"/>
  <c r="B3080" i="20"/>
  <c r="B3079" i="20"/>
  <c r="B3078" i="20"/>
  <c r="B3077" i="20"/>
  <c r="B3076" i="20"/>
  <c r="B3075" i="20"/>
  <c r="B3074" i="20"/>
  <c r="B3073" i="20"/>
  <c r="B3072" i="20"/>
  <c r="B3071" i="20"/>
  <c r="B3070" i="20"/>
  <c r="B3069" i="20"/>
  <c r="B3068" i="20"/>
  <c r="B3067" i="20"/>
  <c r="B3066" i="20"/>
  <c r="B3065" i="20"/>
  <c r="B3064" i="20"/>
  <c r="B3063" i="20"/>
  <c r="B3062" i="20"/>
  <c r="B3061" i="20"/>
  <c r="B3060" i="20"/>
  <c r="B3059" i="20"/>
  <c r="B3058" i="20"/>
  <c r="B3057" i="20"/>
  <c r="B3056" i="20"/>
  <c r="B3055" i="20"/>
  <c r="B3054" i="20"/>
  <c r="B3053" i="20"/>
  <c r="B3052" i="20"/>
  <c r="B3051" i="20"/>
  <c r="B3050" i="20"/>
  <c r="B3049" i="20"/>
  <c r="B3048" i="20"/>
  <c r="B3047" i="20"/>
  <c r="B3046" i="20"/>
  <c r="B3045" i="20"/>
  <c r="B3044" i="20"/>
  <c r="B3043" i="20"/>
  <c r="B3042" i="20"/>
  <c r="B3041" i="20"/>
  <c r="B3040" i="20"/>
  <c r="B3039" i="20"/>
  <c r="B3038" i="20"/>
  <c r="B3037" i="20"/>
  <c r="B3036" i="20"/>
  <c r="B3035" i="20"/>
  <c r="B3034" i="20"/>
  <c r="B3033" i="20"/>
  <c r="B3032" i="20"/>
  <c r="B3031" i="20"/>
  <c r="B3030" i="20"/>
  <c r="B3029" i="20"/>
  <c r="B3028" i="20"/>
  <c r="B3027" i="20"/>
  <c r="B3026" i="20"/>
  <c r="B3025" i="20"/>
  <c r="B3024" i="20"/>
  <c r="B3023" i="20"/>
  <c r="B3022" i="20"/>
  <c r="B3021" i="20"/>
  <c r="B3020" i="20"/>
  <c r="B3019" i="20"/>
  <c r="B3018" i="20"/>
  <c r="B3017" i="20"/>
  <c r="B3016" i="20"/>
  <c r="B3015" i="20"/>
  <c r="B3014" i="20"/>
  <c r="B3013" i="20"/>
  <c r="B3012" i="20"/>
  <c r="B3011" i="20"/>
  <c r="B3010" i="20"/>
  <c r="B3009" i="20"/>
  <c r="B3008" i="20"/>
  <c r="B3007" i="20"/>
  <c r="B3006" i="20"/>
  <c r="B3005" i="20"/>
  <c r="B3004" i="20"/>
  <c r="B3003" i="20"/>
  <c r="B3002" i="20"/>
  <c r="B3001" i="20"/>
  <c r="B3000" i="20"/>
  <c r="B2999" i="20"/>
  <c r="B2998" i="20"/>
  <c r="B2997" i="20"/>
  <c r="B2996" i="20"/>
  <c r="B2995" i="20"/>
  <c r="B2994" i="20"/>
  <c r="B2993" i="20"/>
  <c r="B2992" i="20"/>
  <c r="B2991" i="20"/>
  <c r="B2990" i="20"/>
  <c r="B2989" i="20"/>
  <c r="B2988" i="20"/>
  <c r="B2987" i="20"/>
  <c r="B2986" i="20"/>
  <c r="B2985" i="20"/>
  <c r="B2984" i="20"/>
  <c r="B2983" i="20"/>
  <c r="B2982" i="20"/>
  <c r="B2981" i="20"/>
  <c r="B2980" i="20"/>
  <c r="B2979" i="20"/>
  <c r="B2978" i="20"/>
  <c r="B2977" i="20"/>
  <c r="B2976" i="20"/>
  <c r="B2975" i="20"/>
  <c r="B2974" i="20"/>
  <c r="B2973" i="20"/>
  <c r="B2972" i="20"/>
  <c r="B2971" i="20"/>
  <c r="B2970" i="20"/>
  <c r="B2969" i="20"/>
  <c r="B2968" i="20"/>
  <c r="B2967" i="20"/>
  <c r="B2966" i="20"/>
  <c r="B2965" i="20"/>
  <c r="B2964" i="20"/>
  <c r="B2963" i="20"/>
  <c r="B2962" i="20"/>
  <c r="B2961" i="20"/>
  <c r="B2960" i="20"/>
  <c r="B2959" i="20"/>
  <c r="B2958" i="20"/>
  <c r="B2957" i="20"/>
  <c r="B2956" i="20"/>
  <c r="B2955" i="20"/>
  <c r="B2954" i="20"/>
  <c r="B2953" i="20"/>
  <c r="B2952" i="20"/>
  <c r="B2951" i="20"/>
  <c r="B2950" i="20"/>
  <c r="B2949" i="20"/>
  <c r="B2948" i="20"/>
  <c r="B2947" i="20"/>
  <c r="B2946" i="20"/>
  <c r="B2945" i="20"/>
  <c r="B2944" i="20"/>
  <c r="B2943" i="20"/>
  <c r="B2942" i="20"/>
  <c r="B2941" i="20"/>
  <c r="B2940" i="20"/>
  <c r="B2939" i="20"/>
  <c r="B2938" i="20"/>
  <c r="B2937" i="20"/>
  <c r="B2936" i="20"/>
  <c r="B2935" i="20"/>
  <c r="B2934" i="20"/>
  <c r="B2933" i="20"/>
  <c r="B2932" i="20"/>
  <c r="B2931" i="20"/>
  <c r="B2930" i="20"/>
  <c r="B2929" i="20"/>
  <c r="B2928" i="20"/>
  <c r="B2927" i="20"/>
  <c r="B2926" i="20"/>
  <c r="B2925" i="20"/>
  <c r="B2924" i="20"/>
  <c r="B2923" i="20"/>
  <c r="B2922" i="20"/>
  <c r="B2921" i="20"/>
  <c r="B2920" i="20"/>
  <c r="B2919" i="20"/>
  <c r="B2918" i="20"/>
  <c r="B2917" i="20"/>
  <c r="B2916" i="20"/>
  <c r="B2915" i="20"/>
  <c r="B2914" i="20"/>
  <c r="B2913" i="20"/>
  <c r="B2912" i="20"/>
  <c r="B2911" i="20"/>
  <c r="B2910" i="20"/>
  <c r="B2909" i="20"/>
  <c r="B2908" i="20"/>
  <c r="B2907" i="20"/>
  <c r="B2906" i="20"/>
  <c r="B2905" i="20"/>
  <c r="B2904" i="20"/>
  <c r="B2903" i="20"/>
  <c r="B2902" i="20"/>
  <c r="B2901" i="20"/>
  <c r="B2900" i="20"/>
  <c r="B2899" i="20"/>
  <c r="B2898" i="20"/>
  <c r="B2897" i="20"/>
  <c r="B2896" i="20"/>
  <c r="B2895" i="20"/>
  <c r="B2894" i="20"/>
  <c r="B2893" i="20"/>
  <c r="B2892" i="20"/>
  <c r="B2891" i="20"/>
  <c r="B2890" i="20"/>
  <c r="B2889" i="20"/>
  <c r="B2888" i="20"/>
  <c r="B2887" i="20"/>
  <c r="B2886" i="20"/>
  <c r="B2885" i="20"/>
  <c r="B2884" i="20"/>
  <c r="B2883" i="20"/>
  <c r="B2882" i="20"/>
  <c r="B2881" i="20"/>
  <c r="B2880" i="20"/>
  <c r="B2879" i="20"/>
  <c r="B2878" i="20"/>
  <c r="B2877" i="20"/>
  <c r="B2876" i="20"/>
  <c r="B2875" i="20"/>
  <c r="B2874" i="20"/>
  <c r="B2873" i="20"/>
  <c r="B2872" i="20"/>
  <c r="B2871" i="20"/>
  <c r="B2870" i="20"/>
  <c r="B2869" i="20"/>
  <c r="B2868" i="20"/>
  <c r="B2867" i="20"/>
  <c r="B2866" i="20"/>
  <c r="B2865" i="20"/>
  <c r="B2864" i="20"/>
  <c r="B2863" i="20"/>
  <c r="B2862" i="20"/>
  <c r="B2861" i="20"/>
  <c r="B2860" i="20"/>
  <c r="B2859" i="20"/>
  <c r="B2858" i="20"/>
  <c r="B2857" i="20"/>
  <c r="B2856" i="20"/>
  <c r="B2855" i="20"/>
  <c r="B2854" i="20"/>
  <c r="B2853" i="20"/>
  <c r="B2852" i="20"/>
  <c r="B2851" i="20"/>
  <c r="B2850" i="20"/>
  <c r="B2849" i="20"/>
  <c r="B2848" i="20"/>
  <c r="B2847" i="20"/>
  <c r="B2846" i="20"/>
  <c r="B2845" i="20"/>
  <c r="B2844" i="20"/>
  <c r="B2843" i="20"/>
  <c r="B2842" i="20"/>
  <c r="B2841" i="20"/>
  <c r="B2840" i="20"/>
  <c r="B2839" i="20"/>
  <c r="B2838" i="20"/>
  <c r="B2837" i="20"/>
  <c r="B2836" i="20"/>
  <c r="B2835" i="20"/>
  <c r="B2834" i="20"/>
  <c r="B2833" i="20"/>
  <c r="B2832" i="20"/>
  <c r="B2831" i="20"/>
  <c r="B2830" i="20"/>
  <c r="B2829" i="20"/>
  <c r="B2828" i="20"/>
  <c r="B2827" i="20"/>
  <c r="B2826" i="20"/>
  <c r="B2825" i="20"/>
  <c r="B2824" i="20"/>
  <c r="B2823" i="20"/>
  <c r="B2822" i="20"/>
  <c r="B2821" i="20"/>
  <c r="B2820" i="20"/>
  <c r="B2819" i="20"/>
  <c r="B2818" i="20"/>
  <c r="B2817" i="20"/>
  <c r="B2816" i="20"/>
  <c r="B2815" i="20"/>
  <c r="B2814" i="20"/>
  <c r="B2813" i="20"/>
  <c r="B2812" i="20"/>
  <c r="B2811" i="20"/>
  <c r="B2810" i="20"/>
  <c r="B2809" i="20"/>
  <c r="B2808" i="20"/>
  <c r="B2807" i="20"/>
  <c r="B2806" i="20"/>
  <c r="B2805" i="20"/>
  <c r="B2804" i="20"/>
  <c r="B2803" i="20"/>
  <c r="B2802" i="20"/>
  <c r="B2801" i="20"/>
  <c r="B2800" i="20"/>
  <c r="B2799" i="20"/>
  <c r="B2798" i="20"/>
  <c r="B2797" i="20"/>
  <c r="B2796" i="20"/>
  <c r="B2795" i="20"/>
  <c r="B2794" i="20"/>
  <c r="B2793" i="20"/>
  <c r="B2792" i="20"/>
  <c r="B2791" i="20"/>
  <c r="B2790" i="20"/>
  <c r="B2789" i="20"/>
  <c r="B2788" i="20"/>
  <c r="B2787" i="20"/>
  <c r="B2786" i="20"/>
  <c r="B2785" i="20"/>
  <c r="B2784" i="20"/>
  <c r="B2783" i="20"/>
  <c r="B2782" i="20"/>
  <c r="B2781" i="20"/>
  <c r="B2780" i="20"/>
  <c r="B2779" i="20"/>
  <c r="B2778" i="20"/>
  <c r="B2777" i="20"/>
  <c r="B2776" i="20"/>
  <c r="B2775" i="20"/>
  <c r="B2774" i="20"/>
  <c r="B2773" i="20"/>
  <c r="B2772" i="20"/>
  <c r="B2771" i="20"/>
  <c r="B2770" i="20"/>
  <c r="B2769" i="20"/>
  <c r="B2768" i="20"/>
  <c r="B2767" i="20"/>
  <c r="B2766" i="20"/>
  <c r="B2765" i="20"/>
  <c r="B2764" i="20"/>
  <c r="B2763" i="20"/>
  <c r="B2762" i="20"/>
  <c r="B2761" i="20"/>
  <c r="B2760" i="20"/>
  <c r="B2759" i="20"/>
  <c r="B2758" i="20"/>
  <c r="B2757" i="20"/>
  <c r="B2756" i="20"/>
  <c r="B2755" i="20"/>
  <c r="B2754" i="20"/>
  <c r="B2753" i="20"/>
  <c r="B2752" i="20"/>
  <c r="B2751" i="20"/>
  <c r="B2750" i="20"/>
  <c r="B2749" i="20"/>
  <c r="B2748" i="20"/>
  <c r="B2747" i="20"/>
  <c r="B2746" i="20"/>
  <c r="B2745" i="20"/>
  <c r="B2744" i="20"/>
  <c r="B2743" i="20"/>
  <c r="B2742" i="20"/>
  <c r="B2741" i="20"/>
  <c r="B2740" i="20"/>
  <c r="B2739" i="20"/>
  <c r="B2738" i="20"/>
  <c r="B2737" i="20"/>
  <c r="B2736" i="20"/>
  <c r="B2735" i="20"/>
  <c r="B2734" i="20"/>
  <c r="B2733" i="20"/>
  <c r="B2732" i="20"/>
  <c r="B2731" i="20"/>
  <c r="B2730" i="20"/>
  <c r="B2729" i="20"/>
  <c r="B2728" i="20"/>
  <c r="B2727" i="20"/>
  <c r="B2726" i="20"/>
  <c r="B2725" i="20"/>
  <c r="B2724" i="20"/>
  <c r="B2723" i="20"/>
  <c r="B2722" i="20"/>
  <c r="B2721" i="20"/>
  <c r="B2720" i="20"/>
  <c r="B2719" i="20"/>
  <c r="B2718" i="20"/>
  <c r="B2717" i="20"/>
  <c r="B2716" i="20"/>
  <c r="B2715" i="20"/>
  <c r="B2714" i="20"/>
  <c r="B2713" i="20"/>
  <c r="B2712" i="20"/>
  <c r="B2711" i="20"/>
  <c r="B2710" i="20"/>
  <c r="B2709" i="20"/>
  <c r="B2708" i="20"/>
  <c r="B2707" i="20"/>
  <c r="B2706" i="20"/>
  <c r="B2705" i="20"/>
  <c r="B2704" i="20"/>
  <c r="B2703" i="20"/>
  <c r="B2702" i="20"/>
  <c r="B2701" i="20"/>
  <c r="B2700" i="20"/>
  <c r="B2699" i="20"/>
  <c r="B2698" i="20"/>
  <c r="B2697" i="20"/>
  <c r="B2696" i="20"/>
  <c r="B2695" i="20"/>
  <c r="B2694" i="20"/>
  <c r="B2693" i="20"/>
  <c r="B2692" i="20"/>
  <c r="B2691" i="20"/>
  <c r="B2690" i="20"/>
  <c r="B2689" i="20"/>
  <c r="B2688" i="20"/>
  <c r="B2687" i="20"/>
  <c r="B2686" i="20"/>
  <c r="B2685" i="20"/>
  <c r="B2684" i="20"/>
  <c r="B2683" i="20"/>
  <c r="B2682" i="20"/>
  <c r="B2681" i="20"/>
  <c r="B2680" i="20"/>
  <c r="B2679" i="20"/>
  <c r="B2678" i="20"/>
  <c r="B2677" i="20"/>
  <c r="B2676" i="20"/>
  <c r="B2675" i="20"/>
  <c r="B2674" i="20"/>
  <c r="B2673" i="20"/>
  <c r="B2672" i="20"/>
  <c r="B2671" i="20"/>
  <c r="B2670" i="20"/>
  <c r="B2669" i="20"/>
  <c r="B2668" i="20"/>
  <c r="B2667" i="20"/>
  <c r="B2666" i="20"/>
  <c r="B2665" i="20"/>
  <c r="B2664" i="20"/>
  <c r="B2663" i="20"/>
  <c r="B2662" i="20"/>
  <c r="B2661" i="20"/>
  <c r="B2660" i="20"/>
  <c r="B2659" i="20"/>
  <c r="B2658" i="20"/>
  <c r="B2657" i="20"/>
  <c r="B2656" i="20"/>
  <c r="B2655" i="20"/>
  <c r="B2654" i="20"/>
  <c r="B2653" i="20"/>
  <c r="B2652" i="20"/>
  <c r="B2651" i="20"/>
  <c r="B2650" i="20"/>
  <c r="B2649" i="20"/>
  <c r="B2648" i="20"/>
  <c r="B2647" i="20"/>
  <c r="B2646" i="20"/>
  <c r="B2645" i="20"/>
  <c r="B2644" i="20"/>
  <c r="B2643" i="20"/>
  <c r="B2642" i="20"/>
  <c r="B2641" i="20"/>
  <c r="B2640" i="20"/>
  <c r="B2639" i="20"/>
  <c r="B2638" i="20"/>
  <c r="B2637" i="20"/>
  <c r="B2636" i="20"/>
  <c r="B2635" i="20"/>
  <c r="B2634" i="20"/>
  <c r="B2633" i="20"/>
  <c r="B2632" i="20"/>
  <c r="B2631" i="20"/>
  <c r="B2630" i="20"/>
  <c r="B2629" i="20"/>
  <c r="B2628" i="20"/>
  <c r="B2627" i="20"/>
  <c r="B2626" i="20"/>
  <c r="B2625" i="20"/>
  <c r="B2624" i="20"/>
  <c r="B2623" i="20"/>
  <c r="B2622" i="20"/>
  <c r="B2621" i="20"/>
  <c r="B2620" i="20"/>
  <c r="B2619" i="20"/>
  <c r="B2618" i="20"/>
  <c r="B2617" i="20"/>
  <c r="B2616" i="20"/>
  <c r="B2615" i="20"/>
  <c r="B2614" i="20"/>
  <c r="B2613" i="20"/>
  <c r="B2612" i="20"/>
  <c r="B2611" i="20"/>
  <c r="B2610" i="20"/>
  <c r="B2609" i="20"/>
  <c r="B2608" i="20"/>
  <c r="B2607" i="20"/>
  <c r="B2606" i="20"/>
  <c r="B2605" i="20"/>
  <c r="B2604" i="20"/>
  <c r="B2603" i="20"/>
  <c r="B2602" i="20"/>
  <c r="B2601" i="20"/>
  <c r="B2600" i="20"/>
  <c r="B2599" i="20"/>
  <c r="B2598" i="20"/>
  <c r="B2597" i="20"/>
  <c r="B2596" i="20"/>
  <c r="B2595" i="20"/>
  <c r="B2594" i="20"/>
  <c r="B2593" i="20"/>
  <c r="B2592" i="20"/>
  <c r="B2591" i="20"/>
  <c r="B2590" i="20"/>
  <c r="B2589" i="20"/>
  <c r="B2588" i="20"/>
  <c r="B2587" i="20"/>
  <c r="B2586" i="20"/>
  <c r="B2585" i="20"/>
  <c r="B2584" i="20"/>
  <c r="B2583" i="20"/>
  <c r="B2582" i="20"/>
  <c r="B2581" i="20"/>
  <c r="B2580" i="20"/>
  <c r="B2579" i="20"/>
  <c r="B2578" i="20"/>
  <c r="B2577" i="20"/>
  <c r="B2576" i="20"/>
  <c r="B2575" i="20"/>
  <c r="B2574" i="20"/>
  <c r="B2573" i="20"/>
  <c r="B2572" i="20"/>
  <c r="B2571" i="20"/>
  <c r="B2570" i="20"/>
  <c r="B2569" i="20"/>
  <c r="B2568" i="20"/>
  <c r="B2567" i="20"/>
  <c r="B2566" i="20"/>
  <c r="B2565" i="20"/>
  <c r="B2564" i="20"/>
  <c r="B2563" i="20"/>
  <c r="B2562" i="20"/>
  <c r="B2561" i="20"/>
  <c r="B2560" i="20"/>
  <c r="B2559" i="20"/>
  <c r="B2558" i="20"/>
  <c r="B2557" i="20"/>
  <c r="B2556" i="20"/>
  <c r="B2555" i="20"/>
  <c r="B2554" i="20"/>
  <c r="B2553" i="20"/>
  <c r="B2552" i="20"/>
  <c r="B2551" i="20"/>
  <c r="B2550" i="20"/>
  <c r="B2549" i="20"/>
  <c r="B2548" i="20"/>
  <c r="B2547" i="20"/>
  <c r="B2546" i="20"/>
  <c r="B2545" i="20"/>
  <c r="B2544" i="20"/>
  <c r="B2543" i="20"/>
  <c r="B2542" i="20"/>
  <c r="B2541" i="20"/>
  <c r="B2540" i="20"/>
  <c r="B2539" i="20"/>
  <c r="B2538" i="20"/>
  <c r="B2537" i="20"/>
  <c r="B2536" i="20"/>
  <c r="B2535" i="20"/>
  <c r="B2534" i="20"/>
  <c r="B2533" i="20"/>
  <c r="B2532" i="20"/>
  <c r="B2531" i="20"/>
  <c r="B2530" i="20"/>
  <c r="B2529" i="20"/>
  <c r="B2528" i="20"/>
  <c r="B2527" i="20"/>
  <c r="B2526" i="20"/>
  <c r="B2525" i="20"/>
  <c r="B2524" i="20"/>
  <c r="B2523" i="20"/>
  <c r="B2522" i="20"/>
  <c r="B2521" i="20"/>
  <c r="B2520" i="20"/>
  <c r="B2519" i="20"/>
  <c r="B2518" i="20"/>
  <c r="B2517" i="20"/>
  <c r="B2516" i="20"/>
  <c r="B2515" i="20"/>
  <c r="B2514" i="20"/>
  <c r="B2513" i="20"/>
  <c r="B2512" i="20"/>
  <c r="B2511" i="20"/>
  <c r="B2510" i="20"/>
  <c r="B2509" i="20"/>
  <c r="B2508" i="20"/>
  <c r="B2507" i="20"/>
  <c r="B2506" i="20"/>
  <c r="B2505" i="20"/>
  <c r="B2504" i="20"/>
  <c r="B2503" i="20"/>
  <c r="B2502" i="20"/>
  <c r="B2501" i="20"/>
  <c r="B2500" i="20"/>
  <c r="B2499" i="20"/>
  <c r="B2498" i="20"/>
  <c r="B2497" i="20"/>
  <c r="B2496" i="20"/>
  <c r="B2495" i="20"/>
  <c r="B2494" i="20"/>
  <c r="B2493" i="20"/>
  <c r="B2492" i="20"/>
  <c r="B2491" i="20"/>
  <c r="B2490" i="20"/>
  <c r="B2489" i="20"/>
  <c r="B2488" i="20"/>
  <c r="B2487" i="20"/>
  <c r="B2486" i="20"/>
  <c r="B2485" i="20"/>
  <c r="B2484" i="20"/>
  <c r="B2483" i="20"/>
  <c r="B2482" i="20"/>
  <c r="B2481" i="20"/>
  <c r="B2480" i="20"/>
  <c r="B2479" i="20"/>
  <c r="B2478" i="20"/>
  <c r="B2477" i="20"/>
  <c r="B2476" i="20"/>
  <c r="B2475" i="20"/>
  <c r="B2474" i="20"/>
  <c r="B2473" i="20"/>
  <c r="B2472" i="20"/>
  <c r="B2471" i="20"/>
  <c r="B2470" i="20"/>
  <c r="B2469" i="20"/>
  <c r="B2468" i="20"/>
  <c r="B2467" i="20"/>
  <c r="B2466" i="20"/>
  <c r="B2465" i="20"/>
  <c r="B2464" i="20"/>
  <c r="B2463" i="20"/>
  <c r="B2462" i="20"/>
  <c r="B2461" i="20"/>
  <c r="B2460" i="20"/>
  <c r="B2459" i="20"/>
  <c r="B2458" i="20"/>
  <c r="B2457" i="20"/>
  <c r="B2456" i="20"/>
  <c r="B2455" i="20"/>
  <c r="B2454" i="20"/>
  <c r="B2453" i="20"/>
  <c r="B2452" i="20"/>
  <c r="B2451" i="20"/>
  <c r="B2450" i="20"/>
  <c r="B2449" i="20"/>
  <c r="B2448" i="20"/>
  <c r="B2447" i="20"/>
  <c r="B2446" i="20"/>
  <c r="B2445" i="20"/>
  <c r="B2444" i="20"/>
  <c r="B2443" i="20"/>
  <c r="B2442" i="20"/>
  <c r="B2441" i="20"/>
  <c r="B2440" i="20"/>
  <c r="B2439" i="20"/>
  <c r="B2438" i="20"/>
  <c r="B2437" i="20"/>
  <c r="B2436" i="20"/>
  <c r="B2435" i="20"/>
  <c r="B2434" i="20"/>
  <c r="B2433" i="20"/>
  <c r="B2432" i="20"/>
  <c r="B2431" i="20"/>
  <c r="B2430" i="20"/>
  <c r="B2429" i="20"/>
  <c r="B2428" i="20"/>
  <c r="B2427" i="20"/>
  <c r="B2426" i="20"/>
  <c r="B2425" i="20"/>
  <c r="B2424" i="20"/>
  <c r="B2423" i="20"/>
  <c r="B2422" i="20"/>
  <c r="B2421" i="20"/>
  <c r="B2420" i="20"/>
  <c r="B2419" i="20"/>
  <c r="B2418" i="20"/>
  <c r="B2417" i="20"/>
  <c r="B2416" i="20"/>
  <c r="B2415" i="20"/>
  <c r="B2414" i="20"/>
  <c r="B2413" i="20"/>
  <c r="B2412" i="20"/>
  <c r="B2411" i="20"/>
  <c r="B2410" i="20"/>
  <c r="B2409" i="20"/>
  <c r="B2408" i="20"/>
  <c r="B2407" i="20"/>
  <c r="B2406" i="20"/>
  <c r="B2405" i="20"/>
  <c r="B2404" i="20"/>
  <c r="B2403" i="20"/>
  <c r="B2402" i="20"/>
  <c r="B2401" i="20"/>
  <c r="B2400" i="20"/>
  <c r="B2399" i="20"/>
  <c r="B2398" i="20"/>
  <c r="B2397" i="20"/>
  <c r="B2396" i="20"/>
  <c r="B2395" i="20"/>
  <c r="B2394" i="20"/>
  <c r="B2393" i="20"/>
  <c r="B2392" i="20"/>
  <c r="B2391" i="20"/>
  <c r="B2390" i="20"/>
  <c r="B2389" i="20"/>
  <c r="B2388" i="20"/>
  <c r="B2387" i="20"/>
  <c r="B2386" i="20"/>
  <c r="B2385" i="20"/>
  <c r="B2384" i="20"/>
  <c r="B2383" i="20"/>
  <c r="B2382" i="20"/>
  <c r="B2381" i="20"/>
  <c r="B2380" i="20"/>
  <c r="B2379" i="20"/>
  <c r="B2378" i="20"/>
  <c r="B2377" i="20"/>
  <c r="B2376" i="20"/>
  <c r="B2375" i="20"/>
  <c r="B2374" i="20"/>
  <c r="B2373" i="20"/>
  <c r="B2372" i="20"/>
  <c r="B2371" i="20"/>
  <c r="B2370" i="20"/>
  <c r="B2369" i="20"/>
  <c r="B2368" i="20"/>
  <c r="B2367" i="20"/>
  <c r="B2366" i="20"/>
  <c r="B2365" i="20"/>
  <c r="B2364" i="20"/>
  <c r="B2363" i="20"/>
  <c r="B2362" i="20"/>
  <c r="B2361" i="20"/>
  <c r="B2360" i="20"/>
  <c r="B2359" i="20"/>
  <c r="B2358" i="20"/>
  <c r="B2357" i="20"/>
  <c r="B2356" i="20"/>
  <c r="B2355" i="20"/>
  <c r="B2354" i="20"/>
  <c r="B2353" i="20"/>
  <c r="B2352" i="20"/>
  <c r="B2351" i="20"/>
  <c r="B2350" i="20"/>
  <c r="B2349" i="20"/>
  <c r="B2348" i="20"/>
  <c r="B2347" i="20"/>
  <c r="B2346" i="20"/>
  <c r="B2345" i="20"/>
  <c r="B2344" i="20"/>
  <c r="B2343" i="20"/>
  <c r="B2342" i="20"/>
  <c r="B2341" i="20"/>
  <c r="B2340" i="20"/>
  <c r="B2339" i="20"/>
  <c r="B2338" i="20"/>
  <c r="B2337" i="20"/>
  <c r="B2336" i="20"/>
  <c r="B2335" i="20"/>
  <c r="B2334" i="20"/>
  <c r="B2333" i="20"/>
  <c r="B2332" i="20"/>
  <c r="B2331" i="20"/>
  <c r="B2330" i="20"/>
  <c r="B2329" i="20"/>
  <c r="B2328" i="20"/>
  <c r="B2327" i="20"/>
  <c r="B2326" i="20"/>
  <c r="B2325" i="20"/>
  <c r="B2324" i="20"/>
  <c r="B2323" i="20"/>
  <c r="B2322" i="20"/>
  <c r="B2321" i="20"/>
  <c r="B2320" i="20"/>
  <c r="B2319" i="20"/>
  <c r="B2318" i="20"/>
  <c r="B2317" i="20"/>
  <c r="B2316" i="20"/>
  <c r="B2315" i="20"/>
  <c r="B2314" i="20"/>
  <c r="B2313" i="20"/>
  <c r="B2312" i="20"/>
  <c r="B2311" i="20"/>
  <c r="B2310" i="20"/>
  <c r="B2309" i="20"/>
  <c r="B2308" i="20"/>
  <c r="B2307" i="20"/>
  <c r="B2306" i="20"/>
  <c r="B2305" i="20"/>
  <c r="B2304" i="20"/>
  <c r="B2303" i="20"/>
  <c r="B2302" i="20"/>
  <c r="B2301" i="20"/>
  <c r="B2300" i="20"/>
  <c r="B2299" i="20"/>
  <c r="B2298" i="20"/>
  <c r="B2297" i="20"/>
  <c r="B2296" i="20"/>
  <c r="B2295" i="20"/>
  <c r="B2294" i="20"/>
  <c r="B2293" i="20"/>
  <c r="B2292" i="20"/>
  <c r="B2291" i="20"/>
  <c r="B2290" i="20"/>
  <c r="B2289" i="20"/>
  <c r="B2288" i="20"/>
  <c r="B2287" i="20"/>
  <c r="B2286" i="20"/>
  <c r="B2285" i="20"/>
  <c r="B2284" i="20"/>
  <c r="B2283" i="20"/>
  <c r="B2282" i="20"/>
  <c r="B2281" i="20"/>
  <c r="B2280" i="20"/>
  <c r="B2279" i="20"/>
  <c r="B2278" i="20"/>
  <c r="B2277" i="20"/>
  <c r="B2276" i="20"/>
  <c r="B2275" i="20"/>
  <c r="B2274" i="20"/>
  <c r="B2273" i="20"/>
  <c r="B2272" i="20"/>
  <c r="B2271" i="20"/>
  <c r="B2270" i="20"/>
  <c r="B2269" i="20"/>
  <c r="B2268" i="20"/>
  <c r="B2267" i="20"/>
  <c r="B2266" i="20"/>
  <c r="B2265" i="20"/>
  <c r="B2264" i="20"/>
  <c r="B2263" i="20"/>
  <c r="B2262" i="20"/>
  <c r="B2261" i="20"/>
  <c r="B2260" i="20"/>
  <c r="B2259" i="20"/>
  <c r="B2258" i="20"/>
  <c r="B2257" i="20"/>
  <c r="B2256" i="20"/>
  <c r="B2255" i="20"/>
  <c r="B2254" i="20"/>
  <c r="B2253" i="20"/>
  <c r="B2252" i="20"/>
  <c r="B2251" i="20"/>
  <c r="B2250" i="20"/>
  <c r="B2249" i="20"/>
  <c r="B2248" i="20"/>
  <c r="B2247" i="20"/>
  <c r="B2246" i="20"/>
  <c r="B2245" i="20"/>
  <c r="B2244" i="20"/>
  <c r="B2243" i="20"/>
  <c r="B2242" i="20"/>
  <c r="B2241" i="20"/>
  <c r="B2240" i="20"/>
  <c r="B2239" i="20"/>
  <c r="B2238" i="20"/>
  <c r="B2237" i="20"/>
  <c r="B2236" i="20"/>
  <c r="B2235" i="20"/>
  <c r="B2234" i="20"/>
  <c r="B2233" i="20"/>
  <c r="B2232" i="20"/>
  <c r="B2231" i="20"/>
  <c r="B2230" i="20"/>
  <c r="B2229" i="20"/>
  <c r="B2228" i="20"/>
  <c r="B2227" i="20"/>
  <c r="B2226" i="20"/>
  <c r="B2225" i="20"/>
  <c r="B2224" i="20"/>
  <c r="B2223" i="20"/>
  <c r="B2222" i="20"/>
  <c r="B2221" i="20"/>
  <c r="B2220" i="20"/>
  <c r="B2219" i="20"/>
  <c r="B2218" i="20"/>
  <c r="B2217" i="20"/>
  <c r="B2216" i="20"/>
  <c r="B2215" i="20"/>
  <c r="B2214" i="20"/>
  <c r="B2213" i="20"/>
  <c r="B2212" i="20"/>
  <c r="B2211" i="20"/>
  <c r="B2210" i="20"/>
  <c r="B2209" i="20"/>
  <c r="B2208" i="20"/>
  <c r="B2207" i="20"/>
  <c r="B2206" i="20"/>
  <c r="B2205" i="20"/>
  <c r="B2204" i="20"/>
  <c r="B2203" i="20"/>
  <c r="B2202" i="20"/>
  <c r="B2201" i="20"/>
  <c r="B2200" i="20"/>
  <c r="B2199" i="20"/>
  <c r="B2198" i="20"/>
  <c r="B2197" i="20"/>
  <c r="B2196" i="20"/>
  <c r="B2195" i="20"/>
  <c r="B2194" i="20"/>
  <c r="B2193" i="20"/>
  <c r="B2192" i="20"/>
  <c r="B2191" i="20"/>
  <c r="B2190" i="20"/>
  <c r="B2189" i="20"/>
  <c r="B2188" i="20"/>
  <c r="B2187" i="20"/>
  <c r="B2186" i="20"/>
  <c r="B2185" i="20"/>
  <c r="B2184" i="20"/>
  <c r="B2183" i="20"/>
  <c r="B2182" i="20"/>
  <c r="B2181" i="20"/>
  <c r="B2180" i="20"/>
  <c r="B2179" i="20"/>
  <c r="B2178" i="20"/>
  <c r="B2177" i="20"/>
  <c r="B2176" i="20"/>
  <c r="B2175" i="20"/>
  <c r="B2174" i="20"/>
  <c r="B2173" i="20"/>
  <c r="B2172" i="20"/>
  <c r="B2171" i="20"/>
  <c r="B2170" i="20"/>
  <c r="B2169" i="20"/>
  <c r="B2168" i="20"/>
  <c r="B2167" i="20"/>
  <c r="B2166" i="20"/>
  <c r="B2165" i="20"/>
  <c r="B2164" i="20"/>
  <c r="B2163" i="20"/>
  <c r="B2162" i="20"/>
  <c r="B2161" i="20"/>
  <c r="B2160" i="20"/>
  <c r="B2159" i="20"/>
  <c r="B2158" i="20"/>
  <c r="B2157" i="20"/>
  <c r="B2156" i="20"/>
  <c r="B2155" i="20"/>
  <c r="B2154" i="20"/>
  <c r="B2153" i="20"/>
  <c r="B2152" i="20"/>
  <c r="B2151" i="20"/>
  <c r="B2150" i="20"/>
  <c r="B2149" i="20"/>
  <c r="B2148" i="20"/>
  <c r="B2147" i="20"/>
  <c r="B2146" i="20"/>
  <c r="B2145" i="20"/>
  <c r="B2144" i="20"/>
  <c r="B2143" i="20"/>
  <c r="B2142" i="20"/>
  <c r="B2141" i="20"/>
  <c r="B2140" i="20"/>
  <c r="B2139" i="20"/>
  <c r="B2138" i="20"/>
  <c r="B2137" i="20"/>
  <c r="B2136" i="20"/>
  <c r="B2135" i="20"/>
  <c r="B2134" i="20"/>
  <c r="B2133" i="20"/>
  <c r="B2132" i="20"/>
  <c r="B2131" i="20"/>
  <c r="B2130" i="20"/>
  <c r="B2129" i="20"/>
  <c r="B2128" i="20"/>
  <c r="B2127" i="20"/>
  <c r="B2126" i="20"/>
  <c r="B2125" i="20"/>
  <c r="B2124" i="20"/>
  <c r="B2123" i="20"/>
  <c r="B2122" i="20"/>
  <c r="B2121" i="20"/>
  <c r="B2120" i="20"/>
  <c r="B2119" i="20"/>
  <c r="B2118" i="20"/>
  <c r="B2117" i="20"/>
  <c r="B2116" i="20"/>
  <c r="B2115" i="20"/>
  <c r="B2114" i="20"/>
  <c r="B2113" i="20"/>
  <c r="B2112" i="20"/>
  <c r="B2111" i="20"/>
  <c r="B2110" i="20"/>
  <c r="B2109" i="20"/>
  <c r="B2108" i="20"/>
  <c r="B2107" i="20"/>
  <c r="B2106" i="20"/>
  <c r="B2105" i="20"/>
  <c r="B2104" i="20"/>
  <c r="B2103" i="20"/>
  <c r="B2102" i="20"/>
  <c r="B2101" i="20"/>
  <c r="B2100" i="20"/>
  <c r="B2099" i="20"/>
  <c r="B2098" i="20"/>
  <c r="B2097" i="20"/>
  <c r="B2096" i="20"/>
  <c r="B2095" i="20"/>
  <c r="B2094" i="20"/>
  <c r="B2093" i="20"/>
  <c r="B2092" i="20"/>
  <c r="B2091" i="20"/>
  <c r="B2090" i="20"/>
  <c r="B2089" i="20"/>
  <c r="B2088" i="20"/>
  <c r="B2087" i="20"/>
  <c r="B2086" i="20"/>
  <c r="B2085" i="20"/>
  <c r="B2084" i="20"/>
  <c r="B2083" i="20"/>
  <c r="B2082" i="20"/>
  <c r="B2081" i="20"/>
  <c r="B2080" i="20"/>
  <c r="B2079" i="20"/>
  <c r="B2078" i="20"/>
  <c r="B2077" i="20"/>
  <c r="B2076" i="20"/>
  <c r="B2075" i="20"/>
  <c r="B2074" i="20"/>
  <c r="B2073" i="20"/>
  <c r="B2072" i="20"/>
  <c r="B2071" i="20"/>
  <c r="B2070" i="20"/>
  <c r="B2069" i="20"/>
  <c r="B2068" i="20"/>
  <c r="B2067" i="20"/>
  <c r="B2066" i="20"/>
  <c r="B2065" i="20"/>
  <c r="B2064" i="20"/>
  <c r="B2063" i="20"/>
  <c r="B2062" i="20"/>
  <c r="B2061" i="20"/>
  <c r="B2060" i="20"/>
  <c r="B2059" i="20"/>
  <c r="B2058" i="20"/>
  <c r="B2057" i="20"/>
  <c r="B2056" i="20"/>
  <c r="B2055" i="20"/>
  <c r="B2054" i="20"/>
  <c r="B2053" i="20"/>
  <c r="B2052" i="20"/>
  <c r="B2051" i="20"/>
  <c r="B2050" i="20"/>
  <c r="B2049" i="20"/>
  <c r="B2048" i="20"/>
  <c r="B2047" i="20"/>
  <c r="B2046" i="20"/>
  <c r="B2045" i="20"/>
  <c r="B2044" i="20"/>
  <c r="B2043" i="20"/>
  <c r="B2042" i="20"/>
  <c r="B2041" i="20"/>
  <c r="B2040" i="20"/>
  <c r="B2039" i="20"/>
  <c r="B2038" i="20"/>
  <c r="B2037" i="20"/>
  <c r="B2036" i="20"/>
  <c r="B2035" i="20"/>
  <c r="B2034" i="20"/>
  <c r="B2033" i="20"/>
  <c r="B2032" i="20"/>
  <c r="B2031" i="20"/>
  <c r="B2030" i="20"/>
  <c r="B2029" i="20"/>
  <c r="B2028" i="20"/>
  <c r="B2027" i="20"/>
  <c r="B2026" i="20"/>
  <c r="B2025" i="20"/>
  <c r="B2024" i="20"/>
  <c r="B2023" i="20"/>
  <c r="B2022" i="20"/>
  <c r="B2021" i="20"/>
  <c r="B2020" i="20"/>
  <c r="B2019" i="20"/>
  <c r="B2018" i="20"/>
  <c r="B2017" i="20"/>
  <c r="B2016" i="20"/>
  <c r="B2015" i="20"/>
  <c r="B2014" i="20"/>
  <c r="B2013" i="20"/>
  <c r="B2012" i="20"/>
  <c r="B2011" i="20"/>
  <c r="B2010" i="20"/>
  <c r="B2009" i="20"/>
  <c r="B2008" i="20"/>
  <c r="B2007" i="20"/>
  <c r="B2006" i="20"/>
  <c r="B2005" i="20"/>
  <c r="B2004" i="20"/>
  <c r="B2003" i="20"/>
  <c r="B2002" i="20"/>
  <c r="B2001" i="20"/>
  <c r="B2000" i="20"/>
  <c r="B1999" i="20"/>
  <c r="B1998" i="20"/>
  <c r="B1997" i="20"/>
  <c r="B1996" i="20"/>
  <c r="B1995" i="20"/>
  <c r="B1994" i="20"/>
  <c r="B1993" i="20"/>
  <c r="B1992" i="20"/>
  <c r="B1991" i="20"/>
  <c r="B1990" i="20"/>
  <c r="B1989" i="20"/>
  <c r="B1988" i="20"/>
  <c r="B1987" i="20"/>
  <c r="B1986" i="20"/>
  <c r="B1985" i="20"/>
  <c r="B1984" i="20"/>
  <c r="B1983" i="20"/>
  <c r="B1982" i="20"/>
  <c r="B1981" i="20"/>
  <c r="B1980" i="20"/>
  <c r="B1979" i="20"/>
  <c r="B1978" i="20"/>
  <c r="B1977" i="20"/>
  <c r="B1976" i="20"/>
  <c r="B1975" i="20"/>
  <c r="B1974" i="20"/>
  <c r="B1973" i="20"/>
  <c r="B1972" i="20"/>
  <c r="B1971" i="20"/>
  <c r="B1970" i="20"/>
  <c r="B1969" i="20"/>
  <c r="B1968" i="20"/>
  <c r="B1967" i="20"/>
  <c r="B1966" i="20"/>
  <c r="B1965" i="20"/>
  <c r="B1964" i="20"/>
  <c r="B1963" i="20"/>
  <c r="B1962" i="20"/>
  <c r="B1961" i="20"/>
  <c r="B1960" i="20"/>
  <c r="B1959" i="20"/>
  <c r="B1958" i="20"/>
  <c r="B1957" i="20"/>
  <c r="B1956" i="20"/>
  <c r="B1955" i="20"/>
  <c r="B1954" i="20"/>
  <c r="B1953" i="20"/>
  <c r="B1952" i="20"/>
  <c r="B1951" i="20"/>
  <c r="B1950" i="20"/>
  <c r="B1949" i="20"/>
  <c r="B1948" i="20"/>
  <c r="B1947" i="20"/>
  <c r="B1946" i="20"/>
  <c r="B1945" i="20"/>
  <c r="B1944" i="20"/>
  <c r="B1943" i="20"/>
  <c r="B1942" i="20"/>
  <c r="B1941" i="20"/>
  <c r="B1940" i="20"/>
  <c r="B1939" i="20"/>
  <c r="B1938" i="20"/>
  <c r="B1937" i="20"/>
  <c r="B1936" i="20"/>
  <c r="B1935" i="20"/>
  <c r="B1934" i="20"/>
  <c r="B1933" i="20"/>
  <c r="B1932" i="20"/>
  <c r="B1931" i="20"/>
  <c r="B1930" i="20"/>
  <c r="B1929" i="20"/>
  <c r="B1928" i="20"/>
  <c r="B1927" i="20"/>
  <c r="B1926" i="20"/>
  <c r="B1925" i="20"/>
  <c r="B1924" i="20"/>
  <c r="B1923" i="20"/>
  <c r="B1922" i="20"/>
  <c r="B1921" i="20"/>
  <c r="B1920" i="20"/>
  <c r="B1919" i="20"/>
  <c r="B1918" i="20"/>
  <c r="B1917" i="20"/>
  <c r="B1916" i="20"/>
  <c r="B1915" i="20"/>
  <c r="B1914" i="20"/>
  <c r="B1913" i="20"/>
  <c r="B1912" i="20"/>
  <c r="B1911" i="20"/>
  <c r="B1910" i="20"/>
  <c r="B1909" i="20"/>
  <c r="B1908" i="20"/>
  <c r="B1907" i="20"/>
  <c r="B1906" i="20"/>
  <c r="B1905" i="20"/>
  <c r="B1904" i="20"/>
  <c r="B1903" i="20"/>
  <c r="B1902" i="20"/>
  <c r="B1901" i="20"/>
  <c r="B1900" i="20"/>
  <c r="B1899" i="20"/>
  <c r="B1898" i="20"/>
  <c r="B1897" i="20"/>
  <c r="B1896" i="20"/>
  <c r="B1895" i="20"/>
  <c r="B1894" i="20"/>
  <c r="B1893" i="20"/>
  <c r="B1892" i="20"/>
  <c r="B1891" i="20"/>
  <c r="B1890" i="20"/>
  <c r="B1889" i="20"/>
  <c r="B1888" i="20"/>
  <c r="B1887" i="20"/>
  <c r="B1886" i="20"/>
  <c r="B1885" i="20"/>
  <c r="B1884" i="20"/>
  <c r="B1883" i="20"/>
  <c r="B1882" i="20"/>
  <c r="B1881" i="20"/>
  <c r="B1880" i="20"/>
  <c r="B1879" i="20"/>
  <c r="B1878" i="20"/>
  <c r="B1877" i="20"/>
  <c r="B1876" i="20"/>
  <c r="B1875" i="20"/>
  <c r="B1874" i="20"/>
  <c r="B1873" i="20"/>
  <c r="B1872" i="20"/>
  <c r="B1871" i="20"/>
  <c r="B1870" i="20"/>
  <c r="B1869" i="20"/>
  <c r="B1868" i="20"/>
  <c r="B1867" i="20"/>
  <c r="B1866" i="20"/>
  <c r="B1865" i="20"/>
  <c r="B1864" i="20"/>
  <c r="B1863" i="20"/>
  <c r="B1862" i="20"/>
  <c r="B1861" i="20"/>
  <c r="B1860" i="20"/>
  <c r="B1859" i="20"/>
  <c r="B1858" i="20"/>
  <c r="B1857" i="20"/>
  <c r="B1856" i="20"/>
  <c r="B1855" i="20"/>
  <c r="B1854" i="20"/>
  <c r="B1853" i="20"/>
  <c r="B1852" i="20"/>
  <c r="B1851" i="20"/>
  <c r="B1850" i="20"/>
  <c r="B1849" i="20"/>
  <c r="B1848" i="20"/>
  <c r="B1847" i="20"/>
  <c r="B1846" i="20"/>
  <c r="B1845" i="20"/>
  <c r="B1844" i="20"/>
  <c r="B1843" i="20"/>
  <c r="B1842" i="20"/>
  <c r="B1841" i="20"/>
  <c r="B1840" i="20"/>
  <c r="B1839" i="20"/>
  <c r="B1838" i="20"/>
  <c r="B1837" i="20"/>
  <c r="B1836" i="20"/>
  <c r="B1835" i="20"/>
  <c r="B1834" i="20"/>
  <c r="B1833" i="20"/>
  <c r="B1832" i="20"/>
  <c r="B1831" i="20"/>
  <c r="B1830" i="20"/>
  <c r="B1829" i="20"/>
  <c r="B1828" i="20"/>
  <c r="B1827" i="20"/>
  <c r="B1826" i="20"/>
  <c r="B1825" i="20"/>
  <c r="B1824" i="20"/>
  <c r="B1823" i="20"/>
  <c r="B1822" i="20"/>
  <c r="B1821" i="20"/>
  <c r="B1820" i="20"/>
  <c r="B1819" i="20"/>
  <c r="B1818" i="20"/>
  <c r="B1817" i="20"/>
  <c r="B1816" i="20"/>
  <c r="B1815" i="20"/>
  <c r="B1814" i="20"/>
  <c r="B1813" i="20"/>
  <c r="B1812" i="20"/>
  <c r="B1811" i="20"/>
  <c r="B1810" i="20"/>
  <c r="B1809" i="20"/>
  <c r="B1808" i="20"/>
  <c r="B1807" i="20"/>
  <c r="B1806" i="20"/>
  <c r="B1805" i="20"/>
  <c r="B1804" i="20"/>
  <c r="B1803" i="20"/>
  <c r="B1802" i="20"/>
  <c r="B1801" i="20"/>
  <c r="B1800" i="20"/>
  <c r="B1799" i="20"/>
  <c r="B1798" i="20"/>
  <c r="B1797" i="20"/>
  <c r="B1796" i="20"/>
  <c r="B1795" i="20"/>
  <c r="B1794" i="20"/>
  <c r="B1793" i="20"/>
  <c r="B1792" i="20"/>
  <c r="B1791" i="20"/>
  <c r="B1790" i="20"/>
  <c r="B1789" i="20"/>
  <c r="B1788" i="20"/>
  <c r="B1787" i="20"/>
  <c r="B1786" i="20"/>
  <c r="B1785" i="20"/>
  <c r="B1784" i="20"/>
  <c r="B1783" i="20"/>
  <c r="B1782" i="20"/>
  <c r="B1781" i="20"/>
  <c r="B1780" i="20"/>
  <c r="B1779" i="20"/>
  <c r="B1778" i="20"/>
  <c r="B1777" i="20"/>
  <c r="B1776" i="20"/>
  <c r="B1775" i="20"/>
  <c r="B1774" i="20"/>
  <c r="B1773" i="20"/>
  <c r="B1772" i="20"/>
  <c r="B1771" i="20"/>
  <c r="B1770" i="20"/>
  <c r="B1769" i="20"/>
  <c r="B1768" i="20"/>
  <c r="B1767" i="20"/>
  <c r="B1766" i="20"/>
  <c r="B1765" i="20"/>
  <c r="B1764" i="20"/>
  <c r="B1763" i="20"/>
  <c r="B1762" i="20"/>
  <c r="B1761" i="20"/>
  <c r="B1760" i="20"/>
  <c r="B1759" i="20"/>
  <c r="B1758" i="20"/>
  <c r="B1757" i="20"/>
  <c r="B1756" i="20"/>
  <c r="B1755" i="20"/>
  <c r="B1754" i="20"/>
  <c r="B1753" i="20"/>
  <c r="B1752" i="20"/>
  <c r="B1751" i="20"/>
  <c r="B1750" i="20"/>
  <c r="B1749" i="20"/>
  <c r="B1748" i="20"/>
  <c r="B1747" i="20"/>
  <c r="B1746" i="20"/>
  <c r="B1745" i="20"/>
  <c r="B1744" i="20"/>
  <c r="B1743" i="20"/>
  <c r="B1742" i="20"/>
  <c r="B1741" i="20"/>
  <c r="B1740" i="20"/>
  <c r="B1739" i="20"/>
  <c r="B1738" i="20"/>
  <c r="B1737" i="20"/>
  <c r="B1736" i="20"/>
  <c r="B1735" i="20"/>
  <c r="B1734" i="20"/>
  <c r="B1733" i="20"/>
  <c r="B1732" i="20"/>
  <c r="B1731" i="20"/>
  <c r="B1730" i="20"/>
  <c r="B1729" i="20"/>
  <c r="B1728" i="20"/>
  <c r="B1727" i="20"/>
  <c r="B1726" i="20"/>
  <c r="B1725" i="20"/>
  <c r="B1724" i="20"/>
  <c r="B1723" i="20"/>
  <c r="B1722" i="20"/>
  <c r="B1721" i="20"/>
  <c r="B1720" i="20"/>
  <c r="B1719" i="20"/>
  <c r="B1718" i="20"/>
  <c r="B1717" i="20"/>
  <c r="B1716" i="20"/>
  <c r="B1715" i="20"/>
  <c r="B1714" i="20"/>
  <c r="B1713" i="20"/>
  <c r="B1712" i="20"/>
  <c r="B1711" i="20"/>
  <c r="B1710" i="20"/>
  <c r="B1709" i="20"/>
  <c r="B1708" i="20"/>
  <c r="B1707" i="20"/>
  <c r="B1706" i="20"/>
  <c r="B1705" i="20"/>
  <c r="B1704" i="20"/>
  <c r="B1703" i="20"/>
  <c r="B1702" i="20"/>
  <c r="B1701" i="20"/>
  <c r="B1700" i="20"/>
  <c r="B1699" i="20"/>
  <c r="B1698" i="20"/>
  <c r="B1697" i="20"/>
  <c r="B1696" i="20"/>
  <c r="B1695" i="20"/>
  <c r="B1694" i="20"/>
  <c r="B1693" i="20"/>
  <c r="B1692" i="20"/>
  <c r="B1691" i="20"/>
  <c r="B1690" i="20"/>
  <c r="B1689" i="20"/>
  <c r="B1688" i="20"/>
  <c r="B1687" i="20"/>
  <c r="B1686" i="20"/>
  <c r="B1685" i="20"/>
  <c r="B1684" i="20"/>
  <c r="B1683" i="20"/>
  <c r="B1682" i="20"/>
  <c r="B1681" i="20"/>
  <c r="B1680" i="20"/>
  <c r="B1679" i="20"/>
  <c r="B1678" i="20"/>
  <c r="B1677" i="20"/>
  <c r="B1676" i="20"/>
  <c r="B1675" i="20"/>
  <c r="B1674" i="20"/>
  <c r="B1673" i="20"/>
  <c r="B1672" i="20"/>
  <c r="B1671" i="20"/>
  <c r="B1670" i="20"/>
  <c r="B1669" i="20"/>
  <c r="B1668" i="20"/>
  <c r="B1667" i="20"/>
  <c r="B1666" i="20"/>
  <c r="B1665" i="20"/>
  <c r="B1664" i="20"/>
  <c r="B1663" i="20"/>
  <c r="B1662" i="20"/>
  <c r="B1661" i="20"/>
  <c r="B1660" i="20"/>
  <c r="B1659" i="20"/>
  <c r="B1658" i="20"/>
  <c r="B1657" i="20"/>
  <c r="B1656" i="20"/>
  <c r="B1655" i="20"/>
  <c r="B1654" i="20"/>
  <c r="B1653" i="20"/>
  <c r="B1652" i="20"/>
  <c r="B1651" i="20"/>
  <c r="B1650" i="20"/>
  <c r="B1649" i="20"/>
  <c r="B1648" i="20"/>
  <c r="B1647" i="20"/>
  <c r="B1646" i="20"/>
  <c r="B1645" i="20"/>
  <c r="B1644" i="20"/>
  <c r="B1643" i="20"/>
  <c r="B1642" i="20"/>
  <c r="B1641" i="20"/>
  <c r="B1640" i="20"/>
  <c r="B1639" i="20"/>
  <c r="B1638" i="20"/>
  <c r="B1637" i="20"/>
  <c r="B1636" i="20"/>
  <c r="B1635" i="20"/>
  <c r="B1634" i="20"/>
  <c r="B1633" i="20"/>
  <c r="B1632" i="20"/>
  <c r="B1631" i="20"/>
  <c r="B1630" i="20"/>
  <c r="B1629" i="20"/>
  <c r="B1628" i="20"/>
  <c r="B1627" i="20"/>
  <c r="B1626" i="20"/>
  <c r="B1625" i="20"/>
  <c r="B1624" i="20"/>
  <c r="B1623" i="20"/>
  <c r="B1622" i="20"/>
  <c r="B1621" i="20"/>
  <c r="B1620" i="20"/>
  <c r="B1619" i="20"/>
  <c r="B1618" i="20"/>
  <c r="B1617" i="20"/>
  <c r="B1616" i="20"/>
  <c r="B1615" i="20"/>
  <c r="B1614" i="20"/>
  <c r="B1613" i="20"/>
  <c r="B1612" i="20"/>
  <c r="B1611" i="20"/>
  <c r="B1610" i="20"/>
  <c r="B1609" i="20"/>
  <c r="B1608" i="20"/>
  <c r="B1607" i="20"/>
  <c r="B1606" i="20"/>
  <c r="B1605" i="20"/>
  <c r="B1604" i="20"/>
  <c r="B1603" i="20"/>
  <c r="B1602" i="20"/>
  <c r="B1601" i="20"/>
  <c r="B1600" i="20"/>
  <c r="B1599" i="20"/>
  <c r="B1598" i="20"/>
  <c r="B1597" i="20"/>
  <c r="B1596" i="20"/>
  <c r="B1595" i="20"/>
  <c r="B1594" i="20"/>
  <c r="B1593" i="20"/>
  <c r="B1592" i="20"/>
  <c r="B1591" i="20"/>
  <c r="B1590" i="20"/>
  <c r="B1589" i="20"/>
  <c r="B1588" i="20"/>
  <c r="B1587" i="20"/>
  <c r="B1586" i="20"/>
  <c r="B1585" i="20"/>
  <c r="B1584" i="20"/>
  <c r="B1583" i="20"/>
  <c r="B1582" i="20"/>
  <c r="B1581" i="20"/>
  <c r="B1580" i="20"/>
  <c r="B1579" i="20"/>
  <c r="B1578" i="20"/>
  <c r="B1577" i="20"/>
  <c r="B1576" i="20"/>
  <c r="B1575" i="20"/>
  <c r="B1574" i="20"/>
  <c r="B1573" i="20"/>
  <c r="B1572" i="20"/>
  <c r="B1571" i="20"/>
  <c r="B1570" i="20"/>
  <c r="B1569" i="20"/>
  <c r="B1568" i="20"/>
  <c r="B1567" i="20"/>
  <c r="B1566" i="20"/>
  <c r="B1565" i="20"/>
  <c r="B1564" i="20"/>
  <c r="B1563" i="20"/>
  <c r="B1562" i="20"/>
  <c r="B1561" i="20"/>
  <c r="B1560" i="20"/>
  <c r="B1559" i="20"/>
  <c r="B1558" i="20"/>
  <c r="B1557" i="20"/>
  <c r="B1556" i="20"/>
  <c r="B1555" i="20"/>
  <c r="B1554" i="20"/>
  <c r="B1553" i="20"/>
  <c r="B1552" i="20"/>
  <c r="B1551" i="20"/>
  <c r="B1550" i="20"/>
  <c r="B1549" i="20"/>
  <c r="B1548" i="20"/>
  <c r="B1547" i="20"/>
  <c r="B1546" i="20"/>
  <c r="B1545" i="20"/>
  <c r="B1544" i="20"/>
  <c r="B1543" i="20"/>
  <c r="B1542" i="20"/>
  <c r="B1541" i="20"/>
  <c r="B1540" i="20"/>
  <c r="B1539" i="20"/>
  <c r="B1538" i="20"/>
  <c r="B1537" i="20"/>
  <c r="B1536" i="20"/>
  <c r="B1535" i="20"/>
  <c r="B1534" i="20"/>
  <c r="B1533" i="20"/>
  <c r="B1532" i="20"/>
  <c r="B1531" i="20"/>
  <c r="B1530" i="20"/>
  <c r="B1529" i="20"/>
  <c r="B1528" i="20"/>
  <c r="B1527" i="20"/>
  <c r="B1526" i="20"/>
  <c r="B1525" i="20"/>
  <c r="B1524" i="20"/>
  <c r="B1523" i="20"/>
  <c r="B1522" i="20"/>
  <c r="B1521" i="20"/>
  <c r="B1520" i="20"/>
  <c r="B1519" i="20"/>
  <c r="B1518" i="20"/>
  <c r="B1517" i="20"/>
  <c r="B1516" i="20"/>
  <c r="B1515" i="20"/>
  <c r="B1514" i="20"/>
  <c r="B1513" i="20"/>
  <c r="B1512" i="20"/>
  <c r="B1511" i="20"/>
  <c r="B1510" i="20"/>
  <c r="B1509" i="20"/>
  <c r="B1508" i="20"/>
  <c r="B1507" i="20"/>
  <c r="B1506" i="20"/>
  <c r="B1505" i="20"/>
  <c r="B1504" i="20"/>
  <c r="B1503" i="20"/>
  <c r="B1502" i="20"/>
  <c r="B1501" i="20"/>
  <c r="B1500" i="20"/>
  <c r="B1499" i="20"/>
  <c r="B1498" i="20"/>
  <c r="B1497" i="20"/>
  <c r="B1496" i="20"/>
  <c r="B1495" i="20"/>
  <c r="B1494" i="20"/>
  <c r="B1493" i="20"/>
  <c r="B1492" i="20"/>
  <c r="B1491" i="20"/>
  <c r="B1490" i="20"/>
  <c r="B1489" i="20"/>
  <c r="B1488" i="20"/>
  <c r="B1487" i="20"/>
  <c r="B1486" i="20"/>
  <c r="B1485" i="20"/>
  <c r="B1484" i="20"/>
  <c r="B1483" i="20"/>
  <c r="B1482" i="20"/>
  <c r="B1481" i="20"/>
  <c r="B1480" i="20"/>
  <c r="B1479" i="20"/>
  <c r="B1478" i="20"/>
  <c r="B1477" i="20"/>
  <c r="B1476" i="20"/>
  <c r="B1475" i="20"/>
  <c r="B1474" i="20"/>
  <c r="B1473" i="20"/>
  <c r="B1472" i="20"/>
  <c r="B1471" i="20"/>
  <c r="B1470" i="20"/>
  <c r="B1469" i="20"/>
  <c r="B1468" i="20"/>
  <c r="B1467" i="20"/>
  <c r="B1466" i="20"/>
  <c r="B1465" i="20"/>
  <c r="B1464" i="20"/>
  <c r="B1463" i="20"/>
  <c r="B1462" i="20"/>
  <c r="B1461" i="20"/>
  <c r="B1460" i="20"/>
  <c r="B1459" i="20"/>
  <c r="B1458" i="20"/>
  <c r="B1457" i="20"/>
  <c r="B1456" i="20"/>
  <c r="B1455" i="20"/>
  <c r="B1454" i="20"/>
  <c r="B1453" i="20"/>
  <c r="B1452" i="20"/>
  <c r="B1451" i="20"/>
  <c r="B1450" i="20"/>
  <c r="B1449" i="20"/>
  <c r="B1448" i="20"/>
  <c r="B1447" i="20"/>
  <c r="B1446" i="20"/>
  <c r="B1445" i="20"/>
  <c r="B1444" i="20"/>
  <c r="B1443" i="20"/>
  <c r="B1442" i="20"/>
  <c r="B1441" i="20"/>
  <c r="B1440" i="20"/>
  <c r="B1439" i="20"/>
  <c r="B1438" i="20"/>
  <c r="B1437" i="20"/>
  <c r="B1436" i="20"/>
  <c r="B1435" i="20"/>
  <c r="B1434" i="20"/>
  <c r="B1433" i="20"/>
  <c r="B1432" i="20"/>
  <c r="B1431" i="20"/>
  <c r="B1430" i="20"/>
  <c r="B1429" i="20"/>
  <c r="B1428" i="20"/>
  <c r="B1427" i="20"/>
  <c r="B1426" i="20"/>
  <c r="B1425" i="20"/>
  <c r="B1424" i="20"/>
  <c r="B1423" i="20"/>
  <c r="B1422" i="20"/>
  <c r="B1421" i="20"/>
  <c r="B1420" i="20"/>
  <c r="B1419" i="20"/>
  <c r="B1418" i="20"/>
  <c r="B1417" i="20"/>
  <c r="B1416" i="20"/>
  <c r="B1415" i="20"/>
  <c r="B1414" i="20"/>
  <c r="B1413" i="20"/>
  <c r="B1412" i="20"/>
  <c r="B1411" i="20"/>
  <c r="B1410" i="20"/>
  <c r="B1409" i="20"/>
  <c r="B1408" i="20"/>
  <c r="B1407" i="20"/>
  <c r="B1406" i="20"/>
  <c r="B1405" i="20"/>
  <c r="B1404" i="20"/>
  <c r="B1403" i="20"/>
  <c r="B1402" i="20"/>
  <c r="B1401" i="20"/>
  <c r="B1400" i="20"/>
  <c r="B1399" i="20"/>
  <c r="B1398" i="20"/>
  <c r="B1397" i="20"/>
  <c r="B1396" i="20"/>
  <c r="B1395" i="20"/>
  <c r="B1394" i="20"/>
  <c r="B1393" i="20"/>
  <c r="B1392" i="20"/>
  <c r="B1391" i="20"/>
  <c r="B1390" i="20"/>
  <c r="B1389" i="20"/>
  <c r="B1388" i="20"/>
  <c r="B1387" i="20"/>
  <c r="B1386" i="20"/>
  <c r="B1385" i="20"/>
  <c r="B1384" i="20"/>
  <c r="B1383" i="20"/>
  <c r="B1382" i="20"/>
  <c r="B1381" i="20"/>
  <c r="B1380" i="20"/>
  <c r="B1379" i="20"/>
  <c r="B1378" i="20"/>
  <c r="B1377" i="20"/>
  <c r="B1376" i="20"/>
  <c r="B1375" i="20"/>
  <c r="B1374" i="20"/>
  <c r="B1373" i="20"/>
  <c r="B1372" i="20"/>
  <c r="B1371" i="20"/>
  <c r="B1370" i="20"/>
  <c r="B1369" i="20"/>
  <c r="B1368" i="20"/>
  <c r="B1367" i="20"/>
  <c r="B1366" i="20"/>
  <c r="B1365" i="20"/>
  <c r="B1364" i="20"/>
  <c r="B1363" i="20"/>
  <c r="B1362" i="20"/>
  <c r="B1361" i="20"/>
  <c r="B1360" i="20"/>
  <c r="B1359" i="20"/>
  <c r="B1358" i="20"/>
  <c r="B1357" i="20"/>
  <c r="B1356" i="20"/>
  <c r="B1355" i="20"/>
  <c r="B1354" i="20"/>
  <c r="B1353" i="20"/>
  <c r="B1352" i="20"/>
  <c r="B1351" i="20"/>
  <c r="B1350" i="20"/>
  <c r="B1349" i="20"/>
  <c r="B1348" i="20"/>
  <c r="B1347" i="20"/>
  <c r="B1346" i="20"/>
  <c r="B1345" i="20"/>
  <c r="B1344" i="20"/>
  <c r="B1343" i="20"/>
  <c r="B1342" i="20"/>
  <c r="B1341" i="20"/>
  <c r="B1340" i="20"/>
  <c r="B1339" i="20"/>
  <c r="B1338" i="20"/>
  <c r="B1337" i="20"/>
  <c r="B1336" i="20"/>
  <c r="B1335" i="20"/>
  <c r="B1334" i="20"/>
  <c r="B1333" i="20"/>
  <c r="B1332" i="20"/>
  <c r="B1331" i="20"/>
  <c r="B1330" i="20"/>
  <c r="B1329" i="20"/>
  <c r="B1328" i="20"/>
  <c r="B1327" i="20"/>
  <c r="B1326" i="20"/>
  <c r="B1325" i="20"/>
  <c r="B1324" i="20"/>
  <c r="B1323" i="20"/>
  <c r="B1322" i="20"/>
  <c r="B1321" i="20"/>
  <c r="B1320" i="20"/>
  <c r="B1319" i="20"/>
  <c r="B1318" i="20"/>
  <c r="B1317" i="20"/>
  <c r="B1316" i="20"/>
  <c r="B1315" i="20"/>
  <c r="B1314" i="20"/>
  <c r="B1313" i="20"/>
  <c r="B1312" i="20"/>
  <c r="B1311" i="20"/>
  <c r="B1310" i="20"/>
  <c r="B1309" i="20"/>
  <c r="B1308" i="20"/>
  <c r="B1307" i="20"/>
  <c r="B1306" i="20"/>
  <c r="B1305" i="20"/>
  <c r="B1304" i="20"/>
  <c r="B1303" i="20"/>
  <c r="B1302" i="20"/>
  <c r="B1301" i="20"/>
  <c r="B1300" i="20"/>
  <c r="B1299" i="20"/>
  <c r="B1298" i="20"/>
  <c r="B1297" i="20"/>
  <c r="B1296" i="20"/>
  <c r="B1295" i="20"/>
  <c r="B1294" i="20"/>
  <c r="B1293" i="20"/>
  <c r="B1292" i="20"/>
  <c r="B1291" i="20"/>
  <c r="B1290" i="20"/>
  <c r="B1289" i="20"/>
  <c r="B1288" i="20"/>
  <c r="B1287" i="20"/>
  <c r="B1286" i="20"/>
  <c r="B1285" i="20"/>
  <c r="B1284" i="20"/>
  <c r="B1283" i="20"/>
  <c r="B1282" i="20"/>
  <c r="B1281" i="20"/>
  <c r="B1280" i="20"/>
  <c r="B1279" i="20"/>
  <c r="B1278" i="20"/>
  <c r="B1277" i="20"/>
  <c r="B1276" i="20"/>
  <c r="B1275" i="20"/>
  <c r="B1274" i="20"/>
  <c r="B1273" i="20"/>
  <c r="B1272" i="20"/>
  <c r="B1271" i="20"/>
  <c r="B1270" i="20"/>
  <c r="B1269" i="20"/>
  <c r="B1268" i="20"/>
  <c r="B1267" i="20"/>
  <c r="B1266" i="20"/>
  <c r="B1265" i="20"/>
  <c r="B1264" i="20"/>
  <c r="B1263" i="20"/>
  <c r="B1262" i="20"/>
  <c r="B1261" i="20"/>
  <c r="B1260" i="20"/>
  <c r="B1259" i="20"/>
  <c r="B1258" i="20"/>
  <c r="B1257" i="20"/>
  <c r="B1256" i="20"/>
  <c r="B1255" i="20"/>
  <c r="B1254" i="20"/>
  <c r="B1253" i="20"/>
  <c r="B1252" i="20"/>
  <c r="B1251" i="20"/>
  <c r="B1250" i="20"/>
  <c r="B1249" i="20"/>
  <c r="B1248" i="20"/>
  <c r="B1247" i="20"/>
  <c r="B1246" i="20"/>
  <c r="B1245" i="20"/>
  <c r="B1244" i="20"/>
  <c r="B1243" i="20"/>
  <c r="B1242" i="20"/>
  <c r="B1241" i="20"/>
  <c r="B1240" i="20"/>
  <c r="B1239" i="20"/>
  <c r="B1238" i="20"/>
  <c r="B1237" i="20"/>
  <c r="B1236" i="20"/>
  <c r="B1235" i="20"/>
  <c r="B1234" i="20"/>
  <c r="B1233" i="20"/>
  <c r="B1232" i="20"/>
  <c r="B1231" i="20"/>
  <c r="B1230" i="20"/>
  <c r="B1229" i="20"/>
  <c r="B1228" i="20"/>
  <c r="B1227" i="20"/>
  <c r="B1226" i="20"/>
  <c r="B1225" i="20"/>
  <c r="B1224" i="20"/>
  <c r="B1223" i="20"/>
  <c r="B1222" i="20"/>
  <c r="B1221" i="20"/>
  <c r="B1220" i="20"/>
  <c r="B1219" i="20"/>
  <c r="B1218" i="20"/>
  <c r="B1217" i="20"/>
  <c r="B1216" i="20"/>
  <c r="B1215" i="20"/>
  <c r="B1214" i="20"/>
  <c r="B1213" i="20"/>
  <c r="B1212" i="20"/>
  <c r="B1211" i="20"/>
  <c r="B1210" i="20"/>
  <c r="B1209" i="20"/>
  <c r="B1208" i="20"/>
  <c r="B1207" i="20"/>
  <c r="B1206" i="20"/>
  <c r="B1205" i="20"/>
  <c r="B1204" i="20"/>
  <c r="B1203" i="20"/>
  <c r="B1202" i="20"/>
  <c r="B1201" i="20"/>
  <c r="B1200" i="20"/>
  <c r="B1199" i="20"/>
  <c r="B1198" i="20"/>
  <c r="B1197" i="20"/>
  <c r="B1196" i="20"/>
  <c r="B1195" i="20"/>
  <c r="B1194" i="20"/>
  <c r="B1193" i="20"/>
  <c r="B1192" i="20"/>
  <c r="B1191" i="20"/>
  <c r="B1190" i="20"/>
  <c r="B1189" i="20"/>
  <c r="B1188" i="20"/>
  <c r="B1187" i="20"/>
  <c r="B1186" i="20"/>
  <c r="B1185" i="20"/>
  <c r="B1184" i="20"/>
  <c r="B1183" i="20"/>
  <c r="B1182" i="20"/>
  <c r="B1181" i="20"/>
  <c r="B1180" i="20"/>
  <c r="B1179" i="20"/>
  <c r="B1178" i="20"/>
  <c r="B1177" i="20"/>
  <c r="B1176" i="20"/>
  <c r="B1175" i="20"/>
  <c r="B1174" i="20"/>
  <c r="B1173" i="20"/>
  <c r="B1172" i="20"/>
  <c r="B1171" i="20"/>
  <c r="B1170" i="20"/>
  <c r="B1169" i="20"/>
  <c r="B1168" i="20"/>
  <c r="B1167" i="20"/>
  <c r="B1166" i="20"/>
  <c r="B1165" i="20"/>
  <c r="B1164" i="20"/>
  <c r="B1163" i="20"/>
  <c r="B1162" i="20"/>
  <c r="B1161" i="20"/>
  <c r="B1160" i="20"/>
  <c r="B1159" i="20"/>
  <c r="B1158" i="20"/>
  <c r="B1157" i="20"/>
  <c r="B1156" i="20"/>
  <c r="B1155" i="20"/>
  <c r="B1154" i="20"/>
  <c r="B1153" i="20"/>
  <c r="B1152" i="20"/>
  <c r="B1151" i="20"/>
  <c r="B1150" i="20"/>
  <c r="B1149" i="20"/>
  <c r="B1148" i="20"/>
  <c r="B1147" i="20"/>
  <c r="B1146" i="20"/>
  <c r="B1145" i="20"/>
  <c r="B1144" i="20"/>
  <c r="B1143" i="20"/>
  <c r="B1142" i="20"/>
  <c r="B1141" i="20"/>
  <c r="B1140" i="20"/>
  <c r="B1139" i="20"/>
  <c r="B1138" i="20"/>
  <c r="B1137" i="20"/>
  <c r="B1136" i="20"/>
  <c r="B1135" i="20"/>
  <c r="B1134" i="20"/>
  <c r="B1133" i="20"/>
  <c r="B1132" i="20"/>
  <c r="B1131" i="20"/>
  <c r="B1130" i="20"/>
  <c r="B1129" i="20"/>
  <c r="B1128" i="20"/>
  <c r="B1127" i="20"/>
  <c r="B1126" i="20"/>
  <c r="B1125" i="20"/>
  <c r="B1124" i="20"/>
  <c r="B1123" i="20"/>
  <c r="B1122" i="20"/>
  <c r="B1121" i="20"/>
  <c r="B1120" i="20"/>
  <c r="B1119" i="20"/>
  <c r="B1118" i="20"/>
  <c r="B1117" i="20"/>
  <c r="B1116" i="20"/>
  <c r="B1115" i="20"/>
  <c r="B1114" i="20"/>
  <c r="B1113" i="20"/>
  <c r="B1112" i="20"/>
  <c r="B1111" i="20"/>
  <c r="B1110" i="20"/>
  <c r="B1109" i="20"/>
  <c r="B1108" i="20"/>
  <c r="B1107" i="20"/>
  <c r="B1106" i="20"/>
  <c r="B1105" i="20"/>
  <c r="B1104" i="20"/>
  <c r="B1103" i="20"/>
  <c r="B1102" i="20"/>
  <c r="B1101" i="20"/>
  <c r="B1100" i="20"/>
  <c r="B1099" i="20"/>
  <c r="B1098" i="20"/>
  <c r="B1097" i="20"/>
  <c r="B1096" i="20"/>
  <c r="B1095" i="20"/>
  <c r="B1094" i="20"/>
  <c r="B1093" i="20"/>
  <c r="B1092" i="20"/>
  <c r="B1091" i="20"/>
  <c r="B1090" i="20"/>
  <c r="B1089" i="20"/>
  <c r="B1088" i="20"/>
  <c r="B1087" i="20"/>
  <c r="B1086" i="20"/>
  <c r="B1085" i="20"/>
  <c r="B1084" i="20"/>
  <c r="B1083" i="20"/>
  <c r="B1082" i="20"/>
  <c r="B1081" i="20"/>
  <c r="B1080" i="20"/>
  <c r="B1079" i="20"/>
  <c r="B1078" i="20"/>
  <c r="B1077" i="20"/>
  <c r="B1076" i="20"/>
  <c r="B1075" i="20"/>
  <c r="B1074" i="20"/>
  <c r="B1073" i="20"/>
  <c r="B1072" i="20"/>
  <c r="B1071" i="20"/>
  <c r="B1070" i="20"/>
  <c r="B1069" i="20"/>
  <c r="B1068" i="20"/>
  <c r="B1067" i="20"/>
  <c r="B1066" i="20"/>
  <c r="B1065" i="20"/>
  <c r="B1064" i="20"/>
  <c r="B1063" i="20"/>
  <c r="B1062" i="20"/>
  <c r="B1061" i="20"/>
  <c r="B1060" i="20"/>
  <c r="B1059" i="20"/>
  <c r="B1058" i="20"/>
  <c r="B1057" i="20"/>
  <c r="B1056" i="20"/>
  <c r="B1055" i="20"/>
  <c r="B1054" i="20"/>
  <c r="B1053" i="20"/>
  <c r="B1052" i="20"/>
  <c r="B1051" i="20"/>
  <c r="B1050" i="20"/>
  <c r="B1049" i="20"/>
  <c r="B1048" i="20"/>
  <c r="B1047" i="20"/>
  <c r="B1046" i="20"/>
  <c r="B1045" i="20"/>
  <c r="B1044" i="20"/>
  <c r="B1043" i="20"/>
  <c r="B1042" i="20"/>
  <c r="B1041" i="20"/>
  <c r="B1040" i="20"/>
  <c r="B1039" i="20"/>
  <c r="B1038" i="20"/>
  <c r="B1037" i="20"/>
  <c r="B1036" i="20"/>
  <c r="B1035" i="20"/>
  <c r="B1034" i="20"/>
  <c r="B1033" i="20"/>
  <c r="B1032" i="20"/>
  <c r="B1031" i="20"/>
  <c r="B1030" i="20"/>
  <c r="B1029" i="20"/>
  <c r="B1028" i="20"/>
  <c r="B1027" i="20"/>
  <c r="B1026" i="20"/>
  <c r="B1025" i="20"/>
  <c r="B1024" i="20"/>
  <c r="B1023" i="20"/>
  <c r="B1022" i="20"/>
  <c r="B1021" i="20"/>
  <c r="B1020" i="20"/>
  <c r="B1019" i="20"/>
  <c r="B1018" i="20"/>
  <c r="B1017" i="20"/>
  <c r="B1016" i="20"/>
  <c r="B1015" i="20"/>
  <c r="B1014" i="20"/>
  <c r="B1013" i="20"/>
  <c r="B1012" i="20"/>
  <c r="B1011" i="20"/>
  <c r="B1010" i="20"/>
  <c r="B1009" i="20"/>
  <c r="B1008" i="20"/>
  <c r="B1007" i="20"/>
  <c r="B1006" i="20"/>
  <c r="B1005" i="20"/>
  <c r="B1004" i="20"/>
  <c r="B1003" i="20"/>
  <c r="B1002" i="20"/>
  <c r="B1001" i="20"/>
  <c r="B1000" i="20"/>
  <c r="B999" i="20"/>
  <c r="B998" i="20"/>
  <c r="B997" i="20"/>
  <c r="B996" i="20"/>
  <c r="B995" i="20"/>
  <c r="B994" i="20"/>
  <c r="B993" i="20"/>
  <c r="B992" i="20"/>
  <c r="B991" i="20"/>
  <c r="B990" i="20"/>
  <c r="B989" i="20"/>
  <c r="B988" i="20"/>
  <c r="B987" i="20"/>
  <c r="B986" i="20"/>
  <c r="B985" i="20"/>
  <c r="B984" i="20"/>
  <c r="B983" i="20"/>
  <c r="B982" i="20"/>
  <c r="B981" i="20"/>
  <c r="B980" i="20"/>
  <c r="B979" i="20"/>
  <c r="B978" i="20"/>
  <c r="B977" i="20"/>
  <c r="B976" i="20"/>
  <c r="B975" i="20"/>
  <c r="B974" i="20"/>
  <c r="B973" i="20"/>
  <c r="B972" i="20"/>
  <c r="B971" i="20"/>
  <c r="B970" i="20"/>
  <c r="B969" i="20"/>
  <c r="B968" i="20"/>
  <c r="B967" i="20"/>
  <c r="B966" i="20"/>
  <c r="B965" i="20"/>
  <c r="B964" i="20"/>
  <c r="B963" i="20"/>
  <c r="B962" i="20"/>
  <c r="B961" i="20"/>
  <c r="B960" i="20"/>
  <c r="B959" i="20"/>
  <c r="B958" i="20"/>
  <c r="B957" i="20"/>
  <c r="B956" i="20"/>
  <c r="B955" i="20"/>
  <c r="B954" i="20"/>
  <c r="B953" i="20"/>
  <c r="B952" i="20"/>
  <c r="B951" i="20"/>
  <c r="B950" i="20"/>
  <c r="B949" i="20"/>
  <c r="B948" i="20"/>
  <c r="B947" i="20"/>
  <c r="B946" i="20"/>
  <c r="B945" i="20"/>
  <c r="B944" i="20"/>
  <c r="B943" i="20"/>
  <c r="B942" i="20"/>
  <c r="B941" i="20"/>
  <c r="B940" i="20"/>
  <c r="B939" i="20"/>
  <c r="B938" i="20"/>
  <c r="B937" i="20"/>
  <c r="B936" i="20"/>
  <c r="B935" i="20"/>
  <c r="B934" i="20"/>
  <c r="B933" i="20"/>
  <c r="B932" i="20"/>
  <c r="B931" i="20"/>
  <c r="B930" i="20"/>
  <c r="B929" i="20"/>
  <c r="B928" i="20"/>
  <c r="B927" i="20"/>
  <c r="B926" i="20"/>
  <c r="B925" i="20"/>
  <c r="B924" i="20"/>
  <c r="B923" i="20"/>
  <c r="B922" i="20"/>
  <c r="B921" i="20"/>
  <c r="B920" i="20"/>
  <c r="B919" i="20"/>
  <c r="B918" i="20"/>
  <c r="B917" i="20"/>
  <c r="B916" i="20"/>
  <c r="B915" i="20"/>
  <c r="B914" i="20"/>
  <c r="B913" i="20"/>
  <c r="B912" i="20"/>
  <c r="B911" i="20"/>
  <c r="B910" i="20"/>
  <c r="B909" i="20"/>
  <c r="B908" i="20"/>
  <c r="B907" i="20"/>
  <c r="B906" i="20"/>
  <c r="B905" i="20"/>
  <c r="B904" i="20"/>
  <c r="B903" i="20"/>
  <c r="B902" i="20"/>
  <c r="B901" i="20"/>
  <c r="B900" i="20"/>
  <c r="B899" i="20"/>
  <c r="B898" i="20"/>
  <c r="B897" i="20"/>
  <c r="B896" i="20"/>
  <c r="B895" i="20"/>
  <c r="B894" i="20"/>
  <c r="B893" i="20"/>
  <c r="B892" i="20"/>
  <c r="B891" i="20"/>
  <c r="B890" i="20"/>
  <c r="B889" i="20"/>
  <c r="B888" i="20"/>
  <c r="B887" i="20"/>
  <c r="B886" i="20"/>
  <c r="B885" i="20"/>
  <c r="B884" i="20"/>
  <c r="B883" i="20"/>
  <c r="B882" i="20"/>
  <c r="B881" i="20"/>
  <c r="B880" i="20"/>
  <c r="B879" i="20"/>
  <c r="B878" i="20"/>
  <c r="B877" i="20"/>
  <c r="B876" i="20"/>
  <c r="B875" i="20"/>
  <c r="B874" i="20"/>
  <c r="B873" i="20"/>
  <c r="B872" i="20"/>
  <c r="B871" i="20"/>
  <c r="B870" i="20"/>
  <c r="B869" i="20"/>
  <c r="B868" i="20"/>
  <c r="B867" i="20"/>
  <c r="B866" i="20"/>
  <c r="B865" i="20"/>
  <c r="B864" i="20"/>
  <c r="B863" i="20"/>
  <c r="B862" i="20"/>
  <c r="B861" i="20"/>
  <c r="B860" i="20"/>
  <c r="B859" i="20"/>
  <c r="B858" i="20"/>
  <c r="B857" i="20"/>
  <c r="B856" i="20"/>
  <c r="B855" i="20"/>
  <c r="B854" i="20"/>
  <c r="B853" i="20"/>
  <c r="B852" i="20"/>
  <c r="B851" i="20"/>
  <c r="B850" i="20"/>
  <c r="B849" i="20"/>
  <c r="B848" i="20"/>
  <c r="B847" i="20"/>
  <c r="B846" i="20"/>
  <c r="B845" i="20"/>
  <c r="B844" i="20"/>
  <c r="B843" i="20"/>
  <c r="B842" i="20"/>
  <c r="B841" i="20"/>
  <c r="B840" i="20"/>
  <c r="B839" i="20"/>
  <c r="B838" i="20"/>
  <c r="B837" i="20"/>
  <c r="B836" i="20"/>
  <c r="B835" i="20"/>
  <c r="B834" i="20"/>
  <c r="B833" i="20"/>
  <c r="B832" i="20"/>
  <c r="B831" i="20"/>
  <c r="B830" i="20"/>
  <c r="B829" i="20"/>
  <c r="B828" i="20"/>
  <c r="B827" i="20"/>
  <c r="B826" i="20"/>
  <c r="B825" i="20"/>
  <c r="B824" i="20"/>
  <c r="B823" i="20"/>
  <c r="B822" i="20"/>
  <c r="B821" i="20"/>
  <c r="B820" i="20"/>
  <c r="B819" i="20"/>
  <c r="B818" i="20"/>
  <c r="B817" i="20"/>
  <c r="B816" i="20"/>
  <c r="B815" i="20"/>
  <c r="B814" i="20"/>
  <c r="B813" i="20"/>
  <c r="B812" i="20"/>
  <c r="B811" i="20"/>
  <c r="B810" i="20"/>
  <c r="B809" i="20"/>
  <c r="B808" i="20"/>
  <c r="B807" i="20"/>
  <c r="B806" i="20"/>
  <c r="B805" i="20"/>
  <c r="B804" i="20"/>
  <c r="B803" i="20"/>
  <c r="B802" i="20"/>
  <c r="B801" i="20"/>
  <c r="B800" i="20"/>
  <c r="B799" i="20"/>
  <c r="B798" i="20"/>
  <c r="B797" i="20"/>
  <c r="B796" i="20"/>
  <c r="B795" i="20"/>
  <c r="B794" i="20"/>
  <c r="B793" i="20"/>
  <c r="B792" i="20"/>
  <c r="B791" i="20"/>
  <c r="B790" i="20"/>
  <c r="B789" i="20"/>
  <c r="B788" i="20"/>
  <c r="B787" i="20"/>
  <c r="B786" i="20"/>
  <c r="B785" i="20"/>
  <c r="B784" i="20"/>
  <c r="B783" i="20"/>
  <c r="B782" i="20"/>
  <c r="B781" i="20"/>
  <c r="B780" i="20"/>
  <c r="B779" i="20"/>
  <c r="B778" i="20"/>
  <c r="B777" i="20"/>
  <c r="B776" i="20"/>
  <c r="B775" i="20"/>
  <c r="B774" i="20"/>
  <c r="B773" i="20"/>
  <c r="B772" i="20"/>
  <c r="B771" i="20"/>
  <c r="B770" i="20"/>
  <c r="B769" i="20"/>
  <c r="B768" i="20"/>
  <c r="B767" i="20"/>
  <c r="B766" i="20"/>
  <c r="B765" i="20"/>
  <c r="B764" i="20"/>
  <c r="B763" i="20"/>
  <c r="B762" i="20"/>
  <c r="B761" i="20"/>
  <c r="B760" i="20"/>
  <c r="B759" i="20"/>
  <c r="B758" i="20"/>
  <c r="B757" i="20"/>
  <c r="B756" i="20"/>
  <c r="B755" i="20"/>
  <c r="B754" i="20"/>
  <c r="B753" i="20"/>
  <c r="B752" i="20"/>
  <c r="B751" i="20"/>
  <c r="B750" i="20"/>
  <c r="B749" i="20"/>
  <c r="B748" i="20"/>
  <c r="B747" i="20"/>
  <c r="B746" i="20"/>
  <c r="B745" i="20"/>
  <c r="B744" i="20"/>
  <c r="B743" i="20"/>
  <c r="B742" i="20"/>
  <c r="B741" i="20"/>
  <c r="B740" i="20"/>
  <c r="B739" i="20"/>
  <c r="B738" i="20"/>
  <c r="B737" i="20"/>
  <c r="B736" i="20"/>
  <c r="B735" i="20"/>
  <c r="B734" i="20"/>
  <c r="B733" i="20"/>
  <c r="B732" i="20"/>
  <c r="B731" i="20"/>
  <c r="B730" i="20"/>
  <c r="B729" i="20"/>
  <c r="B728" i="20"/>
  <c r="B727" i="20"/>
  <c r="B726" i="20"/>
  <c r="B725" i="20"/>
  <c r="B724" i="20"/>
  <c r="B723" i="20"/>
  <c r="B722" i="20"/>
  <c r="B721" i="20"/>
  <c r="B720" i="20"/>
  <c r="B719" i="20"/>
  <c r="B718" i="20"/>
  <c r="B717" i="20"/>
  <c r="B716" i="20"/>
  <c r="B715" i="20"/>
  <c r="B714" i="20"/>
  <c r="B713" i="20"/>
  <c r="B712" i="20"/>
  <c r="B711" i="20"/>
  <c r="B710" i="20"/>
  <c r="B709" i="20"/>
  <c r="B708" i="20"/>
  <c r="B707" i="20"/>
  <c r="B706" i="20"/>
  <c r="B705" i="20"/>
  <c r="B704" i="20"/>
  <c r="B703" i="20"/>
  <c r="B702" i="20"/>
  <c r="B701" i="20"/>
  <c r="B700" i="20"/>
  <c r="B699" i="20"/>
  <c r="B698" i="20"/>
  <c r="B697" i="20"/>
  <c r="B696" i="20"/>
  <c r="B695" i="20"/>
  <c r="B694" i="20"/>
  <c r="B693" i="20"/>
  <c r="B692" i="20"/>
  <c r="B691" i="20"/>
  <c r="B690" i="20"/>
  <c r="B689" i="20"/>
  <c r="B688" i="20"/>
  <c r="B687" i="20"/>
  <c r="B686" i="20"/>
  <c r="B685" i="20"/>
  <c r="B684" i="20"/>
  <c r="B683" i="20"/>
  <c r="B682" i="20"/>
  <c r="B681" i="20"/>
  <c r="B680" i="20"/>
  <c r="B679" i="20"/>
  <c r="B678" i="20"/>
  <c r="B677" i="20"/>
  <c r="B676" i="20"/>
  <c r="B675" i="20"/>
  <c r="B674" i="20"/>
  <c r="B673" i="20"/>
  <c r="B672" i="20"/>
  <c r="B671" i="20"/>
  <c r="B670" i="20"/>
  <c r="B669" i="20"/>
  <c r="B668" i="20"/>
  <c r="B667" i="20"/>
  <c r="B666" i="20"/>
  <c r="B665" i="20"/>
  <c r="B664" i="20"/>
  <c r="B663" i="20"/>
  <c r="B662" i="20"/>
  <c r="B661" i="20"/>
  <c r="B660" i="20"/>
  <c r="B659" i="20"/>
  <c r="B658" i="20"/>
  <c r="B657" i="20"/>
  <c r="B656" i="20"/>
  <c r="B655" i="20"/>
  <c r="B654" i="20"/>
  <c r="B653" i="20"/>
  <c r="B652" i="20"/>
  <c r="B651" i="20"/>
  <c r="B650" i="20"/>
  <c r="B649" i="20"/>
  <c r="B648" i="20"/>
  <c r="B647" i="20"/>
  <c r="B646" i="20"/>
  <c r="B645" i="20"/>
  <c r="B644" i="20"/>
  <c r="B643" i="20"/>
  <c r="B642" i="20"/>
  <c r="B641" i="20"/>
  <c r="B640" i="20"/>
  <c r="B639" i="20"/>
  <c r="B638" i="20"/>
  <c r="B637" i="20"/>
  <c r="B636" i="20"/>
  <c r="B635" i="20"/>
  <c r="B634" i="20"/>
  <c r="B633" i="20"/>
  <c r="B632" i="20"/>
  <c r="B631" i="20"/>
  <c r="B630" i="20"/>
  <c r="B629" i="20"/>
  <c r="B628" i="20"/>
  <c r="B627" i="20"/>
  <c r="B626" i="20"/>
  <c r="B625" i="20"/>
  <c r="B624" i="20"/>
  <c r="B623" i="20"/>
  <c r="B622" i="20"/>
  <c r="B621" i="20"/>
  <c r="B620" i="20"/>
  <c r="B619" i="20"/>
  <c r="B618" i="20"/>
  <c r="B617" i="20"/>
  <c r="B616" i="20"/>
  <c r="B615" i="20"/>
  <c r="B614" i="20"/>
  <c r="B613" i="20"/>
  <c r="B612" i="20"/>
  <c r="B611" i="20"/>
  <c r="B610" i="20"/>
  <c r="B609" i="20"/>
  <c r="B608" i="20"/>
  <c r="B607" i="20"/>
  <c r="B606" i="20"/>
  <c r="B605" i="20"/>
  <c r="B604" i="20"/>
  <c r="B603" i="20"/>
  <c r="B602" i="20"/>
  <c r="B601" i="20"/>
  <c r="B600" i="20"/>
  <c r="B599" i="20"/>
  <c r="B598" i="20"/>
  <c r="B597" i="20"/>
  <c r="B596" i="20"/>
  <c r="B595" i="20"/>
  <c r="B594" i="20"/>
  <c r="B593" i="20"/>
  <c r="B592" i="20"/>
  <c r="B591" i="20"/>
  <c r="B590" i="20"/>
  <c r="B589" i="20"/>
  <c r="B588" i="20"/>
  <c r="B587" i="20"/>
  <c r="B586" i="20"/>
  <c r="B585" i="20"/>
  <c r="B584" i="20"/>
  <c r="B583" i="20"/>
  <c r="B582" i="20"/>
  <c r="B581" i="20"/>
  <c r="B580" i="20"/>
  <c r="B579" i="20"/>
  <c r="B578" i="20"/>
  <c r="B577" i="20"/>
  <c r="B576" i="20"/>
  <c r="B575" i="20"/>
  <c r="B574" i="20"/>
  <c r="B573" i="20"/>
  <c r="B572" i="20"/>
  <c r="B571" i="20"/>
  <c r="B570" i="20"/>
  <c r="B569" i="20"/>
  <c r="B568" i="20"/>
  <c r="B567" i="20"/>
  <c r="B566" i="20"/>
  <c r="B565" i="20"/>
  <c r="B564" i="20"/>
  <c r="B563" i="20"/>
  <c r="B562" i="20"/>
  <c r="B561" i="20"/>
  <c r="B560" i="20"/>
  <c r="B559" i="20"/>
  <c r="B558" i="20"/>
  <c r="B557" i="20"/>
  <c r="B556" i="20"/>
  <c r="B555" i="20"/>
  <c r="B554" i="20"/>
  <c r="B553" i="20"/>
  <c r="B552" i="20"/>
  <c r="B551" i="20"/>
  <c r="B550" i="20"/>
  <c r="B549" i="20"/>
  <c r="B548" i="20"/>
  <c r="B547" i="20"/>
  <c r="B546" i="20"/>
  <c r="B545" i="20"/>
  <c r="B544" i="20"/>
  <c r="B543" i="20"/>
  <c r="B542" i="20"/>
  <c r="B541" i="20"/>
  <c r="B540" i="20"/>
  <c r="B539" i="20"/>
  <c r="B538" i="20"/>
  <c r="B537" i="20"/>
  <c r="B536" i="20"/>
  <c r="B535" i="20"/>
  <c r="B534" i="20"/>
  <c r="B533" i="20"/>
  <c r="B532" i="20"/>
  <c r="B531" i="20"/>
  <c r="B530" i="20"/>
  <c r="B529" i="20"/>
  <c r="B528" i="20"/>
  <c r="B527" i="20"/>
  <c r="B526" i="20"/>
  <c r="B525" i="20"/>
  <c r="B524" i="20"/>
  <c r="B523" i="20"/>
  <c r="B522" i="20"/>
  <c r="B521" i="20"/>
  <c r="B520" i="20"/>
  <c r="B519" i="20"/>
  <c r="B518" i="20"/>
  <c r="B517" i="20"/>
  <c r="B516" i="20"/>
  <c r="B515" i="20"/>
  <c r="B514" i="20"/>
  <c r="B513" i="20"/>
  <c r="B512" i="20"/>
  <c r="B511" i="20"/>
  <c r="B510" i="20"/>
  <c r="B509" i="20"/>
  <c r="B508" i="20"/>
  <c r="B507" i="20"/>
  <c r="B506" i="20"/>
  <c r="B505" i="20"/>
  <c r="B504" i="20"/>
  <c r="B503" i="20"/>
  <c r="B502" i="20"/>
  <c r="B501" i="20"/>
  <c r="B500" i="20"/>
  <c r="B499" i="20"/>
  <c r="B498" i="20"/>
  <c r="B497" i="20"/>
  <c r="B496" i="20"/>
  <c r="B495" i="20"/>
  <c r="B494" i="20"/>
  <c r="B493" i="20"/>
  <c r="B492" i="20"/>
  <c r="B491" i="20"/>
  <c r="B490" i="20"/>
  <c r="B489" i="20"/>
  <c r="B488" i="20"/>
  <c r="B487" i="20"/>
  <c r="B486" i="20"/>
  <c r="B485" i="20"/>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M9" i="3" l="1"/>
  <c r="L3" i="3" l="1"/>
  <c r="M2" i="3" l="1"/>
  <c r="K35" i="109" l="1"/>
  <c r="P35" i="109"/>
  <c r="M35" i="109"/>
  <c r="R35" i="109"/>
  <c r="Q35" i="109"/>
  <c r="J35" i="109"/>
  <c r="O35" i="109"/>
  <c r="N35" i="109"/>
  <c r="L35" i="109"/>
  <c r="S35" i="109"/>
  <c r="L29" i="109" l="1"/>
  <c r="L31" i="109"/>
  <c r="L33" i="109"/>
  <c r="L32" i="109"/>
  <c r="L28" i="109"/>
  <c r="L30" i="109"/>
  <c r="K31" i="109"/>
  <c r="K33" i="109"/>
  <c r="K28" i="109"/>
  <c r="K30" i="109"/>
  <c r="K32" i="109"/>
  <c r="K29" i="109"/>
  <c r="Q28" i="109"/>
  <c r="Q29" i="109"/>
  <c r="Q31" i="109"/>
  <c r="Q33" i="109"/>
  <c r="Q30" i="109"/>
  <c r="Q32" i="109"/>
  <c r="N28" i="109"/>
  <c r="N30" i="109"/>
  <c r="N32" i="109"/>
  <c r="N33" i="109"/>
  <c r="N29" i="109"/>
  <c r="N31" i="109"/>
  <c r="R28" i="109"/>
  <c r="R30" i="109"/>
  <c r="R32" i="109"/>
  <c r="R31" i="109"/>
  <c r="R29" i="109"/>
  <c r="R33" i="109"/>
  <c r="P29" i="109"/>
  <c r="P31" i="109"/>
  <c r="P33" i="109"/>
  <c r="P30" i="109"/>
  <c r="P32" i="109"/>
  <c r="P28" i="109"/>
  <c r="O29" i="109"/>
  <c r="O31" i="109"/>
  <c r="O28" i="109"/>
  <c r="O30" i="109"/>
  <c r="O32" i="109"/>
  <c r="O33" i="109"/>
  <c r="M32" i="109"/>
  <c r="M29" i="109"/>
  <c r="M31" i="109"/>
  <c r="M33" i="109"/>
  <c r="M28" i="109"/>
  <c r="M30" i="109"/>
  <c r="S29" i="109"/>
  <c r="BP13" i="109" s="1"/>
  <c r="V29" i="109" s="1"/>
  <c r="S33" i="109"/>
  <c r="BP17" i="109" s="1"/>
  <c r="V33" i="109" s="1"/>
  <c r="S28" i="109"/>
  <c r="BP12" i="109" s="1"/>
  <c r="S30" i="109"/>
  <c r="BP14" i="109" s="1"/>
  <c r="V30" i="109" s="1"/>
  <c r="S32" i="109"/>
  <c r="BP16" i="109" s="1"/>
  <c r="V32" i="109" s="1"/>
  <c r="S31" i="109"/>
  <c r="BP15" i="109" s="1"/>
  <c r="J28" i="109"/>
  <c r="J30" i="109"/>
  <c r="J32" i="109"/>
  <c r="J29" i="109"/>
  <c r="J31" i="109"/>
  <c r="J33" i="109"/>
  <c r="V31" i="109" l="1"/>
  <c r="BQ15" i="109"/>
  <c r="V15" i="109"/>
  <c r="V12" i="109"/>
  <c r="V28" i="109"/>
  <c r="V13" i="109"/>
  <c r="BQ13" i="109"/>
  <c r="V14" i="109"/>
  <c r="BQ14" i="109"/>
  <c r="V16" i="109"/>
  <c r="BQ16" i="109"/>
  <c r="V17" i="109"/>
  <c r="BQ17" i="109"/>
  <c r="BQ12" i="109"/>
  <c r="P57" i="190"/>
  <c r="P74" i="190" s="1"/>
  <c r="P32" i="190"/>
  <c r="P80" i="190" l="1"/>
  <c r="P66" i="190"/>
  <c r="P63" i="190"/>
  <c r="P90" i="190"/>
  <c r="P64" i="190"/>
  <c r="P75" i="190"/>
  <c r="P82" i="190"/>
  <c r="P65" i="190"/>
  <c r="P67" i="190"/>
  <c r="P89" i="190"/>
  <c r="P81" i="190"/>
  <c r="P86" i="190"/>
  <c r="P72" i="190"/>
  <c r="P68" i="190"/>
  <c r="P83" i="190"/>
  <c r="P87" i="190"/>
  <c r="P71" i="190"/>
  <c r="P92" i="190"/>
  <c r="P84" i="190"/>
  <c r="P73" i="190"/>
  <c r="P88" i="190"/>
  <c r="P85" i="190"/>
  <c r="P69" i="190"/>
  <c r="P70" i="190"/>
  <c r="P91" i="190"/>
  <c r="P76" i="190" l="1"/>
  <c r="P93" i="190"/>
  <c r="P33" i="190"/>
  <c r="P20" i="190"/>
  <c r="P18" i="190"/>
</calcChain>
</file>

<file path=xl/sharedStrings.xml><?xml version="1.0" encoding="utf-8"?>
<sst xmlns="http://schemas.openxmlformats.org/spreadsheetml/2006/main" count="47150" uniqueCount="7610">
  <si>
    <t>PB</t>
  </si>
  <si>
    <t>Imst</t>
  </si>
  <si>
    <t>Innsbruck-Land</t>
  </si>
  <si>
    <t>Innsbruck-Stadt</t>
  </si>
  <si>
    <t>Kufstein</t>
  </si>
  <si>
    <t>Landeck</t>
  </si>
  <si>
    <t>Lienz</t>
  </si>
  <si>
    <t>Reutte</t>
  </si>
  <si>
    <t>Schwaz</t>
  </si>
  <si>
    <t>Kitzbühel</t>
  </si>
  <si>
    <t>Spittal an der Drau</t>
  </si>
  <si>
    <t>Verkehr</t>
  </si>
  <si>
    <t>Autobahn u. Schnellstraße</t>
  </si>
  <si>
    <t>Gemeinde- und sonstige Straßen</t>
  </si>
  <si>
    <t>Schienen</t>
  </si>
  <si>
    <t>Wohnnutzung</t>
  </si>
  <si>
    <t>Wald innerhalb Baulandwidmung</t>
  </si>
  <si>
    <t>Gebäude</t>
  </si>
  <si>
    <t>Gebäudenebenfläche</t>
  </si>
  <si>
    <t>Bufferfläche</t>
  </si>
  <si>
    <t>code</t>
  </si>
  <si>
    <t>label</t>
  </si>
  <si>
    <t>include in stats</t>
  </si>
  <si>
    <t>ja</t>
  </si>
  <si>
    <t>nein</t>
  </si>
  <si>
    <t>Verkehrsfläche</t>
  </si>
  <si>
    <t>PB_NUMMER</t>
  </si>
  <si>
    <t>BL_NUMMER</t>
  </si>
  <si>
    <t>BL_NAME</t>
  </si>
  <si>
    <t>Eisenstadt(Stadt)</t>
  </si>
  <si>
    <t>Burgenland</t>
  </si>
  <si>
    <t>Rust(Stadt)</t>
  </si>
  <si>
    <t>Eisenstadt-Umgebung</t>
  </si>
  <si>
    <t>Güssing</t>
  </si>
  <si>
    <t>Jennersdorf</t>
  </si>
  <si>
    <t>Mattersburg</t>
  </si>
  <si>
    <t>Neusiedl am See</t>
  </si>
  <si>
    <t>Oberpullendorf</t>
  </si>
  <si>
    <t>Oberwart</t>
  </si>
  <si>
    <t>Klagenfurt Stadt</t>
  </si>
  <si>
    <t>Kärnten</t>
  </si>
  <si>
    <t>Villach Stadt</t>
  </si>
  <si>
    <t>Hermagor</t>
  </si>
  <si>
    <t>Klagenfurt Land</t>
  </si>
  <si>
    <t>Sankt Veit an der Glan</t>
  </si>
  <si>
    <t>Villach Land</t>
  </si>
  <si>
    <t>Völkermarkt</t>
  </si>
  <si>
    <t>Wolfsberg</t>
  </si>
  <si>
    <t>Feldkirchen</t>
  </si>
  <si>
    <t>Krems an der Donau(Stadt)</t>
  </si>
  <si>
    <t>Niederösterreich</t>
  </si>
  <si>
    <t>Sankt Pölten(Stadt)</t>
  </si>
  <si>
    <t>Waidhofen an der Ybbs(Stadt)</t>
  </si>
  <si>
    <t>Wiener Neustadt(Stadt)</t>
  </si>
  <si>
    <t>Amstetten</t>
  </si>
  <si>
    <t>Baden</t>
  </si>
  <si>
    <t>Bruck an der Leitha</t>
  </si>
  <si>
    <t>Gänserndorf</t>
  </si>
  <si>
    <t>Gmünd</t>
  </si>
  <si>
    <t>Hollabrunn</t>
  </si>
  <si>
    <t>Horn</t>
  </si>
  <si>
    <t>Korneuburg</t>
  </si>
  <si>
    <t>Krems(Land)</t>
  </si>
  <si>
    <t>Lilienfeld</t>
  </si>
  <si>
    <t>Melk</t>
  </si>
  <si>
    <t>Mistelbach</t>
  </si>
  <si>
    <t>Mödling</t>
  </si>
  <si>
    <t>Neunkirchen</t>
  </si>
  <si>
    <t>Sankt Pölten(Land)</t>
  </si>
  <si>
    <t>Scheibbs</t>
  </si>
  <si>
    <t>Tulln</t>
  </si>
  <si>
    <t>Waidhofen an der Thaya</t>
  </si>
  <si>
    <t>Wiener Neustadt(Land)</t>
  </si>
  <si>
    <t>Zwettl</t>
  </si>
  <si>
    <t>Stadt Linz</t>
  </si>
  <si>
    <t>Oberösterreich</t>
  </si>
  <si>
    <t>Stadt Steyr</t>
  </si>
  <si>
    <t>Stadt Wels</t>
  </si>
  <si>
    <t>Braunau</t>
  </si>
  <si>
    <t>Eferding</t>
  </si>
  <si>
    <t>Freistadt</t>
  </si>
  <si>
    <t>Gmunden</t>
  </si>
  <si>
    <t>Grieskirchen</t>
  </si>
  <si>
    <t>Kirchdorf</t>
  </si>
  <si>
    <t>Linz-Land</t>
  </si>
  <si>
    <t>Perg</t>
  </si>
  <si>
    <t>Ried</t>
  </si>
  <si>
    <t>Rohrbach</t>
  </si>
  <si>
    <t>Schärding</t>
  </si>
  <si>
    <t>Steyr-Land</t>
  </si>
  <si>
    <t>Urfahr-Umgebung</t>
  </si>
  <si>
    <t>Vöcklabruck</t>
  </si>
  <si>
    <t>Wels-Land</t>
  </si>
  <si>
    <t>Salzburg</t>
  </si>
  <si>
    <t>Salzburg(Stadt)</t>
  </si>
  <si>
    <t>Hallein</t>
  </si>
  <si>
    <t>Salzburg-Umgebung</t>
  </si>
  <si>
    <t>Sankt Johann im Pongau</t>
  </si>
  <si>
    <t>Tamsweg</t>
  </si>
  <si>
    <t>Zell am See</t>
  </si>
  <si>
    <t>Graz(Stadt)</t>
  </si>
  <si>
    <t>Steiermark</t>
  </si>
  <si>
    <t>Deutschlandsberg</t>
  </si>
  <si>
    <t>Graz-Umgebung</t>
  </si>
  <si>
    <t>Leibnitz</t>
  </si>
  <si>
    <t>Leoben</t>
  </si>
  <si>
    <t>Liezen</t>
  </si>
  <si>
    <t>Murau</t>
  </si>
  <si>
    <t>Voitsberg</t>
  </si>
  <si>
    <t>Weiz</t>
  </si>
  <si>
    <t>Murtal</t>
  </si>
  <si>
    <t>Bruck-Mürzzuschlag</t>
  </si>
  <si>
    <t>Hartberg-Fürstenfeld</t>
  </si>
  <si>
    <t>Südoststeiermark</t>
  </si>
  <si>
    <t>Tirol</t>
  </si>
  <si>
    <t>Bludenz</t>
  </si>
  <si>
    <t>Vorarlberg</t>
  </si>
  <si>
    <t>Bregenz</t>
  </si>
  <si>
    <t>Dornbirn</t>
  </si>
  <si>
    <t>Feldkirch</t>
  </si>
  <si>
    <t>Wien  1., Innere Stadt</t>
  </si>
  <si>
    <t>Wien</t>
  </si>
  <si>
    <t>Wien  2., Leopoldstadt</t>
  </si>
  <si>
    <t>Wien  3., Landstraße</t>
  </si>
  <si>
    <t>Wien  4., Wieden</t>
  </si>
  <si>
    <t>Wien  5., Margareten</t>
  </si>
  <si>
    <t>Wien  6., Mariahilf</t>
  </si>
  <si>
    <t>Wien  7., Neubau</t>
  </si>
  <si>
    <t>Wien  8., Josefstadt</t>
  </si>
  <si>
    <t>Wien  9., Alsergrund</t>
  </si>
  <si>
    <t>Wien  10., Favoriten</t>
  </si>
  <si>
    <t>Wien  11., Simmering</t>
  </si>
  <si>
    <t>Wien  12., Meidling</t>
  </si>
  <si>
    <t>Wien  13., Hietzing</t>
  </si>
  <si>
    <t>Wien  14., Penzing</t>
  </si>
  <si>
    <t>Wien  15., Rudolfsheim-Fünfhaus</t>
  </si>
  <si>
    <t>Wien  16., Ottakring</t>
  </si>
  <si>
    <t>Wien  17., Hernals</t>
  </si>
  <si>
    <t>Wien  18., Währing</t>
  </si>
  <si>
    <t>Wien  19., Döbling</t>
  </si>
  <si>
    <t>Wien  20., Brigittenau</t>
  </si>
  <si>
    <t>Wien  21., Floridsdorf</t>
  </si>
  <si>
    <t>Wien  22., Donaustadt</t>
  </si>
  <si>
    <t>Wien  23., Liesing</t>
  </si>
  <si>
    <t>B</t>
  </si>
  <si>
    <t>K</t>
  </si>
  <si>
    <t>S</t>
  </si>
  <si>
    <t>T</t>
  </si>
  <si>
    <t>V</t>
  </si>
  <si>
    <t>W</t>
  </si>
  <si>
    <t>St</t>
  </si>
  <si>
    <t>Einheiten:</t>
  </si>
  <si>
    <t>ha</t>
  </si>
  <si>
    <t>km²</t>
  </si>
  <si>
    <t>Umrechnungsfaktor:</t>
  </si>
  <si>
    <t>EW_PG_2022</t>
  </si>
  <si>
    <t>BL</t>
  </si>
  <si>
    <t>Gesamtergebnis</t>
  </si>
  <si>
    <t>BL_Kennzeichen</t>
  </si>
  <si>
    <t>Bevölkerung:</t>
  </si>
  <si>
    <t>Darstellung:</t>
  </si>
  <si>
    <t>absolut</t>
  </si>
  <si>
    <t>relativ</t>
  </si>
  <si>
    <t>EW</t>
  </si>
  <si>
    <t>gemischte bauliche Nutzung</t>
  </si>
  <si>
    <t>betriebliche Nutzung</t>
  </si>
  <si>
    <t>sonstige bauliche Nutzung</t>
  </si>
  <si>
    <t>Landwirtschaft (INVEKOS) innerhalb Baulandwidmung</t>
  </si>
  <si>
    <t>Landesstraße B + L</t>
  </si>
  <si>
    <t>22x</t>
  </si>
  <si>
    <t>Gebäudefläche</t>
  </si>
  <si>
    <t>Dauersiedlungsraum:</t>
  </si>
  <si>
    <t>FI_Code</t>
  </si>
  <si>
    <t>PB_NAME</t>
  </si>
  <si>
    <t>DKM-Betriebsfläche</t>
  </si>
  <si>
    <t>GKZ</t>
  </si>
  <si>
    <t>Eisenstadt</t>
  </si>
  <si>
    <t>Rust</t>
  </si>
  <si>
    <t>Breitenbrunn am Neusiedler See</t>
  </si>
  <si>
    <t>Donnerskirchen</t>
  </si>
  <si>
    <t>Großhöflein</t>
  </si>
  <si>
    <t>Hornstein</t>
  </si>
  <si>
    <t>Klingenbach</t>
  </si>
  <si>
    <t>Leithaprodersdorf</t>
  </si>
  <si>
    <t>Mörbisch am See</t>
  </si>
  <si>
    <t>Müllendorf</t>
  </si>
  <si>
    <t>Neufeld an der Leitha</t>
  </si>
  <si>
    <t>Oggau am Neusiedler See</t>
  </si>
  <si>
    <t>Oslip</t>
  </si>
  <si>
    <t>Purbach am Neusiedler See</t>
  </si>
  <si>
    <t>Sankt Margarethen im Burgenland</t>
  </si>
  <si>
    <t>Schützen am Gebirge</t>
  </si>
  <si>
    <t>Siegendorf</t>
  </si>
  <si>
    <t>Steinbrunn</t>
  </si>
  <si>
    <t>Trausdorf an der Wulka</t>
  </si>
  <si>
    <t>Wimpassing an der Leitha</t>
  </si>
  <si>
    <t>Wulkaprodersdorf</t>
  </si>
  <si>
    <t>Loretto</t>
  </si>
  <si>
    <t>Stotzing</t>
  </si>
  <si>
    <t>Zillingtal</t>
  </si>
  <si>
    <t>Zagersdorf</t>
  </si>
  <si>
    <t>Bocksdorf</t>
  </si>
  <si>
    <t>Burgauberg-Neudauberg</t>
  </si>
  <si>
    <t>Eberau</t>
  </si>
  <si>
    <t>Gerersdorf-Sulz</t>
  </si>
  <si>
    <t>Güttenbach</t>
  </si>
  <si>
    <t>Heiligenbrunn</t>
  </si>
  <si>
    <t>Kukmirn</t>
  </si>
  <si>
    <t>Neuberg im Burgenland</t>
  </si>
  <si>
    <t>Neustift bei Güssing</t>
  </si>
  <si>
    <t>Olbendorf</t>
  </si>
  <si>
    <t>Ollersdorf im Burgenland</t>
  </si>
  <si>
    <t>Sankt Michael im Burgenland</t>
  </si>
  <si>
    <t>Stegersbach</t>
  </si>
  <si>
    <t>Stinatz</t>
  </si>
  <si>
    <t>Strem</t>
  </si>
  <si>
    <t>Tobaj</t>
  </si>
  <si>
    <t>Hackerberg</t>
  </si>
  <si>
    <t>Wörterberg</t>
  </si>
  <si>
    <t>Großmürbisch</t>
  </si>
  <si>
    <t>Inzenhof</t>
  </si>
  <si>
    <t>Kleinmürbisch</t>
  </si>
  <si>
    <t>Tschanigraben</t>
  </si>
  <si>
    <t>Heugraben</t>
  </si>
  <si>
    <t>Rohr im Burgenland</t>
  </si>
  <si>
    <t>Bildein</t>
  </si>
  <si>
    <t>Rauchwart</t>
  </si>
  <si>
    <t>Moschendorf</t>
  </si>
  <si>
    <t>Deutsch Kaltenbrunn</t>
  </si>
  <si>
    <t>Eltendorf</t>
  </si>
  <si>
    <t>Heiligenkreuz im Lafnitztal</t>
  </si>
  <si>
    <t>Minihof-Liebau</t>
  </si>
  <si>
    <t>Mogersdorf</t>
  </si>
  <si>
    <t>Neuhaus am Klausenbach</t>
  </si>
  <si>
    <t>Rudersdorf</t>
  </si>
  <si>
    <t>Sankt Martin an der Raab</t>
  </si>
  <si>
    <t>Weichselbaum</t>
  </si>
  <si>
    <t>Königsdorf</t>
  </si>
  <si>
    <t>Mühlgraben</t>
  </si>
  <si>
    <t>Draßburg</t>
  </si>
  <si>
    <t>Forchtenstein</t>
  </si>
  <si>
    <t>Hirm</t>
  </si>
  <si>
    <t>Loipersbach im Burgenland</t>
  </si>
  <si>
    <t>Marz</t>
  </si>
  <si>
    <t>Neudörfl</t>
  </si>
  <si>
    <t>Pöttelsdorf</t>
  </si>
  <si>
    <t>Pöttsching</t>
  </si>
  <si>
    <t>Rohrbach bei Mattersburg</t>
  </si>
  <si>
    <t>Bad Sauerbrunn</t>
  </si>
  <si>
    <t>Schattendorf</t>
  </si>
  <si>
    <t>Sieggraben</t>
  </si>
  <si>
    <t>Sigleß</t>
  </si>
  <si>
    <t>Wiesen</t>
  </si>
  <si>
    <t>Antau</t>
  </si>
  <si>
    <t>Baumgarten</t>
  </si>
  <si>
    <t>Zemendorf-Stöttera</t>
  </si>
  <si>
    <t>Krensdorf</t>
  </si>
  <si>
    <t>Andau</t>
  </si>
  <si>
    <t>Apetlon</t>
  </si>
  <si>
    <t>Bruckneudorf</t>
  </si>
  <si>
    <t>Deutsch Jahrndorf</t>
  </si>
  <si>
    <t>Frauenkirchen</t>
  </si>
  <si>
    <t>Gattendorf</t>
  </si>
  <si>
    <t>Gols</t>
  </si>
  <si>
    <t>Halbturn</t>
  </si>
  <si>
    <t>Illmitz</t>
  </si>
  <si>
    <t>Jois</t>
  </si>
  <si>
    <t>Kittsee</t>
  </si>
  <si>
    <t>Mönchhof</t>
  </si>
  <si>
    <t>Nickelsdorf</t>
  </si>
  <si>
    <t>Pama</t>
  </si>
  <si>
    <t>Pamhagen</t>
  </si>
  <si>
    <t>Parndorf</t>
  </si>
  <si>
    <t>Podersdorf am See</t>
  </si>
  <si>
    <t>Sankt Andrä am Zicksee</t>
  </si>
  <si>
    <t>Tadten</t>
  </si>
  <si>
    <t>Wallern im Burgenland</t>
  </si>
  <si>
    <t>Weiden am See</t>
  </si>
  <si>
    <t>Winden am See</t>
  </si>
  <si>
    <t>Zurndorf</t>
  </si>
  <si>
    <t>Neudorf</t>
  </si>
  <si>
    <t>Potzneusiedl</t>
  </si>
  <si>
    <t>Edelstal</t>
  </si>
  <si>
    <t>Deutschkreutz</t>
  </si>
  <si>
    <t>Draßmarkt</t>
  </si>
  <si>
    <t>Frankenau-Unterpullendorf</t>
  </si>
  <si>
    <t>Großwarasdorf</t>
  </si>
  <si>
    <t>Horitschon</t>
  </si>
  <si>
    <t>Kaisersdorf</t>
  </si>
  <si>
    <t>Kobersdorf</t>
  </si>
  <si>
    <t>Lackenbach</t>
  </si>
  <si>
    <t>Lockenhaus</t>
  </si>
  <si>
    <t>Lutzmannsburg</t>
  </si>
  <si>
    <t>Mannersdorf an der Rabnitz</t>
  </si>
  <si>
    <t>Markt Sankt Martin</t>
  </si>
  <si>
    <t>Neckenmarkt</t>
  </si>
  <si>
    <t>Neutal</t>
  </si>
  <si>
    <t>Nikitsch</t>
  </si>
  <si>
    <t>Pilgersdorf</t>
  </si>
  <si>
    <t>Piringsdorf</t>
  </si>
  <si>
    <t>Raiding</t>
  </si>
  <si>
    <t>Ritzing</t>
  </si>
  <si>
    <t>Steinberg-Dörfl</t>
  </si>
  <si>
    <t>Stoob</t>
  </si>
  <si>
    <t>Weppersdorf</t>
  </si>
  <si>
    <t>Lackendorf</t>
  </si>
  <si>
    <t>Unterfrauenhaid</t>
  </si>
  <si>
    <t>Unterrabnitz-Schwendgraben</t>
  </si>
  <si>
    <t>Weingraben</t>
  </si>
  <si>
    <t>Oberloisdorf</t>
  </si>
  <si>
    <t>Bad Tatzmannsdorf</t>
  </si>
  <si>
    <t>Bernstein</t>
  </si>
  <si>
    <t>Deutsch Schützen-Eisenberg</t>
  </si>
  <si>
    <t>Grafenschachen</t>
  </si>
  <si>
    <t>Großpetersdorf</t>
  </si>
  <si>
    <t>Hannersdorf</t>
  </si>
  <si>
    <t>Kemeten</t>
  </si>
  <si>
    <t>Kohfidisch</t>
  </si>
  <si>
    <t>Litzelsdorf</t>
  </si>
  <si>
    <t>Loipersdorf-Kitzladen</t>
  </si>
  <si>
    <t>Mariasdorf</t>
  </si>
  <si>
    <t>Markt Allhau</t>
  </si>
  <si>
    <t>Markt Neuhodis</t>
  </si>
  <si>
    <t>Mischendorf</t>
  </si>
  <si>
    <t>Oberdorf im Burgenland</t>
  </si>
  <si>
    <t>Oberschützen</t>
  </si>
  <si>
    <t>Pinkafeld</t>
  </si>
  <si>
    <t>Rechnitz</t>
  </si>
  <si>
    <t>Riedlingsdorf</t>
  </si>
  <si>
    <t>Rotenturm an der Pinka</t>
  </si>
  <si>
    <t>Schachendorf</t>
  </si>
  <si>
    <t>Stadtschlaining</t>
  </si>
  <si>
    <t>Unterkohlstätten</t>
  </si>
  <si>
    <t>Unterwart</t>
  </si>
  <si>
    <t>Weiden bei Rechnitz</t>
  </si>
  <si>
    <t>Wiesfleck</t>
  </si>
  <si>
    <t>Wolfau</t>
  </si>
  <si>
    <t>Neustift an der Lafnitz</t>
  </si>
  <si>
    <t>Jabing</t>
  </si>
  <si>
    <t>Badersdorf</t>
  </si>
  <si>
    <t>Schandorf</t>
  </si>
  <si>
    <t>Klagenfurt am Wörthersee</t>
  </si>
  <si>
    <t>Villach</t>
  </si>
  <si>
    <t>Dellach</t>
  </si>
  <si>
    <t>Hermagor-Pressegger See</t>
  </si>
  <si>
    <t>Kirchbach</t>
  </si>
  <si>
    <t>Kötschach-Mauthen</t>
  </si>
  <si>
    <t>Gitschtal</t>
  </si>
  <si>
    <t>Lesachtal</t>
  </si>
  <si>
    <t>Ebenthal in Kärnten</t>
  </si>
  <si>
    <t>Feistritz im Rosental</t>
  </si>
  <si>
    <t>Ferlach</t>
  </si>
  <si>
    <t>Grafenstein</t>
  </si>
  <si>
    <t>Keutschach am See</t>
  </si>
  <si>
    <t>Köttmannsdorf</t>
  </si>
  <si>
    <t>Ludmannsdorf</t>
  </si>
  <si>
    <t>Maria Rain</t>
  </si>
  <si>
    <t>Maria Saal</t>
  </si>
  <si>
    <t>Maria Wörth</t>
  </si>
  <si>
    <t>Moosburg</t>
  </si>
  <si>
    <t>Pörtschach am Wörther See</t>
  </si>
  <si>
    <t>Poggersdorf</t>
  </si>
  <si>
    <t>Schiefling am Wörthersee</t>
  </si>
  <si>
    <t>Techelsberg am Wörther See</t>
  </si>
  <si>
    <t>Zell</t>
  </si>
  <si>
    <t>Magdalensberg</t>
  </si>
  <si>
    <t>Althofen</t>
  </si>
  <si>
    <t>Brückl</t>
  </si>
  <si>
    <t>Deutsch-Griffen</t>
  </si>
  <si>
    <t>Eberstein</t>
  </si>
  <si>
    <t>Friesach</t>
  </si>
  <si>
    <t>Glödnitz</t>
  </si>
  <si>
    <t>Gurk</t>
  </si>
  <si>
    <t>Guttaring</t>
  </si>
  <si>
    <t>Hüttenberg</t>
  </si>
  <si>
    <t>Kappel am Krappfeld</t>
  </si>
  <si>
    <t>Liebenfels</t>
  </si>
  <si>
    <t>Metnitz</t>
  </si>
  <si>
    <t>Micheldorf</t>
  </si>
  <si>
    <t>Mölbling</t>
  </si>
  <si>
    <t>Straßburg</t>
  </si>
  <si>
    <t>Weitensfeld im Gurktal</t>
  </si>
  <si>
    <t>Frauenstein</t>
  </si>
  <si>
    <t>Bad Kleinkirchheim</t>
  </si>
  <si>
    <t>Baldramsdorf</t>
  </si>
  <si>
    <t>Berg im Drautal</t>
  </si>
  <si>
    <t>Dellach im Drautal</t>
  </si>
  <si>
    <t>Großkirchheim</t>
  </si>
  <si>
    <t>Flattach</t>
  </si>
  <si>
    <t>Gmünd in Kärnten</t>
  </si>
  <si>
    <t>Greifenburg</t>
  </si>
  <si>
    <t>Heiligenblut am Großglockner</t>
  </si>
  <si>
    <t>Irschen</t>
  </si>
  <si>
    <t>Kleblach-Lind</t>
  </si>
  <si>
    <t>Lendorf</t>
  </si>
  <si>
    <t>Mallnitz</t>
  </si>
  <si>
    <t>Malta</t>
  </si>
  <si>
    <t>Millstatt</t>
  </si>
  <si>
    <t>Mörtschach</t>
  </si>
  <si>
    <t>Mühldorf</t>
  </si>
  <si>
    <t>Oberdrauburg</t>
  </si>
  <si>
    <t>Obervellach</t>
  </si>
  <si>
    <t>Radenthein</t>
  </si>
  <si>
    <t>Rangersdorf</t>
  </si>
  <si>
    <t>Rennweg am Katschberg</t>
  </si>
  <si>
    <t>Sachsenburg</t>
  </si>
  <si>
    <t>Seeboden am Millstätter See</t>
  </si>
  <si>
    <t>Stall</t>
  </si>
  <si>
    <t>Steinfeld</t>
  </si>
  <si>
    <t>Trebesing</t>
  </si>
  <si>
    <t>Weißensee</t>
  </si>
  <si>
    <t>Winklern</t>
  </si>
  <si>
    <t>Krems in Kärnten</t>
  </si>
  <si>
    <t>Lurnfeld</t>
  </si>
  <si>
    <t>Reißeck</t>
  </si>
  <si>
    <t>Afritz am See</t>
  </si>
  <si>
    <t>Arnoldstein</t>
  </si>
  <si>
    <t>Arriach</t>
  </si>
  <si>
    <t>Bad Bleiberg</t>
  </si>
  <si>
    <t>Feistritz an der Gail</t>
  </si>
  <si>
    <t>Feld am See</t>
  </si>
  <si>
    <t>Ferndorf</t>
  </si>
  <si>
    <t>Finkenstein am Faaker See</t>
  </si>
  <si>
    <t>Fresach</t>
  </si>
  <si>
    <t>Hohenthurn</t>
  </si>
  <si>
    <t>Nötsch im Gailtal</t>
  </si>
  <si>
    <t>Paternion</t>
  </si>
  <si>
    <t>Rosegg</t>
  </si>
  <si>
    <t>Stockenboi</t>
  </si>
  <si>
    <t>Treffen am Ossiacher See</t>
  </si>
  <si>
    <t>Velden am Wörther See</t>
  </si>
  <si>
    <t>Weißenstein</t>
  </si>
  <si>
    <t>Wernberg</t>
  </si>
  <si>
    <t>Bleiburg</t>
  </si>
  <si>
    <t>Diex</t>
  </si>
  <si>
    <t>Eberndorf</t>
  </si>
  <si>
    <t>Eisenkappel-Vellach</t>
  </si>
  <si>
    <t>Feistritz ob Bleiburg</t>
  </si>
  <si>
    <t>Gallizien</t>
  </si>
  <si>
    <t>Globasnitz</t>
  </si>
  <si>
    <t>Griffen</t>
  </si>
  <si>
    <t>Neuhaus</t>
  </si>
  <si>
    <t>Ruden</t>
  </si>
  <si>
    <t>Sittersdorf</t>
  </si>
  <si>
    <t>Lavamünd</t>
  </si>
  <si>
    <t>Preitenegg</t>
  </si>
  <si>
    <t>Reichenfels</t>
  </si>
  <si>
    <t>Albeck</t>
  </si>
  <si>
    <t>Feldkirchen in Kärnten</t>
  </si>
  <si>
    <t>Glanegg</t>
  </si>
  <si>
    <t>Gnesau</t>
  </si>
  <si>
    <t>Himmelberg</t>
  </si>
  <si>
    <t>Ossiach</t>
  </si>
  <si>
    <t>Reichenau</t>
  </si>
  <si>
    <t>Steindorf am Ossiacher See</t>
  </si>
  <si>
    <t>Steuerberg</t>
  </si>
  <si>
    <t>Krems an der Donau</t>
  </si>
  <si>
    <t>Waidhofen an der Ybbs</t>
  </si>
  <si>
    <t>Wiener Neustadt</t>
  </si>
  <si>
    <t>Allhartsberg</t>
  </si>
  <si>
    <t>Ardagger</t>
  </si>
  <si>
    <t>Aschbach-Markt</t>
  </si>
  <si>
    <t>Behamberg</t>
  </si>
  <si>
    <t>Biberbach</t>
  </si>
  <si>
    <t>Ennsdorf</t>
  </si>
  <si>
    <t>Ernsthofen</t>
  </si>
  <si>
    <t>Ertl</t>
  </si>
  <si>
    <t>Euratsfeld</t>
  </si>
  <si>
    <t>Ferschnitz</t>
  </si>
  <si>
    <t>Haag</t>
  </si>
  <si>
    <t>Haidershofen</t>
  </si>
  <si>
    <t>Hollenstein an der Ybbs</t>
  </si>
  <si>
    <t>Kematen an der Ybbs</t>
  </si>
  <si>
    <t>Neuhofen an der Ybbs</t>
  </si>
  <si>
    <t>Neustadtl an der Donau</t>
  </si>
  <si>
    <t>Oed-Oehling</t>
  </si>
  <si>
    <t>Opponitz</t>
  </si>
  <si>
    <t>Seitenstetten</t>
  </si>
  <si>
    <t>Sonntagberg</t>
  </si>
  <si>
    <t>Strengberg</t>
  </si>
  <si>
    <t>Viehdorf</t>
  </si>
  <si>
    <t>Wallsee-Sindelburg</t>
  </si>
  <si>
    <t>Weistrach</t>
  </si>
  <si>
    <t>Winklarn</t>
  </si>
  <si>
    <t>Wolfsbach</t>
  </si>
  <si>
    <t>Ybbsitz</t>
  </si>
  <si>
    <t>Zeillern</t>
  </si>
  <si>
    <t>Alland</t>
  </si>
  <si>
    <t>Altenmarkt an der Triesting</t>
  </si>
  <si>
    <t>Bad Vöslau</t>
  </si>
  <si>
    <t>Berndorf</t>
  </si>
  <si>
    <t>Ebreichsdorf</t>
  </si>
  <si>
    <t>Enzesfeld-Lindabrunn</t>
  </si>
  <si>
    <t>Furth an der Triesting</t>
  </si>
  <si>
    <t>Günselsdorf</t>
  </si>
  <si>
    <t>Heiligenkreuz</t>
  </si>
  <si>
    <t>Hernstein</t>
  </si>
  <si>
    <t>Hirtenberg</t>
  </si>
  <si>
    <t>Klausen-Leopoldsdorf</t>
  </si>
  <si>
    <t>Kottingbrunn</t>
  </si>
  <si>
    <t>Leobersdorf</t>
  </si>
  <si>
    <t>Mitterndorf an der Fischa</t>
  </si>
  <si>
    <t>Oberwaltersdorf</t>
  </si>
  <si>
    <t>Pfaffstätten</t>
  </si>
  <si>
    <t>Pottendorf</t>
  </si>
  <si>
    <t>Pottenstein</t>
  </si>
  <si>
    <t>Reisenberg</t>
  </si>
  <si>
    <t>Schönau an der Triesting</t>
  </si>
  <si>
    <t>Seibersdorf</t>
  </si>
  <si>
    <t>Sooß</t>
  </si>
  <si>
    <t>Tattendorf</t>
  </si>
  <si>
    <t>Teesdorf</t>
  </si>
  <si>
    <t>Traiskirchen</t>
  </si>
  <si>
    <t>Trumau</t>
  </si>
  <si>
    <t>Weissenbach an der Triesting</t>
  </si>
  <si>
    <t>Blumau-Neurißhof</t>
  </si>
  <si>
    <t>Au am Leithaberge</t>
  </si>
  <si>
    <t>Bad Deutsch-Altenburg</t>
  </si>
  <si>
    <t>Berg</t>
  </si>
  <si>
    <t>Enzersdorf an der Fischa</t>
  </si>
  <si>
    <t>Göttlesbrunn-Arbesthal</t>
  </si>
  <si>
    <t>Götzendorf an der Leitha</t>
  </si>
  <si>
    <t>Haslau-Maria Ellend</t>
  </si>
  <si>
    <t>Höflein</t>
  </si>
  <si>
    <t>Hof am Leithaberge</t>
  </si>
  <si>
    <t>Hundsheim</t>
  </si>
  <si>
    <t>Mannersdorf am Leithagebirge</t>
  </si>
  <si>
    <t>Petronell-Carnuntum</t>
  </si>
  <si>
    <t>Prellenkirchen</t>
  </si>
  <si>
    <t>Rohrau</t>
  </si>
  <si>
    <t>Scharndorf</t>
  </si>
  <si>
    <t>Sommerein</t>
  </si>
  <si>
    <t>Trautmannsdorf an der Leitha</t>
  </si>
  <si>
    <t>Wolfsthal</t>
  </si>
  <si>
    <t>Ebergassing</t>
  </si>
  <si>
    <t>Fischamend</t>
  </si>
  <si>
    <t>Gramatneusiedl</t>
  </si>
  <si>
    <t>Himberg</t>
  </si>
  <si>
    <t>Klein-Neusiedl</t>
  </si>
  <si>
    <t>Lanzendorf</t>
  </si>
  <si>
    <t>Leopoldsdorf</t>
  </si>
  <si>
    <t>Maria-Lanzendorf</t>
  </si>
  <si>
    <t>Moosbrunn</t>
  </si>
  <si>
    <t>Rauchenwarth</t>
  </si>
  <si>
    <t>Schwadorf</t>
  </si>
  <si>
    <t>Schwechat</t>
  </si>
  <si>
    <t>Zwölfaxing</t>
  </si>
  <si>
    <t>Aderklaa</t>
  </si>
  <si>
    <t>Andlersdorf</t>
  </si>
  <si>
    <t>Angern an der March</t>
  </si>
  <si>
    <t>Auersthal</t>
  </si>
  <si>
    <t>Bad Pirawarth</t>
  </si>
  <si>
    <t>Deutsch-Wagram</t>
  </si>
  <si>
    <t>Drösing</t>
  </si>
  <si>
    <t>Dürnkrut</t>
  </si>
  <si>
    <t>Ebenthal</t>
  </si>
  <si>
    <t>Eckartsau</t>
  </si>
  <si>
    <t>Engelhartstetten</t>
  </si>
  <si>
    <t>Glinzendorf</t>
  </si>
  <si>
    <t>Groß-Enzersdorf</t>
  </si>
  <si>
    <t>Großhofen</t>
  </si>
  <si>
    <t>Groß-Schweinbarth</t>
  </si>
  <si>
    <t>Haringsee</t>
  </si>
  <si>
    <t>Hauskirchen</t>
  </si>
  <si>
    <t>Hohenau an der March</t>
  </si>
  <si>
    <t>Hohenruppersdorf</t>
  </si>
  <si>
    <t>Jedenspeigen</t>
  </si>
  <si>
    <t>Lassee</t>
  </si>
  <si>
    <t>Leopoldsdorf im Marchfelde</t>
  </si>
  <si>
    <t>Mannsdorf an der Donau</t>
  </si>
  <si>
    <t>Marchegg</t>
  </si>
  <si>
    <t>Markgrafneusiedl</t>
  </si>
  <si>
    <t>Matzen-Raggendorf</t>
  </si>
  <si>
    <t>Neusiedl an der Zaya</t>
  </si>
  <si>
    <t>Obersiebenbrunn</t>
  </si>
  <si>
    <t>Orth an der Donau</t>
  </si>
  <si>
    <t>Palterndorf-Dobermannsdorf</t>
  </si>
  <si>
    <t>Parbasdorf</t>
  </si>
  <si>
    <t>Prottes</t>
  </si>
  <si>
    <t>Raasdorf</t>
  </si>
  <si>
    <t>Ringelsdorf-Niederabsdorf</t>
  </si>
  <si>
    <t>Schönkirchen-Reyersdorf</t>
  </si>
  <si>
    <t>Spannberg</t>
  </si>
  <si>
    <t>Strasshof an der Nordbahn</t>
  </si>
  <si>
    <t>Sulz im Weinviertel</t>
  </si>
  <si>
    <t>Untersiebenbrunn</t>
  </si>
  <si>
    <t>Velm-Götzendorf</t>
  </si>
  <si>
    <t>Weikendorf</t>
  </si>
  <si>
    <t>Zistersdorf</t>
  </si>
  <si>
    <t>Weiden an der March</t>
  </si>
  <si>
    <t>Amaliendorf-Aalfang</t>
  </si>
  <si>
    <t>Brand-Nagelberg</t>
  </si>
  <si>
    <t>Eggern</t>
  </si>
  <si>
    <t>Eisgarn</t>
  </si>
  <si>
    <t>Großdietmanns</t>
  </si>
  <si>
    <t>Bad Großpertholz</t>
  </si>
  <si>
    <t>Großschönau</t>
  </si>
  <si>
    <t>Moorbad Harbach</t>
  </si>
  <si>
    <t>Haugschlag</t>
  </si>
  <si>
    <t>Heidenreichstein</t>
  </si>
  <si>
    <t>Hirschbach</t>
  </si>
  <si>
    <t>Hoheneich</t>
  </si>
  <si>
    <t>Kirchberg am Walde</t>
  </si>
  <si>
    <t>Litschau</t>
  </si>
  <si>
    <t>Reingers</t>
  </si>
  <si>
    <t>Schrems</t>
  </si>
  <si>
    <t>Unserfrau-Altweitra</t>
  </si>
  <si>
    <t>Waldenstein</t>
  </si>
  <si>
    <t>Weitra</t>
  </si>
  <si>
    <t>Alberndorf im Pulkautal</t>
  </si>
  <si>
    <t>Göllersdorf</t>
  </si>
  <si>
    <t>Grabern</t>
  </si>
  <si>
    <t>Guntersdorf</t>
  </si>
  <si>
    <t>Hadres</t>
  </si>
  <si>
    <t>Hardegg</t>
  </si>
  <si>
    <t>Haugsdorf</t>
  </si>
  <si>
    <t>Heldenberg</t>
  </si>
  <si>
    <t>Hohenwarth-Mühlbach a.M.</t>
  </si>
  <si>
    <t>Mailberg</t>
  </si>
  <si>
    <t>Maissau</t>
  </si>
  <si>
    <t>Nappersdorf-Kammersdorf</t>
  </si>
  <si>
    <t>Pernersdorf</t>
  </si>
  <si>
    <t>Pulkau</t>
  </si>
  <si>
    <t>Ravelsbach</t>
  </si>
  <si>
    <t>Retz</t>
  </si>
  <si>
    <t>Retzbach</t>
  </si>
  <si>
    <t>Schrattenthal</t>
  </si>
  <si>
    <t>Seefeld-Kadolz</t>
  </si>
  <si>
    <t>Sitzendorf an der Schmida</t>
  </si>
  <si>
    <t>Wullersdorf</t>
  </si>
  <si>
    <t>Zellerndorf</t>
  </si>
  <si>
    <t>Ziersdorf</t>
  </si>
  <si>
    <t>Altenburg</t>
  </si>
  <si>
    <t>Brunn an der Wild</t>
  </si>
  <si>
    <t>Burgschleinitz-Kühnring</t>
  </si>
  <si>
    <t>Drosendorf-Zissersdorf</t>
  </si>
  <si>
    <t>Eggenburg</t>
  </si>
  <si>
    <t>Gars am Kamp</t>
  </si>
  <si>
    <t>Geras</t>
  </si>
  <si>
    <t>Irnfritz-Messern</t>
  </si>
  <si>
    <t>Japons</t>
  </si>
  <si>
    <t>Langau</t>
  </si>
  <si>
    <t>Meiseldorf</t>
  </si>
  <si>
    <t>Pernegg</t>
  </si>
  <si>
    <t>Röhrenbach</t>
  </si>
  <si>
    <t>Röschitz</t>
  </si>
  <si>
    <t>Rosenburg-Mold</t>
  </si>
  <si>
    <t>Sigmundsherberg</t>
  </si>
  <si>
    <t>Weitersfeld</t>
  </si>
  <si>
    <t>Straning-Grafenberg</t>
  </si>
  <si>
    <t>Bisamberg</t>
  </si>
  <si>
    <t>Enzersfeld im Weinviertel</t>
  </si>
  <si>
    <t>Ernstbrunn</t>
  </si>
  <si>
    <t>Großmugl</t>
  </si>
  <si>
    <t>Großrußbach</t>
  </si>
  <si>
    <t>Hagenbrunn</t>
  </si>
  <si>
    <t>Harmannsdorf</t>
  </si>
  <si>
    <t>Hausleiten</t>
  </si>
  <si>
    <t>Langenzersdorf</t>
  </si>
  <si>
    <t>Leitzersdorf</t>
  </si>
  <si>
    <t>Leobendorf</t>
  </si>
  <si>
    <t>Rußbach</t>
  </si>
  <si>
    <t>Sierndorf</t>
  </si>
  <si>
    <t>Spillern</t>
  </si>
  <si>
    <t>Stetteldorf am Wagram</t>
  </si>
  <si>
    <t>Stetten</t>
  </si>
  <si>
    <t>Stockerau</t>
  </si>
  <si>
    <t>Niederhollabrunn</t>
  </si>
  <si>
    <t>Gerasdorf bei Wien</t>
  </si>
  <si>
    <t>Aggsbach</t>
  </si>
  <si>
    <t>Albrechtsberg an der Großen Krems</t>
  </si>
  <si>
    <t>Bergern im Dunkelsteinerwald</t>
  </si>
  <si>
    <t>Dürnstein</t>
  </si>
  <si>
    <t>Grafenegg</t>
  </si>
  <si>
    <t>Furth bei Göttweig</t>
  </si>
  <si>
    <t>Gedersdorf</t>
  </si>
  <si>
    <t>Gföhl</t>
  </si>
  <si>
    <t>Hadersdorf-Kammern</t>
  </si>
  <si>
    <t>Jaidhof</t>
  </si>
  <si>
    <t>Krumau am Kamp</t>
  </si>
  <si>
    <t>Langenlois</t>
  </si>
  <si>
    <t>Lengenfeld</t>
  </si>
  <si>
    <t>Lichtenau im Waldviertel</t>
  </si>
  <si>
    <t>Maria Laach am Jauerling</t>
  </si>
  <si>
    <t>Mautern an der Donau</t>
  </si>
  <si>
    <t>Paudorf</t>
  </si>
  <si>
    <t>Rastenfeld</t>
  </si>
  <si>
    <t>Rohrendorf bei Krems</t>
  </si>
  <si>
    <t>Rossatz-Arnsdorf</t>
  </si>
  <si>
    <t>Senftenberg</t>
  </si>
  <si>
    <t>Spitz</t>
  </si>
  <si>
    <t>Straß im Straßertale</t>
  </si>
  <si>
    <t>Stratzing</t>
  </si>
  <si>
    <t>Weinzierl am Walde</t>
  </si>
  <si>
    <t>Weißenkirchen in der Wachau</t>
  </si>
  <si>
    <t>Schönberg am Kamp</t>
  </si>
  <si>
    <t>Droß</t>
  </si>
  <si>
    <t>Annaberg</t>
  </si>
  <si>
    <t>Eschenau</t>
  </si>
  <si>
    <t>Hainfeld</t>
  </si>
  <si>
    <t>Hohenberg</t>
  </si>
  <si>
    <t>Kaumberg</t>
  </si>
  <si>
    <t>Kleinzell</t>
  </si>
  <si>
    <t>Mitterbach am Erlaufsee</t>
  </si>
  <si>
    <t>Ramsau</t>
  </si>
  <si>
    <t>Rohrbach an der Gölsen</t>
  </si>
  <si>
    <t>Traisen</t>
  </si>
  <si>
    <t>Türnitz</t>
  </si>
  <si>
    <t>Artstetten-Pöbring</t>
  </si>
  <si>
    <t>Bergland</t>
  </si>
  <si>
    <t>Bischofstetten</t>
  </si>
  <si>
    <t>Blindenmarkt</t>
  </si>
  <si>
    <t>Dorfstetten</t>
  </si>
  <si>
    <t>Dunkelsteinerwald</t>
  </si>
  <si>
    <t>Erlauf</t>
  </si>
  <si>
    <t>Golling an der Erlauf</t>
  </si>
  <si>
    <t>Hofamt Priel</t>
  </si>
  <si>
    <t>Hürm</t>
  </si>
  <si>
    <t>Kilb</t>
  </si>
  <si>
    <t>Kirnberg an der Mank</t>
  </si>
  <si>
    <t>Klein-Pöchlarn</t>
  </si>
  <si>
    <t>Krummnußbaum</t>
  </si>
  <si>
    <t>Leiben</t>
  </si>
  <si>
    <t>Loosdorf</t>
  </si>
  <si>
    <t>Mank</t>
  </si>
  <si>
    <t>Marbach an der Donau</t>
  </si>
  <si>
    <t>Maria Taferl</t>
  </si>
  <si>
    <t>Münichreith-Laimbach</t>
  </si>
  <si>
    <t>Neumarkt an der Ybbs</t>
  </si>
  <si>
    <t>Nöchling</t>
  </si>
  <si>
    <t>Persenbeug-Gottsdorf</t>
  </si>
  <si>
    <t>Petzenkirchen</t>
  </si>
  <si>
    <t>Pöchlarn</t>
  </si>
  <si>
    <t>Pöggstall</t>
  </si>
  <si>
    <t>Raxendorf</t>
  </si>
  <si>
    <t>Ruprechtshofen</t>
  </si>
  <si>
    <t>Schönbühel-Aggsbach</t>
  </si>
  <si>
    <t>Schollach</t>
  </si>
  <si>
    <t>Weiten</t>
  </si>
  <si>
    <t>Ybbs an der Donau</t>
  </si>
  <si>
    <t>Zelking-Matzleinsdorf</t>
  </si>
  <si>
    <t>Texingtal</t>
  </si>
  <si>
    <t>Yspertal</t>
  </si>
  <si>
    <t>Emmersdorf an der Donau</t>
  </si>
  <si>
    <t>Altlichtenwarth</t>
  </si>
  <si>
    <t>Asparn an der Zaya</t>
  </si>
  <si>
    <t>Bernhardsthal</t>
  </si>
  <si>
    <t>Bockfließ</t>
  </si>
  <si>
    <t>Drasenhofen</t>
  </si>
  <si>
    <t>Falkenstein</t>
  </si>
  <si>
    <t>Fallbach</t>
  </si>
  <si>
    <t>Gaubitsch</t>
  </si>
  <si>
    <t>Gaweinstal</t>
  </si>
  <si>
    <t>Gnadendorf</t>
  </si>
  <si>
    <t>Großebersdorf</t>
  </si>
  <si>
    <t>Großengersdorf</t>
  </si>
  <si>
    <t>Großharras</t>
  </si>
  <si>
    <t>Großkrut</t>
  </si>
  <si>
    <t>Hausbrunn</t>
  </si>
  <si>
    <t>Herrnbaumgarten</t>
  </si>
  <si>
    <t>Hochleithen</t>
  </si>
  <si>
    <t>Kreuttal</t>
  </si>
  <si>
    <t>Kreuzstetten</t>
  </si>
  <si>
    <t>Laa an der Thaya</t>
  </si>
  <si>
    <t>Ladendorf</t>
  </si>
  <si>
    <t>Niederleis</t>
  </si>
  <si>
    <t>Pillichsdorf</t>
  </si>
  <si>
    <t>Poysdorf</t>
  </si>
  <si>
    <t>Rabensburg</t>
  </si>
  <si>
    <t>Schrattenberg</t>
  </si>
  <si>
    <t>Staatz</t>
  </si>
  <si>
    <t>Stronsdorf</t>
  </si>
  <si>
    <t>Ulrichskirchen-Schleinbach</t>
  </si>
  <si>
    <t>Unterstinkenbrunn</t>
  </si>
  <si>
    <t>Wildendürnbach</t>
  </si>
  <si>
    <t>Wilfersdorf</t>
  </si>
  <si>
    <t>Wolkersdorf im Weinviertel</t>
  </si>
  <si>
    <t>Ottenthal</t>
  </si>
  <si>
    <t>Achau</t>
  </si>
  <si>
    <t>Biedermannsdorf</t>
  </si>
  <si>
    <t>Breitenfurt bei Wien</t>
  </si>
  <si>
    <t>Brunn am Gebirge</t>
  </si>
  <si>
    <t>Gaaden</t>
  </si>
  <si>
    <t>Gießhübl</t>
  </si>
  <si>
    <t>Gumpoldskirchen</t>
  </si>
  <si>
    <t>Guntramsdorf</t>
  </si>
  <si>
    <t>Hennersdorf</t>
  </si>
  <si>
    <t>Hinterbrühl</t>
  </si>
  <si>
    <t>Kaltenleutgeben</t>
  </si>
  <si>
    <t>Laab im Walde</t>
  </si>
  <si>
    <t>Laxenburg</t>
  </si>
  <si>
    <t>Maria Enzersdorf</t>
  </si>
  <si>
    <t>Münchendorf</t>
  </si>
  <si>
    <t>Perchtoldsdorf</t>
  </si>
  <si>
    <t>Vösendorf</t>
  </si>
  <si>
    <t>Wiener Neudorf</t>
  </si>
  <si>
    <t>Wienerwald</t>
  </si>
  <si>
    <t>Altendorf</t>
  </si>
  <si>
    <t>Aspang-Markt</t>
  </si>
  <si>
    <t>Breitenau</t>
  </si>
  <si>
    <t>Breitenstein</t>
  </si>
  <si>
    <t>Buchbach</t>
  </si>
  <si>
    <t>Edlitz</t>
  </si>
  <si>
    <t>Enzenreith</t>
  </si>
  <si>
    <t>Feistritz am Wechsel</t>
  </si>
  <si>
    <t>Gloggnitz</t>
  </si>
  <si>
    <t>Grimmenstein</t>
  </si>
  <si>
    <t>Grünbach am Schneeberg</t>
  </si>
  <si>
    <t>Kirchberg am Wechsel</t>
  </si>
  <si>
    <t>Mönichkirchen</t>
  </si>
  <si>
    <t>Natschbach-Loipersbach</t>
  </si>
  <si>
    <t>Otterthal</t>
  </si>
  <si>
    <t>Payerbach</t>
  </si>
  <si>
    <t>Pitten</t>
  </si>
  <si>
    <t>Prigglitz</t>
  </si>
  <si>
    <t>Puchberg am Schneeberg</t>
  </si>
  <si>
    <t>Raach am Hochgebirge</t>
  </si>
  <si>
    <t>Reichenau an der Rax</t>
  </si>
  <si>
    <t>Scheiblingkirchen-Thernberg</t>
  </si>
  <si>
    <t>Schottwien</t>
  </si>
  <si>
    <t>Schrattenbach</t>
  </si>
  <si>
    <t>Schwarzau am Steinfeld</t>
  </si>
  <si>
    <t>Schwarzau im Gebirge</t>
  </si>
  <si>
    <t>Seebenstein</t>
  </si>
  <si>
    <t>Semmering</t>
  </si>
  <si>
    <t>Ternitz</t>
  </si>
  <si>
    <t>Thomasberg</t>
  </si>
  <si>
    <t>Trattenbach</t>
  </si>
  <si>
    <t>Bürg-Vöstenhof</t>
  </si>
  <si>
    <t>Warth</t>
  </si>
  <si>
    <t>Wartmannstetten</t>
  </si>
  <si>
    <t>Willendorf</t>
  </si>
  <si>
    <t>Wimpassing im Schwarzatale</t>
  </si>
  <si>
    <t>Würflach</t>
  </si>
  <si>
    <t>Zöbern</t>
  </si>
  <si>
    <t>Höflein an der Hohen Wand</t>
  </si>
  <si>
    <t>Altlengbach</t>
  </si>
  <si>
    <t>Asperhofen</t>
  </si>
  <si>
    <t>Böheimkirchen</t>
  </si>
  <si>
    <t>Brand-Laaben</t>
  </si>
  <si>
    <t>Eichgraben</t>
  </si>
  <si>
    <t>Frankenfels</t>
  </si>
  <si>
    <t>Gerersdorf</t>
  </si>
  <si>
    <t>Hofstetten-Grünau</t>
  </si>
  <si>
    <t>Hafnerbach</t>
  </si>
  <si>
    <t>Haunoldstein</t>
  </si>
  <si>
    <t>Herzogenburg</t>
  </si>
  <si>
    <t>Inzersdorf-Getzersdorf</t>
  </si>
  <si>
    <t>Kapelln</t>
  </si>
  <si>
    <t>Karlstetten</t>
  </si>
  <si>
    <t>Kasten bei Böheimkirchen</t>
  </si>
  <si>
    <t>Kirchberg an der Pielach</t>
  </si>
  <si>
    <t>Kirchstetten</t>
  </si>
  <si>
    <t>Loich</t>
  </si>
  <si>
    <t>Maria-Anzbach</t>
  </si>
  <si>
    <t>Markersdorf-Haindorf</t>
  </si>
  <si>
    <t>Michelbach</t>
  </si>
  <si>
    <t>Neidling</t>
  </si>
  <si>
    <t>Neulengbach</t>
  </si>
  <si>
    <t>Neustift-Innermanzing</t>
  </si>
  <si>
    <t>Nußdorf ob der Traisen</t>
  </si>
  <si>
    <t>Ober-Grafendorf</t>
  </si>
  <si>
    <t>Obritzberg-Rust</t>
  </si>
  <si>
    <t>Prinzersdorf</t>
  </si>
  <si>
    <t>Pyhra</t>
  </si>
  <si>
    <t>Rabenstein an der Pielach</t>
  </si>
  <si>
    <t>Schwarzenbach an der Pielach</t>
  </si>
  <si>
    <t>Statzendorf</t>
  </si>
  <si>
    <t>Stössing</t>
  </si>
  <si>
    <t>Traismauer</t>
  </si>
  <si>
    <t>Weinburg</t>
  </si>
  <si>
    <t>Weißenkirchen an der Perschling</t>
  </si>
  <si>
    <t>Wilhelmsburg</t>
  </si>
  <si>
    <t>Wölbling</t>
  </si>
  <si>
    <t>Gablitz</t>
  </si>
  <si>
    <t>Mauerbach</t>
  </si>
  <si>
    <t>Pressbaum</t>
  </si>
  <si>
    <t>Purkersdorf</t>
  </si>
  <si>
    <t>Tullnerbach</t>
  </si>
  <si>
    <t>Wolfsgraben</t>
  </si>
  <si>
    <t>Gaming</t>
  </si>
  <si>
    <t>Göstling an der Ybbs</t>
  </si>
  <si>
    <t>Gresten</t>
  </si>
  <si>
    <t>Gresten-Land</t>
  </si>
  <si>
    <t>Lunz am See</t>
  </si>
  <si>
    <t>Oberndorf an der Melk</t>
  </si>
  <si>
    <t>Puchenstuben</t>
  </si>
  <si>
    <t>Purgstall an der Erlauf</t>
  </si>
  <si>
    <t>Randegg</t>
  </si>
  <si>
    <t>Reinsberg</t>
  </si>
  <si>
    <t>Steinakirchen am Forst</t>
  </si>
  <si>
    <t>Wang</t>
  </si>
  <si>
    <t>Wieselburg</t>
  </si>
  <si>
    <t>Wieselburg-Land</t>
  </si>
  <si>
    <t>Wolfpassing</t>
  </si>
  <si>
    <t>Absdorf</t>
  </si>
  <si>
    <t>Atzenbrugg</t>
  </si>
  <si>
    <t>Fels am Wagram</t>
  </si>
  <si>
    <t>Grafenwörth</t>
  </si>
  <si>
    <t>Großriedenthal</t>
  </si>
  <si>
    <t>Großweikersdorf</t>
  </si>
  <si>
    <t>Judenau-Baumgarten</t>
  </si>
  <si>
    <t>Kirchberg am Wagram</t>
  </si>
  <si>
    <t>Königsbrunn am Wagram</t>
  </si>
  <si>
    <t>Königstetten</t>
  </si>
  <si>
    <t>Langenrohr</t>
  </si>
  <si>
    <t>Michelhausen</t>
  </si>
  <si>
    <t>Sieghartskirchen</t>
  </si>
  <si>
    <t>Sitzenberg-Reidling</t>
  </si>
  <si>
    <t>Tulbing</t>
  </si>
  <si>
    <t>Tulln an der Donau</t>
  </si>
  <si>
    <t>Würmla</t>
  </si>
  <si>
    <t>Zeiselmauer-Wolfpassing</t>
  </si>
  <si>
    <t>Zwentendorf an der Donau</t>
  </si>
  <si>
    <t>Muckendorf-Wipfing</t>
  </si>
  <si>
    <t>Klosterneuburg</t>
  </si>
  <si>
    <t>Dietmanns</t>
  </si>
  <si>
    <t>Dobersberg</t>
  </si>
  <si>
    <t>Gastern</t>
  </si>
  <si>
    <t>Groß-Siegharts</t>
  </si>
  <si>
    <t>Karlstein an der Thaya</t>
  </si>
  <si>
    <t>Kautzen</t>
  </si>
  <si>
    <t>Ludweis-Aigen</t>
  </si>
  <si>
    <t>Pfaffenschlag bei Waidhofen a.d.Thaya</t>
  </si>
  <si>
    <t>Raabs an der Thaya</t>
  </si>
  <si>
    <t>Thaya</t>
  </si>
  <si>
    <t>Vitis</t>
  </si>
  <si>
    <t>Waidhofen an der Thaya-Land</t>
  </si>
  <si>
    <t>Waldkirchen an der Thaya</t>
  </si>
  <si>
    <t>Windigsteig</t>
  </si>
  <si>
    <t>Bad Fischau-Brunn</t>
  </si>
  <si>
    <t>Bad Schönau</t>
  </si>
  <si>
    <t>Ebenfurth</t>
  </si>
  <si>
    <t>Eggendorf</t>
  </si>
  <si>
    <t>Bad Erlach</t>
  </si>
  <si>
    <t>Felixdorf</t>
  </si>
  <si>
    <t>Gutenstein</t>
  </si>
  <si>
    <t>Hochneukirchen-Gschaidt</t>
  </si>
  <si>
    <t>Hochwolkersdorf</t>
  </si>
  <si>
    <t>Hohe Wand</t>
  </si>
  <si>
    <t>Hollenthon</t>
  </si>
  <si>
    <t>Katzelsdorf</t>
  </si>
  <si>
    <t>Kirchschlag in der Buckligen Welt</t>
  </si>
  <si>
    <t>Krumbach</t>
  </si>
  <si>
    <t>Lanzenkirchen</t>
  </si>
  <si>
    <t>Lichtenegg</t>
  </si>
  <si>
    <t>Lichtenwörth</t>
  </si>
  <si>
    <t>Markt Piesting</t>
  </si>
  <si>
    <t>Matzendorf-Hölles</t>
  </si>
  <si>
    <t>Miesenbach</t>
  </si>
  <si>
    <t>Muggendorf</t>
  </si>
  <si>
    <t>Pernitz</t>
  </si>
  <si>
    <t>Rohr im Gebirge</t>
  </si>
  <si>
    <t>Bromberg</t>
  </si>
  <si>
    <t>Schwarzenbach</t>
  </si>
  <si>
    <t>Sollenau</t>
  </si>
  <si>
    <t>Theresienfeld</t>
  </si>
  <si>
    <t>Waidmannsfeld</t>
  </si>
  <si>
    <t>Waldegg</t>
  </si>
  <si>
    <t>Walpersbach</t>
  </si>
  <si>
    <t>Weikersdorf am Steinfelde</t>
  </si>
  <si>
    <t>Wiesmath</t>
  </si>
  <si>
    <t>Winzendorf-Muthmannsdorf</t>
  </si>
  <si>
    <t>Wöllersdorf-Steinabrückl</t>
  </si>
  <si>
    <t>Zillingdorf</t>
  </si>
  <si>
    <t>Allentsteig</t>
  </si>
  <si>
    <t>Arbesbach</t>
  </si>
  <si>
    <t>Bärnkopf</t>
  </si>
  <si>
    <t>Echsenbach</t>
  </si>
  <si>
    <t>Göpfritz an der Wild</t>
  </si>
  <si>
    <t>Grafenschlag</t>
  </si>
  <si>
    <t>Groß Gerungs</t>
  </si>
  <si>
    <t>Großgöttfritz</t>
  </si>
  <si>
    <t>Gutenbrunn</t>
  </si>
  <si>
    <t>Kirchschlag</t>
  </si>
  <si>
    <t>Kottes-Purk</t>
  </si>
  <si>
    <t>Langschlag</t>
  </si>
  <si>
    <t>Martinsberg</t>
  </si>
  <si>
    <t>Ottenschlag</t>
  </si>
  <si>
    <t>Altmelon</t>
  </si>
  <si>
    <t>Pölla</t>
  </si>
  <si>
    <t>Rappottenstein</t>
  </si>
  <si>
    <t>Sallingberg</t>
  </si>
  <si>
    <t>Schönbach</t>
  </si>
  <si>
    <t>Schwarzenau</t>
  </si>
  <si>
    <t>Schweiggers</t>
  </si>
  <si>
    <t>Bad Traunstein</t>
  </si>
  <si>
    <t>Waldhausen</t>
  </si>
  <si>
    <t>Zwettl-Niederösterreich</t>
  </si>
  <si>
    <t>Linz</t>
  </si>
  <si>
    <t>Steyr</t>
  </si>
  <si>
    <t>Wels</t>
  </si>
  <si>
    <t>Altheim</t>
  </si>
  <si>
    <t>Aspach</t>
  </si>
  <si>
    <t>Auerbach</t>
  </si>
  <si>
    <t>Braunau am Inn</t>
  </si>
  <si>
    <t>Burgkirchen</t>
  </si>
  <si>
    <t>Eggelsberg</t>
  </si>
  <si>
    <t>Feldkirchen bei Mattighofen</t>
  </si>
  <si>
    <t>Franking</t>
  </si>
  <si>
    <t>Geretsberg</t>
  </si>
  <si>
    <t>Gilgenberg am Weilhart</t>
  </si>
  <si>
    <t>Haigermoos</t>
  </si>
  <si>
    <t>Handenberg</t>
  </si>
  <si>
    <t>Helpfau-Uttendorf</t>
  </si>
  <si>
    <t>Hochburg-Ach</t>
  </si>
  <si>
    <t>Höhnhart</t>
  </si>
  <si>
    <t>Jeging</t>
  </si>
  <si>
    <t>Kirchberg bei Mattighofen</t>
  </si>
  <si>
    <t>Lengau</t>
  </si>
  <si>
    <t>Lochen</t>
  </si>
  <si>
    <t>Maria Schmolln</t>
  </si>
  <si>
    <t>Mattighofen</t>
  </si>
  <si>
    <t>Mauerkirchen</t>
  </si>
  <si>
    <t>Mining</t>
  </si>
  <si>
    <t>Moosbach</t>
  </si>
  <si>
    <t>Moosdorf</t>
  </si>
  <si>
    <t>Munderfing</t>
  </si>
  <si>
    <t>Neukirchen an der Enknach</t>
  </si>
  <si>
    <t>Ostermiething</t>
  </si>
  <si>
    <t>Palting</t>
  </si>
  <si>
    <t>Perwang am Grabensee</t>
  </si>
  <si>
    <t>Pfaffstätt</t>
  </si>
  <si>
    <t>Pischelsdorf am Engelbach</t>
  </si>
  <si>
    <t>Polling im Innkreis</t>
  </si>
  <si>
    <t>Roßbach</t>
  </si>
  <si>
    <t>Schalchen</t>
  </si>
  <si>
    <t>Schwand im Innkreis</t>
  </si>
  <si>
    <t>Tarsdorf</t>
  </si>
  <si>
    <t>Treubach</t>
  </si>
  <si>
    <t>Überackern</t>
  </si>
  <si>
    <t>Weng im Innkreis</t>
  </si>
  <si>
    <t>Alkoven</t>
  </si>
  <si>
    <t>Aschach an der Donau</t>
  </si>
  <si>
    <t>Fraham</t>
  </si>
  <si>
    <t>Haibach ob der Donau</t>
  </si>
  <si>
    <t>Hartkirchen</t>
  </si>
  <si>
    <t>Hinzenbach</t>
  </si>
  <si>
    <t>Prambachkirchen</t>
  </si>
  <si>
    <t>Pupping</t>
  </si>
  <si>
    <t>Scharten</t>
  </si>
  <si>
    <t>Stroheim</t>
  </si>
  <si>
    <t>Grünbach</t>
  </si>
  <si>
    <t>Gutau</t>
  </si>
  <si>
    <t>Hagenberg im Mühlkreis</t>
  </si>
  <si>
    <t>Hirschbach im Mühlkreis</t>
  </si>
  <si>
    <t>Kaltenberg</t>
  </si>
  <si>
    <t>Kefermarkt</t>
  </si>
  <si>
    <t>Königswiesen</t>
  </si>
  <si>
    <t>Lasberg</t>
  </si>
  <si>
    <t>Leopoldschlag</t>
  </si>
  <si>
    <t>Liebenau</t>
  </si>
  <si>
    <t>Neumarkt im Mühlkreis</t>
  </si>
  <si>
    <t>Pierbach</t>
  </si>
  <si>
    <t>Pregarten</t>
  </si>
  <si>
    <t>Rainbach im Mühlkreis</t>
  </si>
  <si>
    <t>Sandl</t>
  </si>
  <si>
    <t>Schönau im Mühlkreis</t>
  </si>
  <si>
    <t>Tragwein</t>
  </si>
  <si>
    <t>Unterweißenbach</t>
  </si>
  <si>
    <t>Unterweitersdorf</t>
  </si>
  <si>
    <t>Waldburg</t>
  </si>
  <si>
    <t>Wartberg ob der Aist</t>
  </si>
  <si>
    <t>Weitersfelden</t>
  </si>
  <si>
    <t>Windhaag bei Freistadt</t>
  </si>
  <si>
    <t>Bad Zell</t>
  </si>
  <si>
    <t>Altmünster</t>
  </si>
  <si>
    <t>Bad Goisern am Hallstättersee</t>
  </si>
  <si>
    <t>Bad Ischl</t>
  </si>
  <si>
    <t>Ebensee am Traunsee</t>
  </si>
  <si>
    <t>Gosau</t>
  </si>
  <si>
    <t>Grünau im Almtal</t>
  </si>
  <si>
    <t>Gschwandt</t>
  </si>
  <si>
    <t>Hallstatt</t>
  </si>
  <si>
    <t>Kirchham</t>
  </si>
  <si>
    <t>Laakirchen</t>
  </si>
  <si>
    <t>Obertraun</t>
  </si>
  <si>
    <t>Ohlsdorf</t>
  </si>
  <si>
    <t>Pinsdorf</t>
  </si>
  <si>
    <t>Roitham</t>
  </si>
  <si>
    <t>Traunkirchen</t>
  </si>
  <si>
    <t>Scharnstein</t>
  </si>
  <si>
    <t>Vorchdorf</t>
  </si>
  <si>
    <t>Aistersheim</t>
  </si>
  <si>
    <t>Bad Schallerbach</t>
  </si>
  <si>
    <t>Eschenau im Hausruckkreis</t>
  </si>
  <si>
    <t>Gallspach</t>
  </si>
  <si>
    <t>Gaspoltshofen</t>
  </si>
  <si>
    <t>Geboltskirchen</t>
  </si>
  <si>
    <t>Haag am Hausruck</t>
  </si>
  <si>
    <t>Heiligenberg</t>
  </si>
  <si>
    <t>Hofkirchen an der Trattnach</t>
  </si>
  <si>
    <t>Kallham</t>
  </si>
  <si>
    <t>Kematen am Innbach</t>
  </si>
  <si>
    <t>Meggenhofen</t>
  </si>
  <si>
    <t>Michaelnbach</t>
  </si>
  <si>
    <t>Natternbach</t>
  </si>
  <si>
    <t>Neukirchen am Walde</t>
  </si>
  <si>
    <t>Neumarkt im Hausruckkreis</t>
  </si>
  <si>
    <t>Pötting</t>
  </si>
  <si>
    <t>Pollham</t>
  </si>
  <si>
    <t>Pram</t>
  </si>
  <si>
    <t>Rottenbach</t>
  </si>
  <si>
    <t>Schlüßlberg</t>
  </si>
  <si>
    <t>Steegen</t>
  </si>
  <si>
    <t>Taufkirchen an der Trattnach</t>
  </si>
  <si>
    <t>Tollet</t>
  </si>
  <si>
    <t>Waizenkirchen</t>
  </si>
  <si>
    <t>Wallern an der Trattnach</t>
  </si>
  <si>
    <t>Weibern</t>
  </si>
  <si>
    <t>Wendling</t>
  </si>
  <si>
    <t>Peuerbach</t>
  </si>
  <si>
    <t>Edlbach</t>
  </si>
  <si>
    <t>Grünburg</t>
  </si>
  <si>
    <t>Hinterstoder</t>
  </si>
  <si>
    <t>Inzersdorf im Kremstal</t>
  </si>
  <si>
    <t>Kirchdorf an der Krems</t>
  </si>
  <si>
    <t>Klaus an der Pyhrnbahn</t>
  </si>
  <si>
    <t>Kremsmünster</t>
  </si>
  <si>
    <t>Micheldorf in Oberösterreich</t>
  </si>
  <si>
    <t>Molln</t>
  </si>
  <si>
    <t>Nußbach</t>
  </si>
  <si>
    <t>Oberschlierbach</t>
  </si>
  <si>
    <t>Pettenbach</t>
  </si>
  <si>
    <t>Ried im Traunkreis</t>
  </si>
  <si>
    <t>Rosenau am Hengstpaß</t>
  </si>
  <si>
    <t>Roßleithen</t>
  </si>
  <si>
    <t>Schlierbach</t>
  </si>
  <si>
    <t>Spital am Pyhrn</t>
  </si>
  <si>
    <t>Steinbach am Ziehberg</t>
  </si>
  <si>
    <t>Steinbach an der Steyr</t>
  </si>
  <si>
    <t>Vorderstoder</t>
  </si>
  <si>
    <t>Wartberg an der Krems</t>
  </si>
  <si>
    <t>Windischgarsten</t>
  </si>
  <si>
    <t>Allhaming</t>
  </si>
  <si>
    <t>Ansfelden</t>
  </si>
  <si>
    <t>Asten</t>
  </si>
  <si>
    <t>Eggendorf im Traunkreis</t>
  </si>
  <si>
    <t>Enns</t>
  </si>
  <si>
    <t>Hargelsberg</t>
  </si>
  <si>
    <t>Hörsching</t>
  </si>
  <si>
    <t>Hofkirchen im Traunkreis</t>
  </si>
  <si>
    <t>Kematen an der Krems</t>
  </si>
  <si>
    <t>Kirchberg-Thening</t>
  </si>
  <si>
    <t>Kronstorf</t>
  </si>
  <si>
    <t>Leonding</t>
  </si>
  <si>
    <t>Neuhofen an der Krems</t>
  </si>
  <si>
    <t>Niederneukirchen</t>
  </si>
  <si>
    <t>Oftering</t>
  </si>
  <si>
    <t>Pasching</t>
  </si>
  <si>
    <t>Piberbach</t>
  </si>
  <si>
    <t>Pucking</t>
  </si>
  <si>
    <t>Traun</t>
  </si>
  <si>
    <t>Wilhering</t>
  </si>
  <si>
    <t>Allerheiligen im Mühlkreis</t>
  </si>
  <si>
    <t>Arbing</t>
  </si>
  <si>
    <t>Baumgartenberg</t>
  </si>
  <si>
    <t>Dimbach</t>
  </si>
  <si>
    <t>Grein</t>
  </si>
  <si>
    <t>Katsdorf</t>
  </si>
  <si>
    <t>Klam</t>
  </si>
  <si>
    <t>Bad Kreuzen</t>
  </si>
  <si>
    <t>Langenstein</t>
  </si>
  <si>
    <t>Luftenberg an der Donau</t>
  </si>
  <si>
    <t>Mauthausen</t>
  </si>
  <si>
    <t>Mitterkirchen im Machland</t>
  </si>
  <si>
    <t>Münzbach</t>
  </si>
  <si>
    <t>Naarn im Machlande</t>
  </si>
  <si>
    <t>Pabneukirchen</t>
  </si>
  <si>
    <t>Rechberg</t>
  </si>
  <si>
    <t>Ried in der Riedmark</t>
  </si>
  <si>
    <t>Saxen</t>
  </si>
  <si>
    <t>Schwertberg</t>
  </si>
  <si>
    <t>Waldhausen im Strudengau</t>
  </si>
  <si>
    <t>Windhaag bei Perg</t>
  </si>
  <si>
    <t>Andrichsfurt</t>
  </si>
  <si>
    <t>Antiesenhofen</t>
  </si>
  <si>
    <t>Aurolzmünster</t>
  </si>
  <si>
    <t>Eberschwang</t>
  </si>
  <si>
    <t>Eitzing</t>
  </si>
  <si>
    <t>Geiersberg</t>
  </si>
  <si>
    <t>Geinberg</t>
  </si>
  <si>
    <t>Gurten</t>
  </si>
  <si>
    <t>Hohenzell</t>
  </si>
  <si>
    <t>Kirchdorf am Inn</t>
  </si>
  <si>
    <t>Kirchheim im Innkreis</t>
  </si>
  <si>
    <t>Lambrechten</t>
  </si>
  <si>
    <t>Lohnsburg am Kobernaußerwald</t>
  </si>
  <si>
    <t>Mehrnbach</t>
  </si>
  <si>
    <t>Mettmach</t>
  </si>
  <si>
    <t>Mörschwang</t>
  </si>
  <si>
    <t>Mühlheim am Inn</t>
  </si>
  <si>
    <t>Neuhofen im Innkreis</t>
  </si>
  <si>
    <t>Obernberg am Inn</t>
  </si>
  <si>
    <t>Ort im Innkreis</t>
  </si>
  <si>
    <t>Pattigham</t>
  </si>
  <si>
    <t>Peterskirchen</t>
  </si>
  <si>
    <t>Pramet</t>
  </si>
  <si>
    <t>Reichersberg</t>
  </si>
  <si>
    <t>Ried im Innkreis</t>
  </si>
  <si>
    <t>Schildorn</t>
  </si>
  <si>
    <t>Senftenbach</t>
  </si>
  <si>
    <t>Taiskirchen im Innkreis</t>
  </si>
  <si>
    <t>Tumeltsham</t>
  </si>
  <si>
    <t>Utzenaich</t>
  </si>
  <si>
    <t>Waldzell</t>
  </si>
  <si>
    <t>Weilbach</t>
  </si>
  <si>
    <t>Wippenham</t>
  </si>
  <si>
    <t>Altenfelden</t>
  </si>
  <si>
    <t>Arnreit</t>
  </si>
  <si>
    <t>Atzesberg</t>
  </si>
  <si>
    <t>Auberg</t>
  </si>
  <si>
    <t>Haslach an der Mühl</t>
  </si>
  <si>
    <t>Hörbich</t>
  </si>
  <si>
    <t>Hofkirchen im Mühlkreis</t>
  </si>
  <si>
    <t>Julbach</t>
  </si>
  <si>
    <t>Kirchberg ob der Donau</t>
  </si>
  <si>
    <t>Klaffer am Hochficht</t>
  </si>
  <si>
    <t>Kleinzell im Mühlkreis</t>
  </si>
  <si>
    <t>Kollerschlag</t>
  </si>
  <si>
    <t>Lembach im Mühlkreis</t>
  </si>
  <si>
    <t>Lichtenau im Mühlkreis</t>
  </si>
  <si>
    <t>Nebelberg</t>
  </si>
  <si>
    <t>Neufelden</t>
  </si>
  <si>
    <t>Niederkappel</t>
  </si>
  <si>
    <t>Niederwaldkirchen</t>
  </si>
  <si>
    <t>Oberkappel</t>
  </si>
  <si>
    <t>Oepping</t>
  </si>
  <si>
    <t>Peilstein im Mühlviertel</t>
  </si>
  <si>
    <t>Pfarrkirchen im Mühlkreis</t>
  </si>
  <si>
    <t>Putzleinsdorf</t>
  </si>
  <si>
    <t>Neustift im Mühlkreis</t>
  </si>
  <si>
    <t>Sarleinsbach</t>
  </si>
  <si>
    <t>Schwarzenberg am Böhmerwald</t>
  </si>
  <si>
    <t>Ulrichsberg</t>
  </si>
  <si>
    <t>Aigen-Schlägl</t>
  </si>
  <si>
    <t>Rohrbach-Berg</t>
  </si>
  <si>
    <t>Helfenberg</t>
  </si>
  <si>
    <t>Altschwendt</t>
  </si>
  <si>
    <t>Andorf</t>
  </si>
  <si>
    <t>Brunnenthal</t>
  </si>
  <si>
    <t>Diersbach</t>
  </si>
  <si>
    <t>Dorf an der Pram</t>
  </si>
  <si>
    <t>Eggerding</t>
  </si>
  <si>
    <t>Engelhartszell</t>
  </si>
  <si>
    <t>Enzenkirchen</t>
  </si>
  <si>
    <t>Esternberg</t>
  </si>
  <si>
    <t>Freinberg</t>
  </si>
  <si>
    <t>Kopfing im Innkreis</t>
  </si>
  <si>
    <t>Mayrhof</t>
  </si>
  <si>
    <t>Münzkirchen</t>
  </si>
  <si>
    <t>Raab</t>
  </si>
  <si>
    <t>Rainbach im Innkreis</t>
  </si>
  <si>
    <t>Riedau</t>
  </si>
  <si>
    <t>Schardenberg</t>
  </si>
  <si>
    <t>Sigharting</t>
  </si>
  <si>
    <t>Suben</t>
  </si>
  <si>
    <t>Taufkirchen an der Pram</t>
  </si>
  <si>
    <t>Vichtenstein</t>
  </si>
  <si>
    <t>Waldkirchen am Wesen</t>
  </si>
  <si>
    <t>Wernstein am Inn</t>
  </si>
  <si>
    <t>Zell an der Pram</t>
  </si>
  <si>
    <t>Adlwang</t>
  </si>
  <si>
    <t>Aschach an der Steyr</t>
  </si>
  <si>
    <t>Bad Hall</t>
  </si>
  <si>
    <t>Dietach</t>
  </si>
  <si>
    <t>Gaflenz</t>
  </si>
  <si>
    <t>Garsten</t>
  </si>
  <si>
    <t>Großraming</t>
  </si>
  <si>
    <t>Laussa</t>
  </si>
  <si>
    <t>Losenstein</t>
  </si>
  <si>
    <t>Maria Neustift</t>
  </si>
  <si>
    <t>Pfarrkirchen bei Bad Hall</t>
  </si>
  <si>
    <t>Reichraming</t>
  </si>
  <si>
    <t>Rohr im Kremstal</t>
  </si>
  <si>
    <t>Schiedlberg</t>
  </si>
  <si>
    <t>Sierning</t>
  </si>
  <si>
    <t>Ternberg</t>
  </si>
  <si>
    <t>Waldneukirchen</t>
  </si>
  <si>
    <t>Wolfern</t>
  </si>
  <si>
    <t>Weyer</t>
  </si>
  <si>
    <t>Alberndorf in der Riedmark</t>
  </si>
  <si>
    <t>Altenberg bei Linz</t>
  </si>
  <si>
    <t>Bad Leonfelden</t>
  </si>
  <si>
    <t>Eidenberg</t>
  </si>
  <si>
    <t>Engerwitzdorf</t>
  </si>
  <si>
    <t>Feldkirchen an der Donau</t>
  </si>
  <si>
    <t>Gallneukirchen</t>
  </si>
  <si>
    <t>Goldwörth</t>
  </si>
  <si>
    <t>Gramastetten</t>
  </si>
  <si>
    <t>Haibach im Mühlkreis</t>
  </si>
  <si>
    <t>Hellmonsödt</t>
  </si>
  <si>
    <t>Herzogsdorf</t>
  </si>
  <si>
    <t>Kirchschlag bei Linz</t>
  </si>
  <si>
    <t>Lichtenberg</t>
  </si>
  <si>
    <t>Oberneukirchen</t>
  </si>
  <si>
    <t>Ottenschlag im Mühlkreis</t>
  </si>
  <si>
    <t>Ottensheim</t>
  </si>
  <si>
    <t>Puchenau</t>
  </si>
  <si>
    <t>Reichenau im Mühlkreis</t>
  </si>
  <si>
    <t>Reichenthal</t>
  </si>
  <si>
    <t>Schenkenfelden</t>
  </si>
  <si>
    <t>Sonnberg im Mühlkreis</t>
  </si>
  <si>
    <t>Steyregg</t>
  </si>
  <si>
    <t>Walding</t>
  </si>
  <si>
    <t>Zwettl an der Rodl</t>
  </si>
  <si>
    <t>Vorderweißenbach</t>
  </si>
  <si>
    <t>Ampflwang im Hausruckwald</t>
  </si>
  <si>
    <t>Attersee am Attersee</t>
  </si>
  <si>
    <t>Attnang-Puchheim</t>
  </si>
  <si>
    <t>Atzbach</t>
  </si>
  <si>
    <t>Aurach am Hongar</t>
  </si>
  <si>
    <t>Berg im Attergau</t>
  </si>
  <si>
    <t>Desselbrunn</t>
  </si>
  <si>
    <t>Fornach</t>
  </si>
  <si>
    <t>Frankenburg am Hausruck</t>
  </si>
  <si>
    <t>Frankenmarkt</t>
  </si>
  <si>
    <t>Gampern</t>
  </si>
  <si>
    <t>Innerschwand am Mondsee</t>
  </si>
  <si>
    <t>Lenzing</t>
  </si>
  <si>
    <t>Manning</t>
  </si>
  <si>
    <t>Mondsee</t>
  </si>
  <si>
    <t>Neukirchen an der Vöckla</t>
  </si>
  <si>
    <t>Niederthalheim</t>
  </si>
  <si>
    <t>Nußdorf am Attersee</t>
  </si>
  <si>
    <t>Oberhofen am Irrsee</t>
  </si>
  <si>
    <t>Oberndorf bei Schwanenstadt</t>
  </si>
  <si>
    <t>Oberwang</t>
  </si>
  <si>
    <t>Ottnang am Hausruck</t>
  </si>
  <si>
    <t>Pfaffing</t>
  </si>
  <si>
    <t>Pilsbach</t>
  </si>
  <si>
    <t>Pitzenberg</t>
  </si>
  <si>
    <t>Pöndorf</t>
  </si>
  <si>
    <t>Puchkirchen am Trattberg</t>
  </si>
  <si>
    <t>Pühret</t>
  </si>
  <si>
    <t>Redleiten</t>
  </si>
  <si>
    <t>Redlham</t>
  </si>
  <si>
    <t>Regau</t>
  </si>
  <si>
    <t>Rüstorf</t>
  </si>
  <si>
    <t>Rutzenham</t>
  </si>
  <si>
    <t>Schlatt</t>
  </si>
  <si>
    <t>Schörfling am Attersee</t>
  </si>
  <si>
    <t>Schwanenstadt</t>
  </si>
  <si>
    <t>Seewalchen am Attersee</t>
  </si>
  <si>
    <t>Steinbach am Attersee</t>
  </si>
  <si>
    <t>Straß im Attergau</t>
  </si>
  <si>
    <t>Tiefgraben</t>
  </si>
  <si>
    <t>Timelkam</t>
  </si>
  <si>
    <t>Ungenach</t>
  </si>
  <si>
    <t>Unterach am Attersee</t>
  </si>
  <si>
    <t>Vöcklamarkt</t>
  </si>
  <si>
    <t>Weißenkirchen im Attergau</t>
  </si>
  <si>
    <t>Weyregg am Attersee</t>
  </si>
  <si>
    <t>Wolfsegg am Hausruck</t>
  </si>
  <si>
    <t>Zell am Moos</t>
  </si>
  <si>
    <t>Zell am Pettenfirst</t>
  </si>
  <si>
    <t>Aichkirchen</t>
  </si>
  <si>
    <t>Bachmanning</t>
  </si>
  <si>
    <t>Bad Wimsbach-Neydharting</t>
  </si>
  <si>
    <t>Buchkirchen</t>
  </si>
  <si>
    <t>Eberstalzell</t>
  </si>
  <si>
    <t>Edt bei Lambach</t>
  </si>
  <si>
    <t>Fischlham</t>
  </si>
  <si>
    <t>Gunskirchen</t>
  </si>
  <si>
    <t>Holzhausen</t>
  </si>
  <si>
    <t>Krenglbach</t>
  </si>
  <si>
    <t>Lambach</t>
  </si>
  <si>
    <t>Marchtrenk</t>
  </si>
  <si>
    <t>Neukirchen bei Lambach</t>
  </si>
  <si>
    <t>Offenhausen</t>
  </si>
  <si>
    <t>Pennewang</t>
  </si>
  <si>
    <t>Pichl bei Wels</t>
  </si>
  <si>
    <t>Sattledt</t>
  </si>
  <si>
    <t>Schleißheim</t>
  </si>
  <si>
    <t>Sipbachzell</t>
  </si>
  <si>
    <t>Stadl-Paura</t>
  </si>
  <si>
    <t>Steinerkirchen an der Traun</t>
  </si>
  <si>
    <t>Steinhaus</t>
  </si>
  <si>
    <t>Thalheim bei Wels</t>
  </si>
  <si>
    <t>Weißkirchen an der Traun</t>
  </si>
  <si>
    <t>Abtenau</t>
  </si>
  <si>
    <t>Adnet</t>
  </si>
  <si>
    <t>Annaberg-Lungötz</t>
  </si>
  <si>
    <t>Golling an der Salzach</t>
  </si>
  <si>
    <t>Krispl</t>
  </si>
  <si>
    <t>Kuchl</t>
  </si>
  <si>
    <t>Oberalm</t>
  </si>
  <si>
    <t>Puch bei Hallein</t>
  </si>
  <si>
    <t>Rußbach am Paß Gschütt</t>
  </si>
  <si>
    <t>Sankt Koloman</t>
  </si>
  <si>
    <t>Scheffau am Tennengebirge</t>
  </si>
  <si>
    <t>Bad Vigaun</t>
  </si>
  <si>
    <t>Anif</t>
  </si>
  <si>
    <t>Anthering</t>
  </si>
  <si>
    <t>Bergheim</t>
  </si>
  <si>
    <t>Berndorf bei Salzburg</t>
  </si>
  <si>
    <t>Bürmoos</t>
  </si>
  <si>
    <t>Dorfbeuern</t>
  </si>
  <si>
    <t>Ebenau</t>
  </si>
  <si>
    <t>Elixhausen</t>
  </si>
  <si>
    <t>Elsbethen</t>
  </si>
  <si>
    <t>Eugendorf</t>
  </si>
  <si>
    <t>Faistenau</t>
  </si>
  <si>
    <t>Fuschl am See</t>
  </si>
  <si>
    <t>Göming</t>
  </si>
  <si>
    <t>Grödig</t>
  </si>
  <si>
    <t>Großgmain</t>
  </si>
  <si>
    <t>Hallwang</t>
  </si>
  <si>
    <t>Henndorf am Wallersee</t>
  </si>
  <si>
    <t>Hintersee</t>
  </si>
  <si>
    <t>Hof bei Salzburg</t>
  </si>
  <si>
    <t>Köstendorf</t>
  </si>
  <si>
    <t>Koppl</t>
  </si>
  <si>
    <t>Lamprechtshausen</t>
  </si>
  <si>
    <t>Mattsee</t>
  </si>
  <si>
    <t>Neumarkt am Wallersee</t>
  </si>
  <si>
    <t>Nußdorf am Haunsberg</t>
  </si>
  <si>
    <t>Oberndorf bei Salzburg</t>
  </si>
  <si>
    <t>Obertrum am See</t>
  </si>
  <si>
    <t>Plainfeld</t>
  </si>
  <si>
    <t>Sankt Georgen bei Salzburg</t>
  </si>
  <si>
    <t>Sankt Gilgen</t>
  </si>
  <si>
    <t>Schleedorf</t>
  </si>
  <si>
    <t>Seeham</t>
  </si>
  <si>
    <t>Straßwalchen</t>
  </si>
  <si>
    <t>Strobl</t>
  </si>
  <si>
    <t>Thalgau</t>
  </si>
  <si>
    <t>Wals-Siezenheim</t>
  </si>
  <si>
    <t>Seekirchen am Wallersee</t>
  </si>
  <si>
    <t>Altenmarkt im Pongau</t>
  </si>
  <si>
    <t>Bad Hofgastein</t>
  </si>
  <si>
    <t>Bad Gastein</t>
  </si>
  <si>
    <t>Bischofshofen</t>
  </si>
  <si>
    <t>Dorfgastein</t>
  </si>
  <si>
    <t>Eben im Pongau</t>
  </si>
  <si>
    <t>Filzmoos</t>
  </si>
  <si>
    <t>Flachau</t>
  </si>
  <si>
    <t>Forstau</t>
  </si>
  <si>
    <t>Goldegg</t>
  </si>
  <si>
    <t>Großarl</t>
  </si>
  <si>
    <t>Hüttau</t>
  </si>
  <si>
    <t>Hüttschlag</t>
  </si>
  <si>
    <t>Kleinarl</t>
  </si>
  <si>
    <t>Mühlbach am Hochkönig</t>
  </si>
  <si>
    <t>Pfarrwerfen</t>
  </si>
  <si>
    <t>Radstadt</t>
  </si>
  <si>
    <t>Sankt Martin am Tennengebirge</t>
  </si>
  <si>
    <t>Sankt Veit im Pongau</t>
  </si>
  <si>
    <t>Schwarzach im Pongau</t>
  </si>
  <si>
    <t>Untertauern</t>
  </si>
  <si>
    <t>Wagrain</t>
  </si>
  <si>
    <t>Werfen</t>
  </si>
  <si>
    <t>Werfenweng</t>
  </si>
  <si>
    <t>Göriach</t>
  </si>
  <si>
    <t>Lessach</t>
  </si>
  <si>
    <t>Mariapfarr</t>
  </si>
  <si>
    <t>Mauterndorf</t>
  </si>
  <si>
    <t>Muhr</t>
  </si>
  <si>
    <t>Ramingstein</t>
  </si>
  <si>
    <t>Sankt Andrä im Lungau</t>
  </si>
  <si>
    <t>Sankt Margarethen im Lungau</t>
  </si>
  <si>
    <t>Sankt Michael im Lungau</t>
  </si>
  <si>
    <t>Thomatal</t>
  </si>
  <si>
    <t>Tweng</t>
  </si>
  <si>
    <t>Unternberg</t>
  </si>
  <si>
    <t>Weißpriach</t>
  </si>
  <si>
    <t>Zederhaus</t>
  </si>
  <si>
    <t>Bramberg am Wildkogel</t>
  </si>
  <si>
    <t>Bruck an der Großglocknerstraße</t>
  </si>
  <si>
    <t>Dienten am Hochkönig</t>
  </si>
  <si>
    <t>Fusch an der Großglocknerstraße</t>
  </si>
  <si>
    <t>Hollersbach im Pinzgau</t>
  </si>
  <si>
    <t>Kaprun</t>
  </si>
  <si>
    <t>Krimml</t>
  </si>
  <si>
    <t>Lend</t>
  </si>
  <si>
    <t>Leogang</t>
  </si>
  <si>
    <t>Lofer</t>
  </si>
  <si>
    <t>Maishofen</t>
  </si>
  <si>
    <t>Maria Alm am Steinernen Meer</t>
  </si>
  <si>
    <t>Mittersill</t>
  </si>
  <si>
    <t>Neukirchen am Großvenediger</t>
  </si>
  <si>
    <t>Niedernsill</t>
  </si>
  <si>
    <t>Piesendorf</t>
  </si>
  <si>
    <t>Rauris</t>
  </si>
  <si>
    <t>Saalbach-Hinterglemm</t>
  </si>
  <si>
    <t>Saalfelden am Steinernen Meer</t>
  </si>
  <si>
    <t>Sankt Martin bei Lofer</t>
  </si>
  <si>
    <t>Stuhlfelden</t>
  </si>
  <si>
    <t>Taxenbach</t>
  </si>
  <si>
    <t>Unken</t>
  </si>
  <si>
    <t>Uttendorf</t>
  </si>
  <si>
    <t>Viehhofen</t>
  </si>
  <si>
    <t>Wald im Pinzgau</t>
  </si>
  <si>
    <t>Weißbach bei Lofer</t>
  </si>
  <si>
    <t>Graz</t>
  </si>
  <si>
    <t>Frauental an der Laßnitz</t>
  </si>
  <si>
    <t>Lannach</t>
  </si>
  <si>
    <t>Pölfing-Brunn</t>
  </si>
  <si>
    <t>Preding</t>
  </si>
  <si>
    <t>Sankt Josef (Weststeiermark)</t>
  </si>
  <si>
    <t>Sankt Peter im Sulmtal</t>
  </si>
  <si>
    <t>Wettmannstätten</t>
  </si>
  <si>
    <t>Eibiswald</t>
  </si>
  <si>
    <t>Groß Sankt Florian</t>
  </si>
  <si>
    <t>Sankt Martin im Sulmtal</t>
  </si>
  <si>
    <t>Sankt Stefan ob Stainz</t>
  </si>
  <si>
    <t>Schwanberg</t>
  </si>
  <si>
    <t>Stainz</t>
  </si>
  <si>
    <t>Wies</t>
  </si>
  <si>
    <t>Feldkirchen bei Graz</t>
  </si>
  <si>
    <t>Gössendorf</t>
  </si>
  <si>
    <t>Gratkorn</t>
  </si>
  <si>
    <t>Hart bei Graz</t>
  </si>
  <si>
    <t>Haselsdorf-Tobelbad</t>
  </si>
  <si>
    <t>Hausmannstätten</t>
  </si>
  <si>
    <t>Kainbach bei Graz</t>
  </si>
  <si>
    <t>Kalsdorf bei Graz</t>
  </si>
  <si>
    <t>Kumberg</t>
  </si>
  <si>
    <t>Laßnitzhöhe</t>
  </si>
  <si>
    <t>Lieboch</t>
  </si>
  <si>
    <t>Peggau</t>
  </si>
  <si>
    <t>Sankt Bartholomä</t>
  </si>
  <si>
    <t>Sankt Oswald bei Plankenwarth</t>
  </si>
  <si>
    <t>Sankt Radegund bei Graz</t>
  </si>
  <si>
    <t>Semriach</t>
  </si>
  <si>
    <t>Stattegg</t>
  </si>
  <si>
    <t>Stiwoll</t>
  </si>
  <si>
    <t>Thal</t>
  </si>
  <si>
    <t>Übelbach</t>
  </si>
  <si>
    <t>Vasoldsberg</t>
  </si>
  <si>
    <t>Weinitzen</t>
  </si>
  <si>
    <t>Werndorf</t>
  </si>
  <si>
    <t>Wundschuh</t>
  </si>
  <si>
    <t>Deutschfeistritz</t>
  </si>
  <si>
    <t>Dobl-Zwaring</t>
  </si>
  <si>
    <t>Eggersdorf bei Graz</t>
  </si>
  <si>
    <t>Fernitz-Mellach</t>
  </si>
  <si>
    <t>Frohnleiten</t>
  </si>
  <si>
    <t>Gratwein-Straßengel</t>
  </si>
  <si>
    <t>Hitzendorf</t>
  </si>
  <si>
    <t>Nestelbach bei Graz</t>
  </si>
  <si>
    <t>Raaba-Grambach</t>
  </si>
  <si>
    <t>Sankt Marein bei Graz</t>
  </si>
  <si>
    <t>Seiersberg-Pirka</t>
  </si>
  <si>
    <t>Premstätten</t>
  </si>
  <si>
    <t>Allerheiligen bei Wildon</t>
  </si>
  <si>
    <t>Arnfels</t>
  </si>
  <si>
    <t>Empersdorf</t>
  </si>
  <si>
    <t>Gabersdorf</t>
  </si>
  <si>
    <t>Gralla</t>
  </si>
  <si>
    <t>Großklein</t>
  </si>
  <si>
    <t>Heimschuh</t>
  </si>
  <si>
    <t>Hengsberg</t>
  </si>
  <si>
    <t>Kitzeck im Sausal</t>
  </si>
  <si>
    <t>Lang</t>
  </si>
  <si>
    <t>Lebring-Sankt Margarethen</t>
  </si>
  <si>
    <t>Oberhaag</t>
  </si>
  <si>
    <t>Ragnitz</t>
  </si>
  <si>
    <t>Sankt Andrä-Höch</t>
  </si>
  <si>
    <t>Sankt Johann im Saggautal</t>
  </si>
  <si>
    <t>Sankt Nikolai im Sausal</t>
  </si>
  <si>
    <t>Tillmitsch</t>
  </si>
  <si>
    <t>Wagna</t>
  </si>
  <si>
    <t>Gamlitz</t>
  </si>
  <si>
    <t>Gleinstätten</t>
  </si>
  <si>
    <t>Heiligenkreuz am Waasen</t>
  </si>
  <si>
    <t>Leutschach an der Weinstraße</t>
  </si>
  <si>
    <t>Sankt Georgen an der Stiefing</t>
  </si>
  <si>
    <t>Schwarzautal</t>
  </si>
  <si>
    <t>Wildon</t>
  </si>
  <si>
    <t>Sankt Veit in der Südsteiermark</t>
  </si>
  <si>
    <t>Straß in Steiermark</t>
  </si>
  <si>
    <t>Eisenerz</t>
  </si>
  <si>
    <t>Kalwang</t>
  </si>
  <si>
    <t>Kammern im Liesingtal</t>
  </si>
  <si>
    <t>Kraubath an der Mur</t>
  </si>
  <si>
    <t>Mautern in Steiermark</t>
  </si>
  <si>
    <t>Niklasdorf</t>
  </si>
  <si>
    <t>Proleb</t>
  </si>
  <si>
    <t>Radmer</t>
  </si>
  <si>
    <t>Sankt Michael in Obersteiermark</t>
  </si>
  <si>
    <t>Sankt Peter-Freienstein</t>
  </si>
  <si>
    <t>Sankt Stefan ob Leoben</t>
  </si>
  <si>
    <t>Traboch</t>
  </si>
  <si>
    <t>Vordernberg</t>
  </si>
  <si>
    <t>Wald am Schoberpaß</t>
  </si>
  <si>
    <t>Trofaiach</t>
  </si>
  <si>
    <t>Aigen im Ennstal</t>
  </si>
  <si>
    <t>Altaussee</t>
  </si>
  <si>
    <t>Altenmarkt bei Sankt Gallen</t>
  </si>
  <si>
    <t>Ardning</t>
  </si>
  <si>
    <t>Bad Aussee</t>
  </si>
  <si>
    <t>Gröbming</t>
  </si>
  <si>
    <t>Grundlsee</t>
  </si>
  <si>
    <t>Haus</t>
  </si>
  <si>
    <t>Lassing</t>
  </si>
  <si>
    <t>Ramsau am Dachstein</t>
  </si>
  <si>
    <t>Selzthal</t>
  </si>
  <si>
    <t>Trieben</t>
  </si>
  <si>
    <t>Wildalpen</t>
  </si>
  <si>
    <t>Wörschach</t>
  </si>
  <si>
    <t>Admont</t>
  </si>
  <si>
    <t>Aich</t>
  </si>
  <si>
    <t>Bad Mitterndorf</t>
  </si>
  <si>
    <t>Gaishorn am See</t>
  </si>
  <si>
    <t>Irdning-Donnersbachtal</t>
  </si>
  <si>
    <t>Landl</t>
  </si>
  <si>
    <t>Michaelerberg-Pruggern</t>
  </si>
  <si>
    <t>Mitterberg-Sankt Martin</t>
  </si>
  <si>
    <t>Öblarn</t>
  </si>
  <si>
    <t>Rottenmann</t>
  </si>
  <si>
    <t>Sankt Gallen</t>
  </si>
  <si>
    <t>Schladming</t>
  </si>
  <si>
    <t>Sölk</t>
  </si>
  <si>
    <t>Stainach-Pürgg</t>
  </si>
  <si>
    <t>Mühlen</t>
  </si>
  <si>
    <t>Niederwölz</t>
  </si>
  <si>
    <t>Schöder</t>
  </si>
  <si>
    <t>Krakau</t>
  </si>
  <si>
    <t>Neumarkt in der Steiermark</t>
  </si>
  <si>
    <t>Oberwölz</t>
  </si>
  <si>
    <t>Ranten</t>
  </si>
  <si>
    <t>Sankt Georgen am Kreischberg</t>
  </si>
  <si>
    <t>Sankt Lambrecht</t>
  </si>
  <si>
    <t>Scheifling</t>
  </si>
  <si>
    <t>Stadl-Predlitz</t>
  </si>
  <si>
    <t>Teufenbach-Katsch</t>
  </si>
  <si>
    <t>Krottendorf-Gaisfeld</t>
  </si>
  <si>
    <t>Ligist</t>
  </si>
  <si>
    <t>Mooskirchen</t>
  </si>
  <si>
    <t>Rosental an der Kainach</t>
  </si>
  <si>
    <t>Sankt Martin am Wöllmißberg</t>
  </si>
  <si>
    <t>Stallhofen</t>
  </si>
  <si>
    <t>Bärnbach</t>
  </si>
  <si>
    <t>Edelschrott</t>
  </si>
  <si>
    <t>Geistthal-Södingberg</t>
  </si>
  <si>
    <t>Hirschegg-Pack</t>
  </si>
  <si>
    <t>Kainach bei Voitsberg</t>
  </si>
  <si>
    <t>Köflach</t>
  </si>
  <si>
    <t>Maria Lankowitz</t>
  </si>
  <si>
    <t>Söding-Sankt Johann</t>
  </si>
  <si>
    <t>Albersdorf-Prebuch</t>
  </si>
  <si>
    <t>Fischbach</t>
  </si>
  <si>
    <t>Floing</t>
  </si>
  <si>
    <t>Gasen</t>
  </si>
  <si>
    <t>Markt Hartmannsdorf</t>
  </si>
  <si>
    <t>Hofstätten an der Raab</t>
  </si>
  <si>
    <t>Ludersdorf-Wilfersdorf</t>
  </si>
  <si>
    <t>Miesenbach bei Birkfeld</t>
  </si>
  <si>
    <t>Mitterdorf an der Raab</t>
  </si>
  <si>
    <t>Mortantsch</t>
  </si>
  <si>
    <t>Naas</t>
  </si>
  <si>
    <t>Puch bei Weiz</t>
  </si>
  <si>
    <t>Ratten</t>
  </si>
  <si>
    <t>Rettenegg</t>
  </si>
  <si>
    <t>Sankt Kathrein am Offenegg</t>
  </si>
  <si>
    <t>Sinabelkirchen</t>
  </si>
  <si>
    <t>Strallegg</t>
  </si>
  <si>
    <t>Thannhausen</t>
  </si>
  <si>
    <t>Anger</t>
  </si>
  <si>
    <t>Birkfeld</t>
  </si>
  <si>
    <t>Fladnitz an der Teichalm</t>
  </si>
  <si>
    <t>Gersdorf an der Feistritz</t>
  </si>
  <si>
    <t>Gleisdorf</t>
  </si>
  <si>
    <t>Gutenberg-Stenzengreith</t>
  </si>
  <si>
    <t>Ilztal</t>
  </si>
  <si>
    <t>Passail</t>
  </si>
  <si>
    <t>Pischelsdorf am Kulm</t>
  </si>
  <si>
    <t>Sankt Ruprecht an der Raab</t>
  </si>
  <si>
    <t>Fohnsdorf</t>
  </si>
  <si>
    <t>Gaal</t>
  </si>
  <si>
    <t>Hohentauern</t>
  </si>
  <si>
    <t>Kobenz</t>
  </si>
  <si>
    <t>Pusterwald</t>
  </si>
  <si>
    <t>Sankt Georgen ob Judenburg</t>
  </si>
  <si>
    <t>Sankt Peter ob Judenburg</t>
  </si>
  <si>
    <t>Seckau</t>
  </si>
  <si>
    <t>Unzmarkt-Frauenburg</t>
  </si>
  <si>
    <t>Zeltweg</t>
  </si>
  <si>
    <t>Lobmingtal</t>
  </si>
  <si>
    <t>Judenburg</t>
  </si>
  <si>
    <t>Knittelfeld</t>
  </si>
  <si>
    <t>Obdach</t>
  </si>
  <si>
    <t>Pöls-Oberkurzheim</t>
  </si>
  <si>
    <t>Pölstal</t>
  </si>
  <si>
    <t>Sankt Marein-Feistritz</t>
  </si>
  <si>
    <t>Sankt Margarethen bei Knittelfeld</t>
  </si>
  <si>
    <t>Spielberg</t>
  </si>
  <si>
    <t>Weißkirchen in Steiermark</t>
  </si>
  <si>
    <t>Breitenau am Hochlantsch</t>
  </si>
  <si>
    <t>Krieglach</t>
  </si>
  <si>
    <t>Langenwang</t>
  </si>
  <si>
    <t>Pernegg an der Mur</t>
  </si>
  <si>
    <t>Sankt Lorenzen im Mürztal</t>
  </si>
  <si>
    <t>Spital am Semmering</t>
  </si>
  <si>
    <t>Stanz im Mürztal</t>
  </si>
  <si>
    <t>Turnau</t>
  </si>
  <si>
    <t>Aflenz</t>
  </si>
  <si>
    <t>Bruck an der Mur</t>
  </si>
  <si>
    <t>Kapfenberg</t>
  </si>
  <si>
    <t>Kindberg</t>
  </si>
  <si>
    <t>Mariazell</t>
  </si>
  <si>
    <t>Mürzzuschlag</t>
  </si>
  <si>
    <t>Neuberg an der Mürz</t>
  </si>
  <si>
    <t>Sankt Barbara im Mürztal</t>
  </si>
  <si>
    <t>Sankt Marein im Mürztal</t>
  </si>
  <si>
    <t>Thörl</t>
  </si>
  <si>
    <t>Tragöß-Sankt Katharein</t>
  </si>
  <si>
    <t>Bad Blumau</t>
  </si>
  <si>
    <t>Buch-St. Magdalena</t>
  </si>
  <si>
    <t>Burgau</t>
  </si>
  <si>
    <t>Ebersdorf</t>
  </si>
  <si>
    <t>Friedberg</t>
  </si>
  <si>
    <t>Greinbach</t>
  </si>
  <si>
    <t>Großsteinbach</t>
  </si>
  <si>
    <t>Hartberg</t>
  </si>
  <si>
    <t>Hartberg Umgebung</t>
  </si>
  <si>
    <t>Lafnitz</t>
  </si>
  <si>
    <t>Ottendorf an der Rittschein</t>
  </si>
  <si>
    <t>Pinggau</t>
  </si>
  <si>
    <t>Pöllauberg</t>
  </si>
  <si>
    <t>Sankt Jakob im Walde</t>
  </si>
  <si>
    <t>Sankt Johann in der Haide</t>
  </si>
  <si>
    <t>Sankt Lorenzen am Wechsel</t>
  </si>
  <si>
    <t>Schäffern</t>
  </si>
  <si>
    <t>Söchau</t>
  </si>
  <si>
    <t>Stubenberg</t>
  </si>
  <si>
    <t>Wenigzell</t>
  </si>
  <si>
    <t>Bad Waltersdorf</t>
  </si>
  <si>
    <t>Dechantskirchen</t>
  </si>
  <si>
    <t>Feistritztal</t>
  </si>
  <si>
    <t>Fürstenfeld</t>
  </si>
  <si>
    <t>Grafendorf bei Hartberg</t>
  </si>
  <si>
    <t>Großwilfersdorf</t>
  </si>
  <si>
    <t>Hartl</t>
  </si>
  <si>
    <t>Ilz</t>
  </si>
  <si>
    <t>Kaindorf</t>
  </si>
  <si>
    <t>Neudau</t>
  </si>
  <si>
    <t>Pöllau</t>
  </si>
  <si>
    <t>Rohr bei Hartberg</t>
  </si>
  <si>
    <t>Rohrbach an der Lafnitz</t>
  </si>
  <si>
    <t>Vorau</t>
  </si>
  <si>
    <t>Waldbach-Mönichwald</t>
  </si>
  <si>
    <t>Edelsbach bei Feldbach</t>
  </si>
  <si>
    <t>Eichkögl</t>
  </si>
  <si>
    <t>Halbenrain</t>
  </si>
  <si>
    <t>Jagerberg</t>
  </si>
  <si>
    <t>Kapfenstein</t>
  </si>
  <si>
    <t>Klöch</t>
  </si>
  <si>
    <t>Mettersdorf am Saßbach</t>
  </si>
  <si>
    <t>Tieschen</t>
  </si>
  <si>
    <t>Unterlamm</t>
  </si>
  <si>
    <t>Bad Gleichenberg</t>
  </si>
  <si>
    <t>Bad Radkersburg</t>
  </si>
  <si>
    <t>Deutsch Goritz</t>
  </si>
  <si>
    <t>Fehring</t>
  </si>
  <si>
    <t>Feldbach</t>
  </si>
  <si>
    <t>Gnas</t>
  </si>
  <si>
    <t>Kirchbach-Zerlach</t>
  </si>
  <si>
    <t>Kirchberg an der Raab</t>
  </si>
  <si>
    <t>Mureck</t>
  </si>
  <si>
    <t>Paldau</t>
  </si>
  <si>
    <t>Pirching am Traubenberg</t>
  </si>
  <si>
    <t>Riegersburg</t>
  </si>
  <si>
    <t>Sankt Anna am Aigen</t>
  </si>
  <si>
    <t>Sankt Peter am Ottersbach</t>
  </si>
  <si>
    <t>Sankt Stefan im Rosental</t>
  </si>
  <si>
    <t>Straden</t>
  </si>
  <si>
    <t>Innsbruck</t>
  </si>
  <si>
    <t>Arzl im Pitztal</t>
  </si>
  <si>
    <t>Haiming</t>
  </si>
  <si>
    <t>Imsterberg</t>
  </si>
  <si>
    <t>Jerzens</t>
  </si>
  <si>
    <t>Karres</t>
  </si>
  <si>
    <t>Karrösten</t>
  </si>
  <si>
    <t>Längenfeld</t>
  </si>
  <si>
    <t>Mieming</t>
  </si>
  <si>
    <t>Mils bei Imst</t>
  </si>
  <si>
    <t>Mötz</t>
  </si>
  <si>
    <t>Nassereith</t>
  </si>
  <si>
    <t>Obsteig</t>
  </si>
  <si>
    <t>Oetz</t>
  </si>
  <si>
    <t>Rietz</t>
  </si>
  <si>
    <t>Roppen</t>
  </si>
  <si>
    <t>Sautens</t>
  </si>
  <si>
    <t>Silz</t>
  </si>
  <si>
    <t>Sölden</t>
  </si>
  <si>
    <t>Stams</t>
  </si>
  <si>
    <t>Tarrenz</t>
  </si>
  <si>
    <t>Umhausen</t>
  </si>
  <si>
    <t>Wenns</t>
  </si>
  <si>
    <t>Absam</t>
  </si>
  <si>
    <t>Aldrans</t>
  </si>
  <si>
    <t>Ampass</t>
  </si>
  <si>
    <t>Axams</t>
  </si>
  <si>
    <t>Baumkirchen</t>
  </si>
  <si>
    <t>Birgitz</t>
  </si>
  <si>
    <t>Ellbögen</t>
  </si>
  <si>
    <t>Flaurling</t>
  </si>
  <si>
    <t>Fritzens</t>
  </si>
  <si>
    <t>Fulpmes</t>
  </si>
  <si>
    <t>Gnadenwald</t>
  </si>
  <si>
    <t>Götzens</t>
  </si>
  <si>
    <t>Gries am Brenner</t>
  </si>
  <si>
    <t>Gries im Sellrain</t>
  </si>
  <si>
    <t>Grinzens</t>
  </si>
  <si>
    <t>Gschnitz</t>
  </si>
  <si>
    <t>Hatting</t>
  </si>
  <si>
    <t>Inzing</t>
  </si>
  <si>
    <t>Kematen in Tirol</t>
  </si>
  <si>
    <t>Kolsass</t>
  </si>
  <si>
    <t>Kolsassberg</t>
  </si>
  <si>
    <t>Lans</t>
  </si>
  <si>
    <t>Leutasch</t>
  </si>
  <si>
    <t>Mieders</t>
  </si>
  <si>
    <t>Mils</t>
  </si>
  <si>
    <t>Mutters</t>
  </si>
  <si>
    <t>Natters</t>
  </si>
  <si>
    <t>Navis</t>
  </si>
  <si>
    <t>Neustift im Stubaital</t>
  </si>
  <si>
    <t>Oberhofen im Inntal</t>
  </si>
  <si>
    <t>Obernberg am Brenner</t>
  </si>
  <si>
    <t>Oberperfuss</t>
  </si>
  <si>
    <t>Patsch</t>
  </si>
  <si>
    <t>Pettnau</t>
  </si>
  <si>
    <t>Pfaffenhofen</t>
  </si>
  <si>
    <t>Polling in Tirol</t>
  </si>
  <si>
    <t>Ranggen</t>
  </si>
  <si>
    <t>Reith bei Seefeld</t>
  </si>
  <si>
    <t>Rinn</t>
  </si>
  <si>
    <t>Rum</t>
  </si>
  <si>
    <t>Scharnitz</t>
  </si>
  <si>
    <t>Schmirn</t>
  </si>
  <si>
    <t>Schönberg im Stubaital</t>
  </si>
  <si>
    <t>Seefeld in Tirol</t>
  </si>
  <si>
    <t>Sellrain</t>
  </si>
  <si>
    <t>Sistrans</t>
  </si>
  <si>
    <t>Hall in Tirol</t>
  </si>
  <si>
    <t>Steinach am Brenner</t>
  </si>
  <si>
    <t>Telfes im Stubai</t>
  </si>
  <si>
    <t>Telfs</t>
  </si>
  <si>
    <t>Thaur</t>
  </si>
  <si>
    <t>Trins</t>
  </si>
  <si>
    <t>Tulfes</t>
  </si>
  <si>
    <t>Unterperfuss</t>
  </si>
  <si>
    <t>Vals</t>
  </si>
  <si>
    <t>Völs</t>
  </si>
  <si>
    <t>Volders</t>
  </si>
  <si>
    <t>Wattenberg</t>
  </si>
  <si>
    <t>Wattens</t>
  </si>
  <si>
    <t>Wildermieming</t>
  </si>
  <si>
    <t>Zirl</t>
  </si>
  <si>
    <t>Matrei am Brenner</t>
  </si>
  <si>
    <t>Aurach bei Kitzbühel</t>
  </si>
  <si>
    <t>Brixen im Thale</t>
  </si>
  <si>
    <t>Fieberbrunn</t>
  </si>
  <si>
    <t>Going am Wilden Kaiser</t>
  </si>
  <si>
    <t>Hochfilzen</t>
  </si>
  <si>
    <t>Hopfgarten im Brixental</t>
  </si>
  <si>
    <t>Itter</t>
  </si>
  <si>
    <t>Jochberg</t>
  </si>
  <si>
    <t>Kirchberg in Tirol</t>
  </si>
  <si>
    <t>Kirchdorf in Tirol</t>
  </si>
  <si>
    <t>Kössen</t>
  </si>
  <si>
    <t>Oberndorf in Tirol</t>
  </si>
  <si>
    <t>Reith bei Kitzbühel</t>
  </si>
  <si>
    <t>Schwendt</t>
  </si>
  <si>
    <t>Waidring</t>
  </si>
  <si>
    <t>Westendorf</t>
  </si>
  <si>
    <t>Alpbach</t>
  </si>
  <si>
    <t>Angath</t>
  </si>
  <si>
    <t>Bad Häring</t>
  </si>
  <si>
    <t>Brandenberg</t>
  </si>
  <si>
    <t>Breitenbach am Inn</t>
  </si>
  <si>
    <t>Brixlegg</t>
  </si>
  <si>
    <t>Ebbs</t>
  </si>
  <si>
    <t>Ellmau</t>
  </si>
  <si>
    <t>Erl</t>
  </si>
  <si>
    <t>Kirchbichl</t>
  </si>
  <si>
    <t>Kramsach</t>
  </si>
  <si>
    <t>Kundl</t>
  </si>
  <si>
    <t>Langkampfen</t>
  </si>
  <si>
    <t>Mariastein</t>
  </si>
  <si>
    <t>Münster</t>
  </si>
  <si>
    <t>Niederndorf</t>
  </si>
  <si>
    <t>Niederndorferberg</t>
  </si>
  <si>
    <t>Radfeld</t>
  </si>
  <si>
    <t>Rattenberg</t>
  </si>
  <si>
    <t>Reith im Alpbachtal</t>
  </si>
  <si>
    <t>Rettenschöss</t>
  </si>
  <si>
    <t>Scheffau am Wilden Kaiser</t>
  </si>
  <si>
    <t>Schwoich</t>
  </si>
  <si>
    <t>Söll</t>
  </si>
  <si>
    <t>Thiersee</t>
  </si>
  <si>
    <t>Angerberg</t>
  </si>
  <si>
    <t>Walchsee</t>
  </si>
  <si>
    <t>Wildschönau</t>
  </si>
  <si>
    <t>Wörgl</t>
  </si>
  <si>
    <t>Faggen</t>
  </si>
  <si>
    <t>Fendels</t>
  </si>
  <si>
    <t>Fiss</t>
  </si>
  <si>
    <t>Fließ</t>
  </si>
  <si>
    <t>Flirsch</t>
  </si>
  <si>
    <t>Galtür</t>
  </si>
  <si>
    <t>Grins</t>
  </si>
  <si>
    <t>Ischgl</t>
  </si>
  <si>
    <t>Kappl</t>
  </si>
  <si>
    <t>Kaunerberg</t>
  </si>
  <si>
    <t>Kaunertal</t>
  </si>
  <si>
    <t>Kauns</t>
  </si>
  <si>
    <t>Ladis</t>
  </si>
  <si>
    <t>Nauders</t>
  </si>
  <si>
    <t>Pettneu am Arlberg</t>
  </si>
  <si>
    <t>Pfunds</t>
  </si>
  <si>
    <t>Pians</t>
  </si>
  <si>
    <t>Prutz</t>
  </si>
  <si>
    <t>Ried im Oberinntal</t>
  </si>
  <si>
    <t>Schönwies</t>
  </si>
  <si>
    <t>See</t>
  </si>
  <si>
    <t>Serfaus</t>
  </si>
  <si>
    <t>Spiss</t>
  </si>
  <si>
    <t>Stanz bei Landeck</t>
  </si>
  <si>
    <t>Strengen</t>
  </si>
  <si>
    <t>Tobadill</t>
  </si>
  <si>
    <t>Tösens</t>
  </si>
  <si>
    <t>Zams</t>
  </si>
  <si>
    <t>Abfaltersbach</t>
  </si>
  <si>
    <t>Ainet</t>
  </si>
  <si>
    <t>Amlach</t>
  </si>
  <si>
    <t>Anras</t>
  </si>
  <si>
    <t>Assling</t>
  </si>
  <si>
    <t>Außervillgraten</t>
  </si>
  <si>
    <t>Dölsach</t>
  </si>
  <si>
    <t>Gaimberg</t>
  </si>
  <si>
    <t>Hopfgarten in Defereggen</t>
  </si>
  <si>
    <t>Innervillgraten</t>
  </si>
  <si>
    <t>Iselsberg-Stronach</t>
  </si>
  <si>
    <t>Kals am Großglockner</t>
  </si>
  <si>
    <t>Kartitsch</t>
  </si>
  <si>
    <t>Lavant</t>
  </si>
  <si>
    <t>Leisach</t>
  </si>
  <si>
    <t>Matrei in Osttirol</t>
  </si>
  <si>
    <t>Nikolsdorf</t>
  </si>
  <si>
    <t>Nußdorf-Debant</t>
  </si>
  <si>
    <t>Oberlienz</t>
  </si>
  <si>
    <t>Obertilliach</t>
  </si>
  <si>
    <t>Prägraten am Großvenediger</t>
  </si>
  <si>
    <t>Schlaiten</t>
  </si>
  <si>
    <t>Sillian</t>
  </si>
  <si>
    <t>Strassen</t>
  </si>
  <si>
    <t>Thurn</t>
  </si>
  <si>
    <t>Tristach</t>
  </si>
  <si>
    <t>Untertilliach</t>
  </si>
  <si>
    <t>Virgen</t>
  </si>
  <si>
    <t>Heinfels</t>
  </si>
  <si>
    <t>Bach</t>
  </si>
  <si>
    <t>Berwang</t>
  </si>
  <si>
    <t>Biberwier</t>
  </si>
  <si>
    <t>Bichlbach</t>
  </si>
  <si>
    <t>Breitenwang</t>
  </si>
  <si>
    <t>Ehenbichl</t>
  </si>
  <si>
    <t>Ehrwald</t>
  </si>
  <si>
    <t>Elbigenalp</t>
  </si>
  <si>
    <t>Elmen</t>
  </si>
  <si>
    <t>Forchach</t>
  </si>
  <si>
    <t>Grän</t>
  </si>
  <si>
    <t>Gramais</t>
  </si>
  <si>
    <t>Häselgehr</t>
  </si>
  <si>
    <t>Heiterwang</t>
  </si>
  <si>
    <t>Hinterhornbach</t>
  </si>
  <si>
    <t>Höfen</t>
  </si>
  <si>
    <t>Holzgau</t>
  </si>
  <si>
    <t>Jungholz</t>
  </si>
  <si>
    <t>Kaisers</t>
  </si>
  <si>
    <t>Lechaschau</t>
  </si>
  <si>
    <t>Lermoos</t>
  </si>
  <si>
    <t>Musau</t>
  </si>
  <si>
    <t>Namlos</t>
  </si>
  <si>
    <t>Nesselwängle</t>
  </si>
  <si>
    <t>Pfafflar</t>
  </si>
  <si>
    <t>Pflach</t>
  </si>
  <si>
    <t>Pinswang</t>
  </si>
  <si>
    <t>Schattwald</t>
  </si>
  <si>
    <t>Stanzach</t>
  </si>
  <si>
    <t>Steeg</t>
  </si>
  <si>
    <t>Tannheim</t>
  </si>
  <si>
    <t>Vils</t>
  </si>
  <si>
    <t>Vorderhornbach</t>
  </si>
  <si>
    <t>Wängle</t>
  </si>
  <si>
    <t>Weißenbach am Lech</t>
  </si>
  <si>
    <t>Zöblen</t>
  </si>
  <si>
    <t>Achenkirch</t>
  </si>
  <si>
    <t>Aschau im Zillertal</t>
  </si>
  <si>
    <t>Brandberg</t>
  </si>
  <si>
    <t>Bruck am Ziller</t>
  </si>
  <si>
    <t>Buch in Tirol</t>
  </si>
  <si>
    <t>Eben am Achensee</t>
  </si>
  <si>
    <t>Finkenberg</t>
  </si>
  <si>
    <t>Fügen</t>
  </si>
  <si>
    <t>Fügenberg</t>
  </si>
  <si>
    <t>Gallzein</t>
  </si>
  <si>
    <t>Gerlos</t>
  </si>
  <si>
    <t>Gerlosberg</t>
  </si>
  <si>
    <t>Hainzenberg</t>
  </si>
  <si>
    <t>Hart im Zillertal</t>
  </si>
  <si>
    <t>Hippach</t>
  </si>
  <si>
    <t>Jenbach</t>
  </si>
  <si>
    <t>Kaltenbach</t>
  </si>
  <si>
    <t>Mayrhofen</t>
  </si>
  <si>
    <t>Pill</t>
  </si>
  <si>
    <t>Ramsau im Zillertal</t>
  </si>
  <si>
    <t>Ried im Zillertal</t>
  </si>
  <si>
    <t>Rohrberg</t>
  </si>
  <si>
    <t>Schlitters</t>
  </si>
  <si>
    <t>Schwendau</t>
  </si>
  <si>
    <t>Stans</t>
  </si>
  <si>
    <t>Steinberg am Rofan</t>
  </si>
  <si>
    <t>Strass im Zillertal</t>
  </si>
  <si>
    <t>Stumm</t>
  </si>
  <si>
    <t>Stummerberg</t>
  </si>
  <si>
    <t>Terfens</t>
  </si>
  <si>
    <t>Tux</t>
  </si>
  <si>
    <t>Uderns</t>
  </si>
  <si>
    <t>Vomp</t>
  </si>
  <si>
    <t>Weer</t>
  </si>
  <si>
    <t>Weerberg</t>
  </si>
  <si>
    <t>Wiesing</t>
  </si>
  <si>
    <t>Zell am Ziller</t>
  </si>
  <si>
    <t>Zellberg</t>
  </si>
  <si>
    <t>Bartholomäberg</t>
  </si>
  <si>
    <t>Blons</t>
  </si>
  <si>
    <t>Bludesch</t>
  </si>
  <si>
    <t>Brand</t>
  </si>
  <si>
    <t>Bürs</t>
  </si>
  <si>
    <t>Bürserberg</t>
  </si>
  <si>
    <t>Dalaas</t>
  </si>
  <si>
    <t>Fontanella</t>
  </si>
  <si>
    <t>Gaschurn</t>
  </si>
  <si>
    <t>Innerbraz</t>
  </si>
  <si>
    <t>Klösterle</t>
  </si>
  <si>
    <t>Lech</t>
  </si>
  <si>
    <t>Lorüns</t>
  </si>
  <si>
    <t>Ludesch</t>
  </si>
  <si>
    <t>Nenzing</t>
  </si>
  <si>
    <t>Nüziders</t>
  </si>
  <si>
    <t>Raggal</t>
  </si>
  <si>
    <t>Schruns</t>
  </si>
  <si>
    <t>Silbertal</t>
  </si>
  <si>
    <t>Sonntag</t>
  </si>
  <si>
    <t>Stallehr</t>
  </si>
  <si>
    <t>Thüringen</t>
  </si>
  <si>
    <t>Thüringerberg</t>
  </si>
  <si>
    <t>Tschagguns</t>
  </si>
  <si>
    <t>Vandans</t>
  </si>
  <si>
    <t>Alberschwende</t>
  </si>
  <si>
    <t>Andelsbuch</t>
  </si>
  <si>
    <t>Au</t>
  </si>
  <si>
    <t>Bezau</t>
  </si>
  <si>
    <t>Bildstein</t>
  </si>
  <si>
    <t>Bizau</t>
  </si>
  <si>
    <t>Buch</t>
  </si>
  <si>
    <t>Damüls</t>
  </si>
  <si>
    <t>Doren</t>
  </si>
  <si>
    <t>Egg</t>
  </si>
  <si>
    <t>Eichenberg</t>
  </si>
  <si>
    <t>Fußach</t>
  </si>
  <si>
    <t>Gaißau</t>
  </si>
  <si>
    <t>Hard</t>
  </si>
  <si>
    <t>Hittisau</t>
  </si>
  <si>
    <t>Höchst</t>
  </si>
  <si>
    <t>Hörbranz</t>
  </si>
  <si>
    <t>Hohenweiler</t>
  </si>
  <si>
    <t>Kennelbach</t>
  </si>
  <si>
    <t>Langen bei Bregenz</t>
  </si>
  <si>
    <t>Langenegg</t>
  </si>
  <si>
    <t>Lauterach</t>
  </si>
  <si>
    <t>Lingenau</t>
  </si>
  <si>
    <t>Lochau</t>
  </si>
  <si>
    <t>Mellau</t>
  </si>
  <si>
    <t>Mittelberg</t>
  </si>
  <si>
    <t>Möggers</t>
  </si>
  <si>
    <t>Reuthe</t>
  </si>
  <si>
    <t>Riefensberg</t>
  </si>
  <si>
    <t>Schnepfau</t>
  </si>
  <si>
    <t>Schoppernau</t>
  </si>
  <si>
    <t>Schröcken</t>
  </si>
  <si>
    <t>Schwarzach</t>
  </si>
  <si>
    <t>Schwarzenberg</t>
  </si>
  <si>
    <t>Sibratsgfäll</t>
  </si>
  <si>
    <t>Sulzberg</t>
  </si>
  <si>
    <t>Wolfurt</t>
  </si>
  <si>
    <t>Hohenems</t>
  </si>
  <si>
    <t>Lustenau</t>
  </si>
  <si>
    <t>Altach</t>
  </si>
  <si>
    <t>Düns</t>
  </si>
  <si>
    <t>Dünserberg</t>
  </si>
  <si>
    <t>Frastanz</t>
  </si>
  <si>
    <t>Fraxern</t>
  </si>
  <si>
    <t>Göfis</t>
  </si>
  <si>
    <t>Götzis</t>
  </si>
  <si>
    <t>Klaus</t>
  </si>
  <si>
    <t>Koblach</t>
  </si>
  <si>
    <t>Laterns</t>
  </si>
  <si>
    <t>Mäder</t>
  </si>
  <si>
    <t>Meiningen</t>
  </si>
  <si>
    <t>Rankweil</t>
  </si>
  <si>
    <t>Röns</t>
  </si>
  <si>
    <t>Röthis</t>
  </si>
  <si>
    <t>Satteins</t>
  </si>
  <si>
    <t>Schlins</t>
  </si>
  <si>
    <t>Schnifis</t>
  </si>
  <si>
    <t>Sulz</t>
  </si>
  <si>
    <t>Übersaxen</t>
  </si>
  <si>
    <t>Viktorsberg</t>
  </si>
  <si>
    <t>Weiler</t>
  </si>
  <si>
    <t>Zwischenwasser</t>
  </si>
  <si>
    <t>KG_NUMMER</t>
  </si>
  <si>
    <t>KG_NAME</t>
  </si>
  <si>
    <t>GEMEINDENAME</t>
  </si>
  <si>
    <t>Oberberg-Eisenstadt</t>
  </si>
  <si>
    <t>Unterberg-Eisenstadt</t>
  </si>
  <si>
    <t>Kleinhöflein im Burgenland</t>
  </si>
  <si>
    <t>St. Georgen</t>
  </si>
  <si>
    <t>Oggau</t>
  </si>
  <si>
    <t>Purbach am Neusiedlersee</t>
  </si>
  <si>
    <t>St. Margarethen</t>
  </si>
  <si>
    <t>Burgauberg</t>
  </si>
  <si>
    <t>Neudauberg</t>
  </si>
  <si>
    <t>Gaas</t>
  </si>
  <si>
    <t>Kroatisch Ehrensdorf</t>
  </si>
  <si>
    <t>Kulm</t>
  </si>
  <si>
    <t>Winten</t>
  </si>
  <si>
    <t>Gerersdorf bei Güssing</t>
  </si>
  <si>
    <t>Rehgraben</t>
  </si>
  <si>
    <t>Sulz im Burgenland</t>
  </si>
  <si>
    <t>Glasing</t>
  </si>
  <si>
    <t>Krottendorf bei Güssing</t>
  </si>
  <si>
    <t>St. Nikolaus</t>
  </si>
  <si>
    <t>Steingraben</t>
  </si>
  <si>
    <t>Urbersdorf</t>
  </si>
  <si>
    <t>Deutsch Bieling</t>
  </si>
  <si>
    <t>Hagensdorf im Burgenland</t>
  </si>
  <si>
    <t>Luising</t>
  </si>
  <si>
    <t>Reinersdorf</t>
  </si>
  <si>
    <t>Eisenhüttl</t>
  </si>
  <si>
    <t>Limbach</t>
  </si>
  <si>
    <t>Neusiedl bei Güssing</t>
  </si>
  <si>
    <t>Neuberg</t>
  </si>
  <si>
    <t>Ollersdorf</t>
  </si>
  <si>
    <t>Gamischdorf</t>
  </si>
  <si>
    <t>St. Michael im Burgenland</t>
  </si>
  <si>
    <t>Schallendorf im Burgenland</t>
  </si>
  <si>
    <t>Deutsch Ehrensdorf</t>
  </si>
  <si>
    <t>Steinfurt</t>
  </si>
  <si>
    <t>Sumetendorf</t>
  </si>
  <si>
    <t>Deutsch Tschantschendorf</t>
  </si>
  <si>
    <t>Hasendorf im Burgenland</t>
  </si>
  <si>
    <t>Kroatisch Tschantschendorf</t>
  </si>
  <si>
    <t>Punitz</t>
  </si>
  <si>
    <t>Tudersdorf</t>
  </si>
  <si>
    <t>Oberbildein</t>
  </si>
  <si>
    <t>Unterbildein</t>
  </si>
  <si>
    <t>Rohrbrunn</t>
  </si>
  <si>
    <t>Zahling</t>
  </si>
  <si>
    <t>Poppendorf im Burgenland</t>
  </si>
  <si>
    <t>Grieselstein</t>
  </si>
  <si>
    <t>Henndorf im Burgenland</t>
  </si>
  <si>
    <t>Rax</t>
  </si>
  <si>
    <t>Tauka</t>
  </si>
  <si>
    <t>Windisch Minihof</t>
  </si>
  <si>
    <t>Deutsch Minihof</t>
  </si>
  <si>
    <t>Wallendorf</t>
  </si>
  <si>
    <t>Bonisdorf</t>
  </si>
  <si>
    <t>Kalch</t>
  </si>
  <si>
    <t>Krottendorf bei Neuhaus</t>
  </si>
  <si>
    <t>Dobersdorf</t>
  </si>
  <si>
    <t>Doiber</t>
  </si>
  <si>
    <t>Gritsch</t>
  </si>
  <si>
    <t>Neumarkt an der Raab</t>
  </si>
  <si>
    <t>Oberdrosen</t>
  </si>
  <si>
    <t>St. Martin an der Raab</t>
  </si>
  <si>
    <t>Welten</t>
  </si>
  <si>
    <t>Krobotek</t>
  </si>
  <si>
    <t>Rosendorf</t>
  </si>
  <si>
    <t>Forchtenau</t>
  </si>
  <si>
    <t>Neustift an der Rosalia</t>
  </si>
  <si>
    <t>Loipersbach</t>
  </si>
  <si>
    <t>Loipersbach-Kogel</t>
  </si>
  <si>
    <t>Walbersdorf</t>
  </si>
  <si>
    <t>Sauerbrunn</t>
  </si>
  <si>
    <t>Stöttera</t>
  </si>
  <si>
    <t>Zemendorf</t>
  </si>
  <si>
    <t>Kaisersteinbruch</t>
  </si>
  <si>
    <t>St. Andrä</t>
  </si>
  <si>
    <t>Winden</t>
  </si>
  <si>
    <t>Neudorf bei Parndorf</t>
  </si>
  <si>
    <t>Girm</t>
  </si>
  <si>
    <t>Karl</t>
  </si>
  <si>
    <t>Oberrabnitz</t>
  </si>
  <si>
    <t>Frankenau</t>
  </si>
  <si>
    <t>Großmutschen</t>
  </si>
  <si>
    <t>Kleinmutschen</t>
  </si>
  <si>
    <t>Unterpullendorf</t>
  </si>
  <si>
    <t>Kleinwarasdorf</t>
  </si>
  <si>
    <t>Nebersdorf</t>
  </si>
  <si>
    <t>Unterpetersdorf</t>
  </si>
  <si>
    <t>Lindgraben</t>
  </si>
  <si>
    <t>Oberpetersdorf</t>
  </si>
  <si>
    <t>Glashütten bei Langeck</t>
  </si>
  <si>
    <t>Hammerteich</t>
  </si>
  <si>
    <t>Hochstraß</t>
  </si>
  <si>
    <t>Langeck</t>
  </si>
  <si>
    <t>Strebersdorf</t>
  </si>
  <si>
    <t>Klostermarienberg</t>
  </si>
  <si>
    <t>Rattersdorf-Liebing</t>
  </si>
  <si>
    <t>Unterloisdorf</t>
  </si>
  <si>
    <t>Landsee</t>
  </si>
  <si>
    <t>Neudorf bei Landsee</t>
  </si>
  <si>
    <t>St. Martin</t>
  </si>
  <si>
    <t>Haschendorf</t>
  </si>
  <si>
    <t>Kroatisch Geresdorf</t>
  </si>
  <si>
    <t>Kroatisch Minihof</t>
  </si>
  <si>
    <t>Mitterpullendorf</t>
  </si>
  <si>
    <t>Bubendorf</t>
  </si>
  <si>
    <t>Deutsch Gerisdorf</t>
  </si>
  <si>
    <t>Kogl</t>
  </si>
  <si>
    <t>Lebenbrunn</t>
  </si>
  <si>
    <t>Salmannsdorf</t>
  </si>
  <si>
    <t>Steinbach</t>
  </si>
  <si>
    <t>Dörfl</t>
  </si>
  <si>
    <t>Steinberg</t>
  </si>
  <si>
    <t>Kalkgruben</t>
  </si>
  <si>
    <t>Tschurndorf</t>
  </si>
  <si>
    <t>Schwendgraben</t>
  </si>
  <si>
    <t>Unterrabnitz</t>
  </si>
  <si>
    <t>Jormannsdorf</t>
  </si>
  <si>
    <t>Sulzriegel</t>
  </si>
  <si>
    <t>Dreihütten</t>
  </si>
  <si>
    <t>Redlschlag</t>
  </si>
  <si>
    <t>Rettenbach</t>
  </si>
  <si>
    <t>Stuben</t>
  </si>
  <si>
    <t>Deutsch Schützen</t>
  </si>
  <si>
    <t>Eisenberg an der Pinka</t>
  </si>
  <si>
    <t>Höll</t>
  </si>
  <si>
    <t>St. Kathrein im Burgenland</t>
  </si>
  <si>
    <t>Kroisegg</t>
  </si>
  <si>
    <t>Kleinpetersdorf</t>
  </si>
  <si>
    <t>Kleinzicken</t>
  </si>
  <si>
    <t>Miedlingsdorf</t>
  </si>
  <si>
    <t>Welgersdorf</t>
  </si>
  <si>
    <t>Burg</t>
  </si>
  <si>
    <t>Woppendorf</t>
  </si>
  <si>
    <t>Harmisch</t>
  </si>
  <si>
    <t>Kirchfidisch</t>
  </si>
  <si>
    <t>Kitzladen</t>
  </si>
  <si>
    <t>Loipersdorf</t>
  </si>
  <si>
    <t>Bergwerk</t>
  </si>
  <si>
    <t>Grodnau</t>
  </si>
  <si>
    <t>Neustift bei Schlaining</t>
  </si>
  <si>
    <t>Tauchen</t>
  </si>
  <si>
    <t>Buchschachen</t>
  </si>
  <si>
    <t>Allhau Markt</t>
  </si>
  <si>
    <t>Althodis</t>
  </si>
  <si>
    <t>Neuhodis Markt</t>
  </si>
  <si>
    <t>Großbachselten</t>
  </si>
  <si>
    <t>Kleinbachselten</t>
  </si>
  <si>
    <t>Kotezicken</t>
  </si>
  <si>
    <t>Neuhaus in der Wart</t>
  </si>
  <si>
    <t>Rohrbach an der Teich</t>
  </si>
  <si>
    <t>Oberdorf</t>
  </si>
  <si>
    <t>Aschau</t>
  </si>
  <si>
    <t>Schmiedrait</t>
  </si>
  <si>
    <t>Unterschützen</t>
  </si>
  <si>
    <t>Willersdorf</t>
  </si>
  <si>
    <t>St. Martin in der Wart</t>
  </si>
  <si>
    <t>Hochart</t>
  </si>
  <si>
    <t>Siget in der Wart</t>
  </si>
  <si>
    <t>Spitzzicken</t>
  </si>
  <si>
    <t>Dürnbach</t>
  </si>
  <si>
    <t>Altschlaining</t>
  </si>
  <si>
    <t>Drumling</t>
  </si>
  <si>
    <t>Goberling</t>
  </si>
  <si>
    <t>Neumarkt im Tauchental</t>
  </si>
  <si>
    <t>Glashütten bei Schlaining</t>
  </si>
  <si>
    <t>Günseck</t>
  </si>
  <si>
    <t>Holzschlag</t>
  </si>
  <si>
    <t>Oberkohlstätten</t>
  </si>
  <si>
    <t>Eisenzicken</t>
  </si>
  <si>
    <t>Allersdorf</t>
  </si>
  <si>
    <t>Allersgraben</t>
  </si>
  <si>
    <t>Mönchmeierhof</t>
  </si>
  <si>
    <t>Podgoria</t>
  </si>
  <si>
    <t>Podler</t>
  </si>
  <si>
    <t>Rauhriegel</t>
  </si>
  <si>
    <t>Rumpersdorf</t>
  </si>
  <si>
    <t>Zuberbach</t>
  </si>
  <si>
    <t>Schönherrn</t>
  </si>
  <si>
    <t>Schreibersdorf</t>
  </si>
  <si>
    <t>Weinberg im Burgenland</t>
  </si>
  <si>
    <t>Blasendorf</t>
  </si>
  <si>
    <t>Ehrenthal</t>
  </si>
  <si>
    <t>Goritschitzen</t>
  </si>
  <si>
    <t>Großbuch</t>
  </si>
  <si>
    <t>Großponfeld</t>
  </si>
  <si>
    <t>Gurlitsch I</t>
  </si>
  <si>
    <t>Hallegg</t>
  </si>
  <si>
    <t>Hörtendorf</t>
  </si>
  <si>
    <t>Klagenfurt</t>
  </si>
  <si>
    <t>Kleinbuch</t>
  </si>
  <si>
    <t>Marolla</t>
  </si>
  <si>
    <t>Nagra</t>
  </si>
  <si>
    <t>St. Martin bei Klagenfurt</t>
  </si>
  <si>
    <t>St. Peter am Karlsberg</t>
  </si>
  <si>
    <t>St. Peter bei Ebenthal</t>
  </si>
  <si>
    <t>St. Peter bei Tentschach</t>
  </si>
  <si>
    <t>St. Ruprecht bei Klagenfurt</t>
  </si>
  <si>
    <t>Stein</t>
  </si>
  <si>
    <t>Tentschach</t>
  </si>
  <si>
    <t>Viktring</t>
  </si>
  <si>
    <t>Waidmannsdorf</t>
  </si>
  <si>
    <t>Waltendorf</t>
  </si>
  <si>
    <t>Welzenegg</t>
  </si>
  <si>
    <t>Bogenfeld</t>
  </si>
  <si>
    <t>Drobollach</t>
  </si>
  <si>
    <t>Federaun</t>
  </si>
  <si>
    <t>Gratschach</t>
  </si>
  <si>
    <t>Heiligengeist</t>
  </si>
  <si>
    <t>Judendorf</t>
  </si>
  <si>
    <t>Maria Gail</t>
  </si>
  <si>
    <t>Perau</t>
  </si>
  <si>
    <t>Pogöriach</t>
  </si>
  <si>
    <t>St. Ruprecht</t>
  </si>
  <si>
    <t>Seebach</t>
  </si>
  <si>
    <t>Vassach</t>
  </si>
  <si>
    <t>Völkendorf</t>
  </si>
  <si>
    <t>Wernberg II</t>
  </si>
  <si>
    <t>Wollanig</t>
  </si>
  <si>
    <t>Görtschach</t>
  </si>
  <si>
    <t>Guggenberg</t>
  </si>
  <si>
    <t>Khünburg</t>
  </si>
  <si>
    <t>Mitschig</t>
  </si>
  <si>
    <t>Möderndorf</t>
  </si>
  <si>
    <t>Möschach</t>
  </si>
  <si>
    <t>Nampolach</t>
  </si>
  <si>
    <t>Rattendorf</t>
  </si>
  <si>
    <t>Tröpolach</t>
  </si>
  <si>
    <t>Vellach</t>
  </si>
  <si>
    <t>Waidegg</t>
  </si>
  <si>
    <t>Grafendorf</t>
  </si>
  <si>
    <t>Reisach</t>
  </si>
  <si>
    <t>Kötschach</t>
  </si>
  <si>
    <t>Mauthen</t>
  </si>
  <si>
    <t>Strajach</t>
  </si>
  <si>
    <t>Würmlach</t>
  </si>
  <si>
    <t>Hadersdorf</t>
  </si>
  <si>
    <t>St. Stefan im Gailtal</t>
  </si>
  <si>
    <t>Matschiedl</t>
  </si>
  <si>
    <t>St. Paul</t>
  </si>
  <si>
    <t>St. Stefan</t>
  </si>
  <si>
    <t>Vorderberg</t>
  </si>
  <si>
    <t>St. Lorenzen im Gitschtal</t>
  </si>
  <si>
    <t>Weißbriach</t>
  </si>
  <si>
    <t>Kornat</t>
  </si>
  <si>
    <t>Liesing</t>
  </si>
  <si>
    <t>Luggau</t>
  </si>
  <si>
    <t>St. Lorenzen im Lesachtal</t>
  </si>
  <si>
    <t>Gradnitz</t>
  </si>
  <si>
    <t>Gurnitz</t>
  </si>
  <si>
    <t>Hinterradsberg</t>
  </si>
  <si>
    <t>Kreuth</t>
  </si>
  <si>
    <t>Lipizach</t>
  </si>
  <si>
    <t>Mieger</t>
  </si>
  <si>
    <t>Radsberg</t>
  </si>
  <si>
    <t>Rottenstein</t>
  </si>
  <si>
    <t>Zell bei Ebenthal</t>
  </si>
  <si>
    <t>Gansdorf</t>
  </si>
  <si>
    <t>Hundsdorf</t>
  </si>
  <si>
    <t>Matschach</t>
  </si>
  <si>
    <t>Suetschach</t>
  </si>
  <si>
    <t>Weizelsdorf</t>
  </si>
  <si>
    <t>Glainach</t>
  </si>
  <si>
    <t>Kappel</t>
  </si>
  <si>
    <t>Kirschentheuer</t>
  </si>
  <si>
    <t>Loiblthal</t>
  </si>
  <si>
    <t>Seidolach</t>
  </si>
  <si>
    <t>Unterferlach</t>
  </si>
  <si>
    <t>Unterloibl</t>
  </si>
  <si>
    <t>Waidisch</t>
  </si>
  <si>
    <t>Windisch Bleiberg</t>
  </si>
  <si>
    <t>Pakein</t>
  </si>
  <si>
    <t>Replach</t>
  </si>
  <si>
    <t>Saager</t>
  </si>
  <si>
    <t>Thon</t>
  </si>
  <si>
    <t>Truttendorf</t>
  </si>
  <si>
    <t>Wölfnitz</t>
  </si>
  <si>
    <t>Keutschach</t>
  </si>
  <si>
    <t>Plescherken</t>
  </si>
  <si>
    <t>St. Nikolai</t>
  </si>
  <si>
    <t>Hollenburg</t>
  </si>
  <si>
    <t>Rotschitzen</t>
  </si>
  <si>
    <t>Wurdach</t>
  </si>
  <si>
    <t>Drasing</t>
  </si>
  <si>
    <t>Krumpendorf am Wörthersee</t>
  </si>
  <si>
    <t>Gurlitsch II</t>
  </si>
  <si>
    <t>Krumpendorf</t>
  </si>
  <si>
    <t>Pritschitz</t>
  </si>
  <si>
    <t>Großkleinberg</t>
  </si>
  <si>
    <t>Oberdörfl</t>
  </si>
  <si>
    <t>Selkach</t>
  </si>
  <si>
    <t>Wellersdorf</t>
  </si>
  <si>
    <t>Göltschach</t>
  </si>
  <si>
    <t>Toppelsdorf</t>
  </si>
  <si>
    <t>Tschedram</t>
  </si>
  <si>
    <t>Kading</t>
  </si>
  <si>
    <t>Karnburg</t>
  </si>
  <si>
    <t>Possau</t>
  </si>
  <si>
    <t>St. Michael am Zollfeld</t>
  </si>
  <si>
    <t>Reifnitz</t>
  </si>
  <si>
    <t>Bärndorf</t>
  </si>
  <si>
    <t>Gradenegg</t>
  </si>
  <si>
    <t>Kreggab</t>
  </si>
  <si>
    <t>St. Peter bei Moosburg</t>
  </si>
  <si>
    <t>Seigbichl</t>
  </si>
  <si>
    <t>Tigring</t>
  </si>
  <si>
    <t>Tuderschitz</t>
  </si>
  <si>
    <t>Pörtschach am See</t>
  </si>
  <si>
    <t>Sallach</t>
  </si>
  <si>
    <t>Leibsdorf</t>
  </si>
  <si>
    <t>Linsenberg</t>
  </si>
  <si>
    <t>Pubersdorf</t>
  </si>
  <si>
    <t>Windisch St. Michael</t>
  </si>
  <si>
    <t>Gotschuchen</t>
  </si>
  <si>
    <t>St. Margareten im Rosental</t>
  </si>
  <si>
    <t>Niederdörfl</t>
  </si>
  <si>
    <t>St. Margareten</t>
  </si>
  <si>
    <t>St. Kathrein</t>
  </si>
  <si>
    <t>Schiefling am See</t>
  </si>
  <si>
    <t>Techelweg</t>
  </si>
  <si>
    <t>St. Bartlmä</t>
  </si>
  <si>
    <t>St. Martin am Techelsberg</t>
  </si>
  <si>
    <t>Tibitsch</t>
  </si>
  <si>
    <t>Trabenig-Ebenfeld</t>
  </si>
  <si>
    <t>Zell bei der Pfarre</t>
  </si>
  <si>
    <t>Zell bei Sonnegg</t>
  </si>
  <si>
    <t>Zell im Winkel</t>
  </si>
  <si>
    <t>Freudenberg</t>
  </si>
  <si>
    <t>Gammersdorf</t>
  </si>
  <si>
    <t>Lassendorf</t>
  </si>
  <si>
    <t>Ottmanach</t>
  </si>
  <si>
    <t>Portendorf</t>
  </si>
  <si>
    <t>Reigersdorf</t>
  </si>
  <si>
    <t>St. Thomas</t>
  </si>
  <si>
    <t>Schurianhof</t>
  </si>
  <si>
    <t>Timenitz</t>
  </si>
  <si>
    <t>Wutschein</t>
  </si>
  <si>
    <t>Zeiselberg</t>
  </si>
  <si>
    <t>Zinsdorf</t>
  </si>
  <si>
    <t>Töscheldorf</t>
  </si>
  <si>
    <t>Treibach</t>
  </si>
  <si>
    <t>Johannserberg</t>
  </si>
  <si>
    <t>Labegg</t>
  </si>
  <si>
    <t>St. Filippen</t>
  </si>
  <si>
    <t>Schmieddorf</t>
  </si>
  <si>
    <t>Deutsch Griffen</t>
  </si>
  <si>
    <t>Gutschen</t>
  </si>
  <si>
    <t>Hochfeistritz</t>
  </si>
  <si>
    <t>Mirnig</t>
  </si>
  <si>
    <t>Rüggen</t>
  </si>
  <si>
    <t>St. Oswald</t>
  </si>
  <si>
    <t>St. Walburgen</t>
  </si>
  <si>
    <t>St. Salvator</t>
  </si>
  <si>
    <t>Zeltschach</t>
  </si>
  <si>
    <t>Gruska</t>
  </si>
  <si>
    <t>Pisweg</t>
  </si>
  <si>
    <t>Bairberg</t>
  </si>
  <si>
    <t>Deinsberg</t>
  </si>
  <si>
    <t>Guttaringberg</t>
  </si>
  <si>
    <t>Hollersberg</t>
  </si>
  <si>
    <t>Verlosnitz</t>
  </si>
  <si>
    <t>Waitschach</t>
  </si>
  <si>
    <t>Unterwald</t>
  </si>
  <si>
    <t>Hinterberg</t>
  </si>
  <si>
    <t>Knappenberg</t>
  </si>
  <si>
    <t>Lölling</t>
  </si>
  <si>
    <t>St. Johann am Pressen</t>
  </si>
  <si>
    <t>St. Martin am Silberberg</t>
  </si>
  <si>
    <t>Zosen</t>
  </si>
  <si>
    <t>Dobranberg</t>
  </si>
  <si>
    <t>Dürnfeld</t>
  </si>
  <si>
    <t>Krasta</t>
  </si>
  <si>
    <t>Mannsberg</t>
  </si>
  <si>
    <t>St. Martin am Mannsberg</t>
  </si>
  <si>
    <t>Silberegg</t>
  </si>
  <si>
    <t>Klein St. Paul</t>
  </si>
  <si>
    <t>Dullberg</t>
  </si>
  <si>
    <t>Filfing</t>
  </si>
  <si>
    <t>Kirchberg</t>
  </si>
  <si>
    <t>Ober St. Paul</t>
  </si>
  <si>
    <t>Prailing</t>
  </si>
  <si>
    <t>Sittenberg</t>
  </si>
  <si>
    <t>Unter St. Paul</t>
  </si>
  <si>
    <t>Wietersdorf</t>
  </si>
  <si>
    <t>Wieting</t>
  </si>
  <si>
    <t>Freundsam</t>
  </si>
  <si>
    <t>Glantschach</t>
  </si>
  <si>
    <t>Liemberg</t>
  </si>
  <si>
    <t>Pflausach</t>
  </si>
  <si>
    <t>Rosenbichl</t>
  </si>
  <si>
    <t>Rottschaft Feistritz</t>
  </si>
  <si>
    <t>Sörg</t>
  </si>
  <si>
    <t>Sörgerberg</t>
  </si>
  <si>
    <t>Feistritz</t>
  </si>
  <si>
    <t>Grades</t>
  </si>
  <si>
    <t>Metnitz Markt</t>
  </si>
  <si>
    <t>Metnitz Land</t>
  </si>
  <si>
    <t>Lorenzenberg</t>
  </si>
  <si>
    <t>Gunzenberg</t>
  </si>
  <si>
    <t>Rabing</t>
  </si>
  <si>
    <t>Dielach</t>
  </si>
  <si>
    <t>Meiselding</t>
  </si>
  <si>
    <t>Goggerwenig</t>
  </si>
  <si>
    <t>St. Georgen am Längsee</t>
  </si>
  <si>
    <t>Gösseling</t>
  </si>
  <si>
    <t>Launsdorf</t>
  </si>
  <si>
    <t>Osterwitz</t>
  </si>
  <si>
    <t>Taggenbrunn</t>
  </si>
  <si>
    <t>Galling</t>
  </si>
  <si>
    <t>St. Veit an der Glan</t>
  </si>
  <si>
    <t>Hörzendorf</t>
  </si>
  <si>
    <t>Niederdorf</t>
  </si>
  <si>
    <t>Projern</t>
  </si>
  <si>
    <t>St. Donat</t>
  </si>
  <si>
    <t>Tanzenberg</t>
  </si>
  <si>
    <t>Straßburg Land</t>
  </si>
  <si>
    <t>Straßburg Stadt</t>
  </si>
  <si>
    <t>Altenmarkt</t>
  </si>
  <si>
    <t>Braunsberg</t>
  </si>
  <si>
    <t>Linder</t>
  </si>
  <si>
    <t>Thurnhof</t>
  </si>
  <si>
    <t>Weitensfeld</t>
  </si>
  <si>
    <t>Wullroß</t>
  </si>
  <si>
    <t>Zweinitz</t>
  </si>
  <si>
    <t>Grasdorf</t>
  </si>
  <si>
    <t>Kraig</t>
  </si>
  <si>
    <t>Leiten</t>
  </si>
  <si>
    <t>Obermühlbach</t>
  </si>
  <si>
    <t>Pfannhof</t>
  </si>
  <si>
    <t>Schaumboden</t>
  </si>
  <si>
    <t>Steinbichl</t>
  </si>
  <si>
    <t>Kleinkirchheim</t>
  </si>
  <si>
    <t>Zirkitzen</t>
  </si>
  <si>
    <t>Gschieß</t>
  </si>
  <si>
    <t>Emberg</t>
  </si>
  <si>
    <t>Goppelsberg</t>
  </si>
  <si>
    <t>Draßnitz</t>
  </si>
  <si>
    <t>Draßnitzdorf</t>
  </si>
  <si>
    <t>Nörenach</t>
  </si>
  <si>
    <t>Döllach</t>
  </si>
  <si>
    <t>Mitten</t>
  </si>
  <si>
    <t>Putschall</t>
  </si>
  <si>
    <t>Sagritz</t>
  </si>
  <si>
    <t>Winkel Sagritz</t>
  </si>
  <si>
    <t>Fragant</t>
  </si>
  <si>
    <t>Kreuschlach</t>
  </si>
  <si>
    <t>Landfraß</t>
  </si>
  <si>
    <t>Bruggen</t>
  </si>
  <si>
    <t>Kerschbaum</t>
  </si>
  <si>
    <t>Apriach</t>
  </si>
  <si>
    <t>Rojach</t>
  </si>
  <si>
    <t>Zlapp und Hof</t>
  </si>
  <si>
    <t>Rittersdorf</t>
  </si>
  <si>
    <t>Simmerlach</t>
  </si>
  <si>
    <t>Blaßnig</t>
  </si>
  <si>
    <t>Lind</t>
  </si>
  <si>
    <t>Hühnersberg</t>
  </si>
  <si>
    <t>Dössen</t>
  </si>
  <si>
    <t>Dornbach</t>
  </si>
  <si>
    <t>Maltaberg</t>
  </si>
  <si>
    <t>Laubendorf</t>
  </si>
  <si>
    <t>Millstatt am See</t>
  </si>
  <si>
    <t>Matzelsdorf</t>
  </si>
  <si>
    <t>Obermillstatt</t>
  </si>
  <si>
    <t>Stranach</t>
  </si>
  <si>
    <t>Flaschberg</t>
  </si>
  <si>
    <t>Zwickenberg</t>
  </si>
  <si>
    <t>Lassach</t>
  </si>
  <si>
    <t>Pfaffenberg</t>
  </si>
  <si>
    <t>Söbriach</t>
  </si>
  <si>
    <t>Döbriach</t>
  </si>
  <si>
    <t>Kaning</t>
  </si>
  <si>
    <t>Laufenberg</t>
  </si>
  <si>
    <t>St. Peter in Tweng</t>
  </si>
  <si>
    <t>Lainach</t>
  </si>
  <si>
    <t>Tressdorf</t>
  </si>
  <si>
    <t>Rennweg</t>
  </si>
  <si>
    <t>St. Peter</t>
  </si>
  <si>
    <t>Obergottesfeld</t>
  </si>
  <si>
    <t>Lieseregg</t>
  </si>
  <si>
    <t>Seeboden</t>
  </si>
  <si>
    <t>Treffling</t>
  </si>
  <si>
    <t>Lieserhofen</t>
  </si>
  <si>
    <t>Edling</t>
  </si>
  <si>
    <t>Molzbichl</t>
  </si>
  <si>
    <t>Olsach</t>
  </si>
  <si>
    <t>St. Peter-Edling</t>
  </si>
  <si>
    <t>Großegg</t>
  </si>
  <si>
    <t>Gössnitz</t>
  </si>
  <si>
    <t>Sonnberg</t>
  </si>
  <si>
    <t>Fell</t>
  </si>
  <si>
    <t>Gerlamoos</t>
  </si>
  <si>
    <t>Radlach</t>
  </si>
  <si>
    <t>Altersberg</t>
  </si>
  <si>
    <t>Radl</t>
  </si>
  <si>
    <t>Techendorf</t>
  </si>
  <si>
    <t>Reintal</t>
  </si>
  <si>
    <t>Eisentratten</t>
  </si>
  <si>
    <t>Kremsbrücke</t>
  </si>
  <si>
    <t>Nöring</t>
  </si>
  <si>
    <t>Puchreit</t>
  </si>
  <si>
    <t>Reitern</t>
  </si>
  <si>
    <t>Möllbrücke I</t>
  </si>
  <si>
    <t>Möllbrücke II</t>
  </si>
  <si>
    <t>Möllbrücke III</t>
  </si>
  <si>
    <t>Pusarnitz</t>
  </si>
  <si>
    <t>Kolbnitz</t>
  </si>
  <si>
    <t>Penk</t>
  </si>
  <si>
    <t>Teuchl</t>
  </si>
  <si>
    <t>Zandlach</t>
  </si>
  <si>
    <t>Afritz</t>
  </si>
  <si>
    <t>Berg ob Afritz</t>
  </si>
  <si>
    <t>Hart</t>
  </si>
  <si>
    <t>Maglern</t>
  </si>
  <si>
    <t>Pöckau</t>
  </si>
  <si>
    <t>Riegersdorf</t>
  </si>
  <si>
    <t>Seltschach</t>
  </si>
  <si>
    <t>Innere Teuchen</t>
  </si>
  <si>
    <t>Laastadt</t>
  </si>
  <si>
    <t>Sauerwald</t>
  </si>
  <si>
    <t>Bleiberg</t>
  </si>
  <si>
    <t>Rauth</t>
  </si>
  <si>
    <t>Gschriet</t>
  </si>
  <si>
    <t>Faak</t>
  </si>
  <si>
    <t>Fürnitz</t>
  </si>
  <si>
    <t>Gödersdorf</t>
  </si>
  <si>
    <t>Greuth</t>
  </si>
  <si>
    <t>Korpitsch</t>
  </si>
  <si>
    <t>Latschach am Faakersee</t>
  </si>
  <si>
    <t>Mallestig</t>
  </si>
  <si>
    <t>Mooswald</t>
  </si>
  <si>
    <t>Tragenwinkl</t>
  </si>
  <si>
    <t>Dreulach</t>
  </si>
  <si>
    <t>Kerschdorf im Gailtal</t>
  </si>
  <si>
    <t>Saak</t>
  </si>
  <si>
    <t>Feistritz an der Drau</t>
  </si>
  <si>
    <t>Kamering</t>
  </si>
  <si>
    <t>Kreuzen</t>
  </si>
  <si>
    <t>Nikelsdorf</t>
  </si>
  <si>
    <t>Rubland</t>
  </si>
  <si>
    <t>Emmersdorf</t>
  </si>
  <si>
    <t>Frießnitz</t>
  </si>
  <si>
    <t>St. Jakob im Rosental</t>
  </si>
  <si>
    <t>Maria Elend</t>
  </si>
  <si>
    <t>Mühlbach</t>
  </si>
  <si>
    <t>Schlatten</t>
  </si>
  <si>
    <t>Tragail</t>
  </si>
  <si>
    <t>Wiederschwing</t>
  </si>
  <si>
    <t>Ziebl</t>
  </si>
  <si>
    <t>Buchholz</t>
  </si>
  <si>
    <t>Ossiachberg</t>
  </si>
  <si>
    <t>Sattendorf</t>
  </si>
  <si>
    <t>Töbring</t>
  </si>
  <si>
    <t>Treffen</t>
  </si>
  <si>
    <t>Verditz</t>
  </si>
  <si>
    <t>Augsdorf</t>
  </si>
  <si>
    <t>Duel</t>
  </si>
  <si>
    <t>Kerschdorf ob Velden</t>
  </si>
  <si>
    <t>Köstenberg</t>
  </si>
  <si>
    <t>Latschach an der Drau</t>
  </si>
  <si>
    <t>Lind ob Velden</t>
  </si>
  <si>
    <t>St. Egiden</t>
  </si>
  <si>
    <t>Velden am Wörthersee</t>
  </si>
  <si>
    <t>Kellerberg</t>
  </si>
  <si>
    <t>Puch</t>
  </si>
  <si>
    <t>Töplitsch</t>
  </si>
  <si>
    <t>Sand</t>
  </si>
  <si>
    <t>Trabenig</t>
  </si>
  <si>
    <t>Umberg</t>
  </si>
  <si>
    <t>Wernberg I</t>
  </si>
  <si>
    <t>Grablach</t>
  </si>
  <si>
    <t>Kömel</t>
  </si>
  <si>
    <t>Moos</t>
  </si>
  <si>
    <t>Oberloibach</t>
  </si>
  <si>
    <t>Rinkenberg</t>
  </si>
  <si>
    <t>Schattenberg</t>
  </si>
  <si>
    <t>Unterloibach</t>
  </si>
  <si>
    <t>Woroujach</t>
  </si>
  <si>
    <t>Diexerberg</t>
  </si>
  <si>
    <t>Grafenbach</t>
  </si>
  <si>
    <t>Haimburgerberg</t>
  </si>
  <si>
    <t>Obergreutschach</t>
  </si>
  <si>
    <t>Buchbrunn</t>
  </si>
  <si>
    <t>Gablern</t>
  </si>
  <si>
    <t>Gösselsdorf</t>
  </si>
  <si>
    <t>Kühnsdorf</t>
  </si>
  <si>
    <t>Mittlern</t>
  </si>
  <si>
    <t>Mökriach</t>
  </si>
  <si>
    <t>Pribelsdorf</t>
  </si>
  <si>
    <t>Bad Vellach</t>
  </si>
  <si>
    <t>Blasnitzen</t>
  </si>
  <si>
    <t>Ebriach</t>
  </si>
  <si>
    <t>Eisenkappel</t>
  </si>
  <si>
    <t>Koprein-Petzen</t>
  </si>
  <si>
    <t>Koprein-Sonnseite</t>
  </si>
  <si>
    <t>Leppen</t>
  </si>
  <si>
    <t>Lobnig</t>
  </si>
  <si>
    <t>Remschenig</t>
  </si>
  <si>
    <t>Trögern</t>
  </si>
  <si>
    <t>St. Michael</t>
  </si>
  <si>
    <t>Unterort</t>
  </si>
  <si>
    <t>Abtei</t>
  </si>
  <si>
    <t>Enzelsdorf</t>
  </si>
  <si>
    <t>Möchling</t>
  </si>
  <si>
    <t>Jaunstein</t>
  </si>
  <si>
    <t>Wakendorf</t>
  </si>
  <si>
    <t>Griffnerthal</t>
  </si>
  <si>
    <t>Großenegg</t>
  </si>
  <si>
    <t>Haberberg</t>
  </si>
  <si>
    <t>Kaunz</t>
  </si>
  <si>
    <t>Kleindörfl</t>
  </si>
  <si>
    <t>Pustritz</t>
  </si>
  <si>
    <t>St. Kollmann</t>
  </si>
  <si>
    <t>Wriesen</t>
  </si>
  <si>
    <t>Berg ob Leifling</t>
  </si>
  <si>
    <t>Graditschach</t>
  </si>
  <si>
    <t>Heiligenstadt</t>
  </si>
  <si>
    <t>Leifling</t>
  </si>
  <si>
    <t>Pudlach</t>
  </si>
  <si>
    <t>Schwabegg</t>
  </si>
  <si>
    <t>Eis</t>
  </si>
  <si>
    <t>Kraßnitz</t>
  </si>
  <si>
    <t>Grabelsdorf</t>
  </si>
  <si>
    <t>St. Kanzian am Klopeiner See</t>
  </si>
  <si>
    <t>Lauchenholz</t>
  </si>
  <si>
    <t>St. Kanzian</t>
  </si>
  <si>
    <t>St. Marxen</t>
  </si>
  <si>
    <t>St. Veit im Jauntal</t>
  </si>
  <si>
    <t>Srejach</t>
  </si>
  <si>
    <t>Goritschach</t>
  </si>
  <si>
    <t>Proboj</t>
  </si>
  <si>
    <t>Rückersdorf</t>
  </si>
  <si>
    <t>Sonnegg</t>
  </si>
  <si>
    <t>Admont-Lassein</t>
  </si>
  <si>
    <t>Bei der Drau</t>
  </si>
  <si>
    <t>Gurtschitschach</t>
  </si>
  <si>
    <t>Haimburg</t>
  </si>
  <si>
    <t>Höhenbergen</t>
  </si>
  <si>
    <t>Kaltenbrunn</t>
  </si>
  <si>
    <t>Klein St. Veit</t>
  </si>
  <si>
    <t>Korb</t>
  </si>
  <si>
    <t>Mittertrixen</t>
  </si>
  <si>
    <t>Neudenstein</t>
  </si>
  <si>
    <t>Niedertrixen</t>
  </si>
  <si>
    <t>Ob der Drau</t>
  </si>
  <si>
    <t>Rakollach</t>
  </si>
  <si>
    <t>Ruhstatt</t>
  </si>
  <si>
    <t>St. Jakob</t>
  </si>
  <si>
    <t>St. Peter am Wallersberg</t>
  </si>
  <si>
    <t>Tainach</t>
  </si>
  <si>
    <t>Töllerberg</t>
  </si>
  <si>
    <t>Waisenberg</t>
  </si>
  <si>
    <t>Wandelitzen</t>
  </si>
  <si>
    <t>Weinberg</t>
  </si>
  <si>
    <t>Erzberg</t>
  </si>
  <si>
    <t>Bad St. Leonhard im Lavanttal</t>
  </si>
  <si>
    <t>Görlitzen</t>
  </si>
  <si>
    <t>Kliening</t>
  </si>
  <si>
    <t>Bad St. Leonhard</t>
  </si>
  <si>
    <t>Schiefling</t>
  </si>
  <si>
    <t>Schönberg</t>
  </si>
  <si>
    <t>Theißing</t>
  </si>
  <si>
    <t>Twimberg</t>
  </si>
  <si>
    <t>Hintergumitsch</t>
  </si>
  <si>
    <t>Frantschach-St. Gertraud</t>
  </si>
  <si>
    <t>Hinterwölch</t>
  </si>
  <si>
    <t>Kamp</t>
  </si>
  <si>
    <t>Kamperkogel</t>
  </si>
  <si>
    <t>Limberg</t>
  </si>
  <si>
    <t>Obergösel</t>
  </si>
  <si>
    <t>Trum- und Pressinggraben</t>
  </si>
  <si>
    <t>Untergösel</t>
  </si>
  <si>
    <t>Vorderwölch</t>
  </si>
  <si>
    <t>Zellach</t>
  </si>
  <si>
    <t>Ettendorf</t>
  </si>
  <si>
    <t>Großlamprechtsberg</t>
  </si>
  <si>
    <t>Lamprechtsberg-Hartneidstein</t>
  </si>
  <si>
    <t>Rabenstein</t>
  </si>
  <si>
    <t>Weißenberg</t>
  </si>
  <si>
    <t>Wunderstätten</t>
  </si>
  <si>
    <t>Kleinpreitenegg</t>
  </si>
  <si>
    <t>Oberauerling</t>
  </si>
  <si>
    <t>Oberpreitenegg</t>
  </si>
  <si>
    <t>Ort</t>
  </si>
  <si>
    <t>Unterauerling</t>
  </si>
  <si>
    <t>Unterpreitenegg</t>
  </si>
  <si>
    <t>Sommerau</t>
  </si>
  <si>
    <t>Weitenbach</t>
  </si>
  <si>
    <t>Eitweg</t>
  </si>
  <si>
    <t>Fischering</t>
  </si>
  <si>
    <t>Gemmersdorf</t>
  </si>
  <si>
    <t>Goding</t>
  </si>
  <si>
    <t>Jakling</t>
  </si>
  <si>
    <t>Kleinrojach</t>
  </si>
  <si>
    <t>Kollegg</t>
  </si>
  <si>
    <t>Mosern</t>
  </si>
  <si>
    <t>Oberaigen</t>
  </si>
  <si>
    <t>Pölling</t>
  </si>
  <si>
    <t>Schönweg</t>
  </si>
  <si>
    <t>Teichbauer</t>
  </si>
  <si>
    <t>Dachberg</t>
  </si>
  <si>
    <t>Eisdorf</t>
  </si>
  <si>
    <t>Framrach</t>
  </si>
  <si>
    <t>Langegg</t>
  </si>
  <si>
    <t>Lindhof</t>
  </si>
  <si>
    <t>Paierdorf</t>
  </si>
  <si>
    <t>Winkling</t>
  </si>
  <si>
    <t>Lamm</t>
  </si>
  <si>
    <t>Andersdorf</t>
  </si>
  <si>
    <t>St. Georgen im Lavanttal</t>
  </si>
  <si>
    <t>Gundisch</t>
  </si>
  <si>
    <t>Herzogberg</t>
  </si>
  <si>
    <t>Krakaberg</t>
  </si>
  <si>
    <t>Raggane</t>
  </si>
  <si>
    <t>St. Georgen-Hartneidstein</t>
  </si>
  <si>
    <t>Granitztal-St. Paul</t>
  </si>
  <si>
    <t>St. Paul im Lavanttal</t>
  </si>
  <si>
    <t>Granitztal-Weißenegg</t>
  </si>
  <si>
    <t>Kollnitz</t>
  </si>
  <si>
    <t>Legerbuch</t>
  </si>
  <si>
    <t>Löschental</t>
  </si>
  <si>
    <t>Johannesberg</t>
  </si>
  <si>
    <t>Aichberg</t>
  </si>
  <si>
    <t>Auen</t>
  </si>
  <si>
    <t>Forst</t>
  </si>
  <si>
    <t>Gries</t>
  </si>
  <si>
    <t>Hartelsberg</t>
  </si>
  <si>
    <t>Hattendorf</t>
  </si>
  <si>
    <t>Kleinedling</t>
  </si>
  <si>
    <t>Kleinwinklern</t>
  </si>
  <si>
    <t>Lading</t>
  </si>
  <si>
    <t>Leiwald</t>
  </si>
  <si>
    <t>Michaelsdorf</t>
  </si>
  <si>
    <t>Oberleidenberg</t>
  </si>
  <si>
    <t>Paildorf</t>
  </si>
  <si>
    <t>Pfaffendorf</t>
  </si>
  <si>
    <t>Preims</t>
  </si>
  <si>
    <t>Priel</t>
  </si>
  <si>
    <t>Reding</t>
  </si>
  <si>
    <t>Reideben</t>
  </si>
  <si>
    <t>Reisberg</t>
  </si>
  <si>
    <t>Rieding</t>
  </si>
  <si>
    <t>Schoßbach</t>
  </si>
  <si>
    <t>Schwemmtratten</t>
  </si>
  <si>
    <t>St. Johann</t>
  </si>
  <si>
    <t>St. Marein</t>
  </si>
  <si>
    <t>Thürn</t>
  </si>
  <si>
    <t>Unterleidenberg</t>
  </si>
  <si>
    <t>Vordergumitsch</t>
  </si>
  <si>
    <t>Weißenbach</t>
  </si>
  <si>
    <t>Witra</t>
  </si>
  <si>
    <t>Wolfsberg Obere Stadt</t>
  </si>
  <si>
    <t>Wolfsberg Untere Stadt</t>
  </si>
  <si>
    <t>Gräbern-Prebl</t>
  </si>
  <si>
    <t>Hintertheißenegg</t>
  </si>
  <si>
    <t>Vordertheißenegg</t>
  </si>
  <si>
    <t>Großreichenau</t>
  </si>
  <si>
    <t>St. Leonhard</t>
  </si>
  <si>
    <t>Sirnitz</t>
  </si>
  <si>
    <t>Fasching</t>
  </si>
  <si>
    <t>Glanhofen</t>
  </si>
  <si>
    <t>Gradisch</t>
  </si>
  <si>
    <t>Höfling</t>
  </si>
  <si>
    <t>Rabensdorf</t>
  </si>
  <si>
    <t>St. Ulrich</t>
  </si>
  <si>
    <t>Sittich</t>
  </si>
  <si>
    <t>Tschwarzen</t>
  </si>
  <si>
    <t>Waiern</t>
  </si>
  <si>
    <t>Maria Feicht</t>
  </si>
  <si>
    <t>Tauchendorf</t>
  </si>
  <si>
    <t>Mitteregg</t>
  </si>
  <si>
    <t>Zedlitzdorf</t>
  </si>
  <si>
    <t>Äußere Teuchen</t>
  </si>
  <si>
    <t>Dragelsberg</t>
  </si>
  <si>
    <t>Hochegg</t>
  </si>
  <si>
    <t>Pichlern</t>
  </si>
  <si>
    <t>Saurachberg</t>
  </si>
  <si>
    <t>Zedlitzberg</t>
  </si>
  <si>
    <t>Ebene Reichenau</t>
  </si>
  <si>
    <t>St. Lorenzen</t>
  </si>
  <si>
    <t>Wiedweg</t>
  </si>
  <si>
    <t>Winkl Reichenau</t>
  </si>
  <si>
    <t>St. Urban</t>
  </si>
  <si>
    <t>Hafenberg</t>
  </si>
  <si>
    <t>Rasting</t>
  </si>
  <si>
    <t>Zirkitz</t>
  </si>
  <si>
    <t>Steindorf</t>
  </si>
  <si>
    <t>Stiegl</t>
  </si>
  <si>
    <t>Tiffen</t>
  </si>
  <si>
    <t>Altsteuerberg</t>
  </si>
  <si>
    <t>Neusteuerberg</t>
  </si>
  <si>
    <t>Wabl</t>
  </si>
  <si>
    <t>Wachsenberg</t>
  </si>
  <si>
    <t>Egelsee</t>
  </si>
  <si>
    <t>Gneixendorf</t>
  </si>
  <si>
    <t>Krems</t>
  </si>
  <si>
    <t>Landersdorf</t>
  </si>
  <si>
    <t>Rehberg</t>
  </si>
  <si>
    <t>Scheibenhof</t>
  </si>
  <si>
    <t>Weinzierl bei Krems</t>
  </si>
  <si>
    <t>Angern</t>
  </si>
  <si>
    <t>Thallern</t>
  </si>
  <si>
    <t>Altmannsdorf</t>
  </si>
  <si>
    <t>St. Pölten</t>
  </si>
  <si>
    <t>Dörfl bei Ochsenburg</t>
  </si>
  <si>
    <t>Ganzendorf</t>
  </si>
  <si>
    <t>St. Georgen am Steinfelde</t>
  </si>
  <si>
    <t>Hafing</t>
  </si>
  <si>
    <t>Harland</t>
  </si>
  <si>
    <t>Kreisberg</t>
  </si>
  <si>
    <t>Matzersdorf</t>
  </si>
  <si>
    <t>Mühlgang</t>
  </si>
  <si>
    <t>Nadelbach</t>
  </si>
  <si>
    <t>Ochsenburg</t>
  </si>
  <si>
    <t>Pengersdorf</t>
  </si>
  <si>
    <t>Pottenbrunn</t>
  </si>
  <si>
    <t>Pummersdorf</t>
  </si>
  <si>
    <t>Oberradlberg</t>
  </si>
  <si>
    <t>Unterradlberg</t>
  </si>
  <si>
    <t>Ragelsdorf</t>
  </si>
  <si>
    <t>Reitzersdorf</t>
  </si>
  <si>
    <t>Ratzersdorf an der Traisen</t>
  </si>
  <si>
    <t>Spratzern</t>
  </si>
  <si>
    <t>Stattersdorf</t>
  </si>
  <si>
    <t>Teufelhof</t>
  </si>
  <si>
    <t>Viehofen</t>
  </si>
  <si>
    <t>Völtendorf</t>
  </si>
  <si>
    <t>Oberwagram</t>
  </si>
  <si>
    <t>Unterwagram</t>
  </si>
  <si>
    <t>Waitzendorf</t>
  </si>
  <si>
    <t>Wasserburg</t>
  </si>
  <si>
    <t>Weitern</t>
  </si>
  <si>
    <t>Wetzersdorf</t>
  </si>
  <si>
    <t>Windpassing</t>
  </si>
  <si>
    <t>Witzendorf</t>
  </si>
  <si>
    <t>Wolfenberg</t>
  </si>
  <si>
    <t>Wörth</t>
  </si>
  <si>
    <t>Zwerndorf</t>
  </si>
  <si>
    <t>Oberzwischenbrunn</t>
  </si>
  <si>
    <t>Unterzwischenbrunn</t>
  </si>
  <si>
    <t>Konradsheim</t>
  </si>
  <si>
    <t>Kreilhof</t>
  </si>
  <si>
    <t>Rien</t>
  </si>
  <si>
    <t>St. Georgen in der Klaus</t>
  </si>
  <si>
    <t>St. Leonhard am Walde</t>
  </si>
  <si>
    <t>Windhag</t>
  </si>
  <si>
    <t>Wirts</t>
  </si>
  <si>
    <t>Zell Arzberg</t>
  </si>
  <si>
    <t>Zell Markt</t>
  </si>
  <si>
    <t>Kröllendorf</t>
  </si>
  <si>
    <t>Edla</t>
  </si>
  <si>
    <t>Hausmening</t>
  </si>
  <si>
    <t>Mauer bei Amstetten</t>
  </si>
  <si>
    <t>Preinsbach</t>
  </si>
  <si>
    <t>Schönbichl</t>
  </si>
  <si>
    <t>Ulmerfeld</t>
  </si>
  <si>
    <t>Ardagger Markt</t>
  </si>
  <si>
    <t>Ardagger Stift</t>
  </si>
  <si>
    <t>Kollmitzberg</t>
  </si>
  <si>
    <t>Stephanshart</t>
  </si>
  <si>
    <t>Abetzberg</t>
  </si>
  <si>
    <t>Aschbach Dorf</t>
  </si>
  <si>
    <t>Aschbach Markt</t>
  </si>
  <si>
    <t>Oberaschbach</t>
  </si>
  <si>
    <t>Krenstetten</t>
  </si>
  <si>
    <t>Mitterhausleiten</t>
  </si>
  <si>
    <t>Badhof</t>
  </si>
  <si>
    <t>Penz</t>
  </si>
  <si>
    <t>Ramingdorf</t>
  </si>
  <si>
    <t>Wanzenöd</t>
  </si>
  <si>
    <t>Aigenfließen</t>
  </si>
  <si>
    <t>Rubring</t>
  </si>
  <si>
    <t>Großaigen</t>
  </si>
  <si>
    <t>Gafring</t>
  </si>
  <si>
    <t>Innerochsenbach</t>
  </si>
  <si>
    <t>Edelhof</t>
  </si>
  <si>
    <t>Gstetten</t>
  </si>
  <si>
    <t>Haag Stadt</t>
  </si>
  <si>
    <t>Heimberg</t>
  </si>
  <si>
    <t>Holzleiten</t>
  </si>
  <si>
    <t>Knillhof</t>
  </si>
  <si>
    <t>Krottendorf</t>
  </si>
  <si>
    <t>Porstenberg</t>
  </si>
  <si>
    <t>Radhof</t>
  </si>
  <si>
    <t>Reichhub</t>
  </si>
  <si>
    <t>Salaberg</t>
  </si>
  <si>
    <t>Schudutz</t>
  </si>
  <si>
    <t>Brunnhof</t>
  </si>
  <si>
    <t>Dorf an der Enns</t>
  </si>
  <si>
    <t>Sträußl</t>
  </si>
  <si>
    <t>Tröstelberg</t>
  </si>
  <si>
    <t>Vestenthal</t>
  </si>
  <si>
    <t>Garnberg</t>
  </si>
  <si>
    <t>Großhollenstein</t>
  </si>
  <si>
    <t>Krengraben</t>
  </si>
  <si>
    <t>Oberkirchen</t>
  </si>
  <si>
    <t>Oisberg</t>
  </si>
  <si>
    <t>Kematen</t>
  </si>
  <si>
    <t>Niederhausleiten</t>
  </si>
  <si>
    <t>Amesleithen</t>
  </si>
  <si>
    <t>Kornberg</t>
  </si>
  <si>
    <t>Perbersdorf</t>
  </si>
  <si>
    <t>Scherbling</t>
  </si>
  <si>
    <t>Schindau</t>
  </si>
  <si>
    <t>Toberstetten</t>
  </si>
  <si>
    <t>Berghof</t>
  </si>
  <si>
    <t>Freienstein</t>
  </si>
  <si>
    <t>Hößgang</t>
  </si>
  <si>
    <t>Nabegg</t>
  </si>
  <si>
    <t>Neustadtl</t>
  </si>
  <si>
    <t>Schaltberg</t>
  </si>
  <si>
    <t>Kleinwolfstein</t>
  </si>
  <si>
    <t>Oed Markt</t>
  </si>
  <si>
    <t>Öhling</t>
  </si>
  <si>
    <t>Ofenberg</t>
  </si>
  <si>
    <t>Thann</t>
  </si>
  <si>
    <t>Hochau</t>
  </si>
  <si>
    <t>St. Georgen am Reith</t>
  </si>
  <si>
    <t>Kogelsbach</t>
  </si>
  <si>
    <t>Königsbergau</t>
  </si>
  <si>
    <t>St. Georgen am Ybbsfelde</t>
  </si>
  <si>
    <t>Hermannsdorf</t>
  </si>
  <si>
    <t>Krahof</t>
  </si>
  <si>
    <t>Leutzmannsdorf</t>
  </si>
  <si>
    <t>Erla</t>
  </si>
  <si>
    <t>St. Pantaleon-Erla</t>
  </si>
  <si>
    <t>St. Pantaleon</t>
  </si>
  <si>
    <t>Hohenreith</t>
  </si>
  <si>
    <t>St. Peter in der Au</t>
  </si>
  <si>
    <t>St. Johann in Engstetten</t>
  </si>
  <si>
    <t>Kirnberg</t>
  </si>
  <si>
    <t>St. Michael am Bruckbach</t>
  </si>
  <si>
    <t>St. Peter in der Au Dorf</t>
  </si>
  <si>
    <t>St. Peter in der Au Markt</t>
  </si>
  <si>
    <t>Altenhofen</t>
  </si>
  <si>
    <t>St. Valentin</t>
  </si>
  <si>
    <t>Endholz</t>
  </si>
  <si>
    <t>Hofkirchen</t>
  </si>
  <si>
    <t>Rems</t>
  </si>
  <si>
    <t>Thurnsdorf</t>
  </si>
  <si>
    <t>Seitenstetten Dorf</t>
  </si>
  <si>
    <t>Seitenstetten Markt</t>
  </si>
  <si>
    <t>Böhlerwerk</t>
  </si>
  <si>
    <t>Ottendorf</t>
  </si>
  <si>
    <t>Oberramsau</t>
  </si>
  <si>
    <t>Thürnbuch</t>
  </si>
  <si>
    <t>Hainstetten</t>
  </si>
  <si>
    <t>Seisenegg</t>
  </si>
  <si>
    <t>Igelschwang</t>
  </si>
  <si>
    <t>Schweinberg</t>
  </si>
  <si>
    <t>Wallsee</t>
  </si>
  <si>
    <t>Grub</t>
  </si>
  <si>
    <t>Hartlmühl</t>
  </si>
  <si>
    <t>Holzschachen</t>
  </si>
  <si>
    <t>Schwaig</t>
  </si>
  <si>
    <t>Haag Dorf</t>
  </si>
  <si>
    <t>Meilersdorf</t>
  </si>
  <si>
    <t>Haselgraben</t>
  </si>
  <si>
    <t>Maisberg</t>
  </si>
  <si>
    <t>Prochenberg</t>
  </si>
  <si>
    <t>Prolling</t>
  </si>
  <si>
    <t>Schwarzois</t>
  </si>
  <si>
    <t>Waldamt</t>
  </si>
  <si>
    <t>Glashütten</t>
  </si>
  <si>
    <t>Groisbach</t>
  </si>
  <si>
    <t>Äußerer Kaltenbergerforst</t>
  </si>
  <si>
    <t>Innerer Kaltenbergerforst</t>
  </si>
  <si>
    <t>Mayerling</t>
  </si>
  <si>
    <t>Raisenmarkt</t>
  </si>
  <si>
    <t>Schwechatbach</t>
  </si>
  <si>
    <t>Weißenweg</t>
  </si>
  <si>
    <t>Windhaag</t>
  </si>
  <si>
    <t>St. Corona</t>
  </si>
  <si>
    <t>Kleinmariazell</t>
  </si>
  <si>
    <t>Nöstach</t>
  </si>
  <si>
    <t>Thenneberg</t>
  </si>
  <si>
    <t>Gainfarn</t>
  </si>
  <si>
    <t>Großau</t>
  </si>
  <si>
    <t>Vöslau</t>
  </si>
  <si>
    <t>Braiten</t>
  </si>
  <si>
    <t>Gamingerhof</t>
  </si>
  <si>
    <t>Leesdorf</t>
  </si>
  <si>
    <t>Mitterberg</t>
  </si>
  <si>
    <t>Rauhenstein</t>
  </si>
  <si>
    <t>Weikersdorf</t>
  </si>
  <si>
    <t>Berndorf I</t>
  </si>
  <si>
    <t>Berndorf II</t>
  </si>
  <si>
    <t>Berndorf III</t>
  </si>
  <si>
    <t>Berndorf IV</t>
  </si>
  <si>
    <t>Schranawand</t>
  </si>
  <si>
    <t>Unterwaltersdorf</t>
  </si>
  <si>
    <t>Weigelsdorf</t>
  </si>
  <si>
    <t>Enzesfeld</t>
  </si>
  <si>
    <t>Lindabrunn</t>
  </si>
  <si>
    <t>Furth</t>
  </si>
  <si>
    <t>Siegenfeld</t>
  </si>
  <si>
    <t>Grillenberg</t>
  </si>
  <si>
    <t>Kleinfeld</t>
  </si>
  <si>
    <t>Neusiedl bei Grillenberg</t>
  </si>
  <si>
    <t>Steinhof</t>
  </si>
  <si>
    <t>Veitsau</t>
  </si>
  <si>
    <t>Klausenleopoldsdorf</t>
  </si>
  <si>
    <t>Kleinmariazellerforst</t>
  </si>
  <si>
    <t>Mitterndorf</t>
  </si>
  <si>
    <t>Landegg</t>
  </si>
  <si>
    <t>Siegersdorf</t>
  </si>
  <si>
    <t>Wampersdorf</t>
  </si>
  <si>
    <t>Fahrafeld</t>
  </si>
  <si>
    <t>Dornau</t>
  </si>
  <si>
    <t>Deutsch Brodersdorf</t>
  </si>
  <si>
    <t>Möllersdorf</t>
  </si>
  <si>
    <t>Oeynhausen</t>
  </si>
  <si>
    <t>Tribuswinkel</t>
  </si>
  <si>
    <t>Wienersdorf</t>
  </si>
  <si>
    <t>Gadenweith</t>
  </si>
  <si>
    <t>Schwarzensee</t>
  </si>
  <si>
    <t>Weißenbach an der Triesting</t>
  </si>
  <si>
    <t>Au am Leithagebirge</t>
  </si>
  <si>
    <t>Bad Deutsch Altenburg</t>
  </si>
  <si>
    <t>Prugg Schloß</t>
  </si>
  <si>
    <t>Wilfleinsdorf</t>
  </si>
  <si>
    <t>Margarethen am Moos</t>
  </si>
  <si>
    <t>Arbesthal</t>
  </si>
  <si>
    <t>Göttlesbrunn</t>
  </si>
  <si>
    <t>Götzendorf</t>
  </si>
  <si>
    <t>Pischelsdorf</t>
  </si>
  <si>
    <t>Hainburg an der Donau</t>
  </si>
  <si>
    <t>Hainburg a.d. Donau</t>
  </si>
  <si>
    <t>Haslau an der Donau</t>
  </si>
  <si>
    <t>Maria Ellend</t>
  </si>
  <si>
    <t>Hof am Leithagebirge</t>
  </si>
  <si>
    <t>Petronell</t>
  </si>
  <si>
    <t>Deutsch Haslau</t>
  </si>
  <si>
    <t>Schönabrunn</t>
  </si>
  <si>
    <t>Wangheim</t>
  </si>
  <si>
    <t>Gerhaus</t>
  </si>
  <si>
    <t>Pachfurth</t>
  </si>
  <si>
    <t>Hollern</t>
  </si>
  <si>
    <t>Regelsbrunn</t>
  </si>
  <si>
    <t>Wildungsmauer</t>
  </si>
  <si>
    <t>Gallbrunn</t>
  </si>
  <si>
    <t>Sarasdorf</t>
  </si>
  <si>
    <t>Stixneusiedl</t>
  </si>
  <si>
    <t>Trautmannsdorf</t>
  </si>
  <si>
    <t>Wienerherberg</t>
  </si>
  <si>
    <t>Fischamend Dorf</t>
  </si>
  <si>
    <t>Fischamend Markt</t>
  </si>
  <si>
    <t>Gutenhof</t>
  </si>
  <si>
    <t>Pellendorf</t>
  </si>
  <si>
    <t>Velm</t>
  </si>
  <si>
    <t>Kleinneusiedl</t>
  </si>
  <si>
    <t>Oberlanzendorf</t>
  </si>
  <si>
    <t>Unterlanzendorf</t>
  </si>
  <si>
    <t>Rustenfeld</t>
  </si>
  <si>
    <t>Maria Lanzendorf</t>
  </si>
  <si>
    <t>Kledering</t>
  </si>
  <si>
    <t>Mannswörth</t>
  </si>
  <si>
    <t>Rannersdorf</t>
  </si>
  <si>
    <t>Grub an der March</t>
  </si>
  <si>
    <t>Mannersdorf</t>
  </si>
  <si>
    <t>Stillfried</t>
  </si>
  <si>
    <t>Kollnbrunn</t>
  </si>
  <si>
    <t>Pirawarth</t>
  </si>
  <si>
    <t>Deutsch Wagram</t>
  </si>
  <si>
    <t>Helmahof</t>
  </si>
  <si>
    <t>Stallingerfeld</t>
  </si>
  <si>
    <t>Waltersdorf an der March</t>
  </si>
  <si>
    <t>Waidendorf</t>
  </si>
  <si>
    <t>Kopfstetten</t>
  </si>
  <si>
    <t>Pframa</t>
  </si>
  <si>
    <t>Wagram an der Donau</t>
  </si>
  <si>
    <t>Witzelsdorf</t>
  </si>
  <si>
    <t>Groißenbrunn</t>
  </si>
  <si>
    <t>Loimersdorf</t>
  </si>
  <si>
    <t>Markthof</t>
  </si>
  <si>
    <t>Stopfenreuth</t>
  </si>
  <si>
    <t>Franzensdorf</t>
  </si>
  <si>
    <t>Großenzersdorf</t>
  </si>
  <si>
    <t>Matzneusiedl</t>
  </si>
  <si>
    <t>Mühlleiten</t>
  </si>
  <si>
    <t>Oberhausen</t>
  </si>
  <si>
    <t>Probstdorf</t>
  </si>
  <si>
    <t>Rutzendorf</t>
  </si>
  <si>
    <t>Schönau an der Donau</t>
  </si>
  <si>
    <t>Wittau</t>
  </si>
  <si>
    <t>Großschweinbarth</t>
  </si>
  <si>
    <t>Fuchsenbigl</t>
  </si>
  <si>
    <t>Straudorf</t>
  </si>
  <si>
    <t>Prinzendorf</t>
  </si>
  <si>
    <t>Hohenau</t>
  </si>
  <si>
    <t>Sierndorf an der March</t>
  </si>
  <si>
    <t>Schönfeld</t>
  </si>
  <si>
    <t>Breitstetten</t>
  </si>
  <si>
    <t>Mannsdorf</t>
  </si>
  <si>
    <t>Breitensee</t>
  </si>
  <si>
    <t>Kleinharras</t>
  </si>
  <si>
    <t>Matzen</t>
  </si>
  <si>
    <t>Raggendorf</t>
  </si>
  <si>
    <t>Dobermannsdorf</t>
  </si>
  <si>
    <t>Palterndorf</t>
  </si>
  <si>
    <t>Pysdorf</t>
  </si>
  <si>
    <t>Niederabsdorf</t>
  </si>
  <si>
    <t>Ringelsdorf</t>
  </si>
  <si>
    <t>Reyersdorf</t>
  </si>
  <si>
    <t>Schönkirchen</t>
  </si>
  <si>
    <t>Straßerfeld</t>
  </si>
  <si>
    <t>Erdpreß</t>
  </si>
  <si>
    <t>Nexing</t>
  </si>
  <si>
    <t>Niedersulz</t>
  </si>
  <si>
    <t>Obersulz</t>
  </si>
  <si>
    <t>Neuhof</t>
  </si>
  <si>
    <t>Aspacherfeld</t>
  </si>
  <si>
    <t>Dörfles</t>
  </si>
  <si>
    <t>Stripfing</t>
  </si>
  <si>
    <t>Tallesbrunn</t>
  </si>
  <si>
    <t>Windisch Baumgarten</t>
  </si>
  <si>
    <t>Blumenthal</t>
  </si>
  <si>
    <t>Eichhorn</t>
  </si>
  <si>
    <t>Gaiselberg</t>
  </si>
  <si>
    <t>Gösting</t>
  </si>
  <si>
    <t>Großinzersdorf</t>
  </si>
  <si>
    <t>Loidesthal</t>
  </si>
  <si>
    <t>Maustrenk</t>
  </si>
  <si>
    <t>Baumgarten an der March</t>
  </si>
  <si>
    <t>Oberweiden</t>
  </si>
  <si>
    <t>Aalfang</t>
  </si>
  <si>
    <t>Amaliendorf</t>
  </si>
  <si>
    <t>Falkendorf</t>
  </si>
  <si>
    <t>Nagelberg</t>
  </si>
  <si>
    <t>Finsternau</t>
  </si>
  <si>
    <t>Reinberg-Heidenreichstein</t>
  </si>
  <si>
    <t>Reinberg-Litschau</t>
  </si>
  <si>
    <t>Großradischen</t>
  </si>
  <si>
    <t>Kleinradischen</t>
  </si>
  <si>
    <t>Willings</t>
  </si>
  <si>
    <t>Böhmzeil</t>
  </si>
  <si>
    <t>Eibenstein</t>
  </si>
  <si>
    <t>Grillenstein</t>
  </si>
  <si>
    <t>Ehrendorf</t>
  </si>
  <si>
    <t>Wielands</t>
  </si>
  <si>
    <t>Eichberg</t>
  </si>
  <si>
    <t>Hörmanns</t>
  </si>
  <si>
    <t>Höhenberg</t>
  </si>
  <si>
    <t>Reinpolz</t>
  </si>
  <si>
    <t>Unterlembach</t>
  </si>
  <si>
    <t>Abschlag</t>
  </si>
  <si>
    <t>Angelbach</t>
  </si>
  <si>
    <t>Karlstift</t>
  </si>
  <si>
    <t>Großpertholz</t>
  </si>
  <si>
    <t>Seifritz</t>
  </si>
  <si>
    <t>Watzmanns</t>
  </si>
  <si>
    <t>Weikertschlag</t>
  </si>
  <si>
    <t>Engelstein</t>
  </si>
  <si>
    <t>Friedreichs</t>
  </si>
  <si>
    <t>Harmannstein</t>
  </si>
  <si>
    <t>Großotten</t>
  </si>
  <si>
    <t>Rothfarn</t>
  </si>
  <si>
    <t>Schroffen</t>
  </si>
  <si>
    <t>Thaures</t>
  </si>
  <si>
    <t>Wachtberg</t>
  </si>
  <si>
    <t>Wörnharts</t>
  </si>
  <si>
    <t>Zweres</t>
  </si>
  <si>
    <t>Harbach</t>
  </si>
  <si>
    <t>Hirschenwies</t>
  </si>
  <si>
    <t>Lauterbach</t>
  </si>
  <si>
    <t>Wultschau</t>
  </si>
  <si>
    <t>Griesbach</t>
  </si>
  <si>
    <t>Rottal</t>
  </si>
  <si>
    <t>Türnau</t>
  </si>
  <si>
    <t>Altmanns</t>
  </si>
  <si>
    <t>Dietweis</t>
  </si>
  <si>
    <t>Eberweis</t>
  </si>
  <si>
    <t>Motten</t>
  </si>
  <si>
    <t>Kleinpertholz</t>
  </si>
  <si>
    <t>Wielandsberg</t>
  </si>
  <si>
    <t>Guttenbrunn</t>
  </si>
  <si>
    <t>Haslau</t>
  </si>
  <si>
    <t>Seyfrieds</t>
  </si>
  <si>
    <t>Wolfsegg</t>
  </si>
  <si>
    <t>Stölzles</t>
  </si>
  <si>
    <t>Nondorf</t>
  </si>
  <si>
    <t>Frommberg</t>
  </si>
  <si>
    <t>Hollenstein</t>
  </si>
  <si>
    <t>Süssenbach</t>
  </si>
  <si>
    <t>Ullrichs</t>
  </si>
  <si>
    <t>Weißenalbern</t>
  </si>
  <si>
    <t>Gopprechts</t>
  </si>
  <si>
    <t>Loimanns</t>
  </si>
  <si>
    <t>Reichenbach</t>
  </si>
  <si>
    <t>Reitzenschlag</t>
  </si>
  <si>
    <t>Saaß</t>
  </si>
  <si>
    <t>Schandachen</t>
  </si>
  <si>
    <t>Schlag</t>
  </si>
  <si>
    <t>Schönau</t>
  </si>
  <si>
    <t>Grametten</t>
  </si>
  <si>
    <t>Hirschenschlag</t>
  </si>
  <si>
    <t>Illmanns</t>
  </si>
  <si>
    <t>Harmannschlag</t>
  </si>
  <si>
    <t>Langfeld</t>
  </si>
  <si>
    <t>Ehrenhöbarten</t>
  </si>
  <si>
    <t>Gebharts</t>
  </si>
  <si>
    <t>Kiensass</t>
  </si>
  <si>
    <t>Kottinghörmanns</t>
  </si>
  <si>
    <t>Pürbach</t>
  </si>
  <si>
    <t>Niederschrems</t>
  </si>
  <si>
    <t>Langschwarza</t>
  </si>
  <si>
    <t>Kurzschwarza</t>
  </si>
  <si>
    <t>Heinreichs bei Weitra</t>
  </si>
  <si>
    <t>Oberlembach</t>
  </si>
  <si>
    <t>Pyhrabruck</t>
  </si>
  <si>
    <t>Schagges</t>
  </si>
  <si>
    <t>Ulrichs</t>
  </si>
  <si>
    <t>Unserfrau</t>
  </si>
  <si>
    <t>Altweitra</t>
  </si>
  <si>
    <t>Albrechts</t>
  </si>
  <si>
    <t>Großhöbarten</t>
  </si>
  <si>
    <t>Großneusiedl</t>
  </si>
  <si>
    <t>Kleinruprechts</t>
  </si>
  <si>
    <t>Zehenthöf</t>
  </si>
  <si>
    <t>Brühl</t>
  </si>
  <si>
    <t>Reinprechts</t>
  </si>
  <si>
    <t>Spital</t>
  </si>
  <si>
    <t>Walterschlag</t>
  </si>
  <si>
    <t>Wetzles</t>
  </si>
  <si>
    <t>Oberwindhag</t>
  </si>
  <si>
    <t>St. Wolfgang</t>
  </si>
  <si>
    <t>Großwolfgers</t>
  </si>
  <si>
    <t>Alberndorf</t>
  </si>
  <si>
    <t>Bergau</t>
  </si>
  <si>
    <t>Eitzersthal</t>
  </si>
  <si>
    <t>Obergrub</t>
  </si>
  <si>
    <t>Untergrub</t>
  </si>
  <si>
    <t>Oberparschenbrunn</t>
  </si>
  <si>
    <t>Porrau</t>
  </si>
  <si>
    <t>Schönborn</t>
  </si>
  <si>
    <t>Großstelzendorf</t>
  </si>
  <si>
    <t>Viendorf</t>
  </si>
  <si>
    <t>Viendorf Weingebirge</t>
  </si>
  <si>
    <t>Wischathal</t>
  </si>
  <si>
    <t>Mittergrabern</t>
  </si>
  <si>
    <t>Obergrabern</t>
  </si>
  <si>
    <t>Schöngrabern</t>
  </si>
  <si>
    <t>Obersteinabrunn</t>
  </si>
  <si>
    <t>Großnondorf</t>
  </si>
  <si>
    <t>Obritz</t>
  </si>
  <si>
    <t>Untermarkersdorf</t>
  </si>
  <si>
    <t>Felling</t>
  </si>
  <si>
    <t>Heufurth</t>
  </si>
  <si>
    <t>Mallersbach</t>
  </si>
  <si>
    <t>Merkersdorf</t>
  </si>
  <si>
    <t>Niederfladnitz</t>
  </si>
  <si>
    <t>Pleissing</t>
  </si>
  <si>
    <t>Waschbach</t>
  </si>
  <si>
    <t>Augenthal</t>
  </si>
  <si>
    <t>Jetzelsdorf</t>
  </si>
  <si>
    <t>Glaubendorf</t>
  </si>
  <si>
    <t>Großwetzdorf</t>
  </si>
  <si>
    <t>Kleinwetzdorf</t>
  </si>
  <si>
    <t>Oberthern</t>
  </si>
  <si>
    <t>Unterthern</t>
  </si>
  <si>
    <t>Bösendürnbach</t>
  </si>
  <si>
    <t>Burgfrieden</t>
  </si>
  <si>
    <t>Ebersbrunn</t>
  </si>
  <si>
    <t>Hohenwarth</t>
  </si>
  <si>
    <t>Mühlbach am Manhartsberg</t>
  </si>
  <si>
    <t>Olbersdorf</t>
  </si>
  <si>
    <t>Ronthal</t>
  </si>
  <si>
    <t>Zemling</t>
  </si>
  <si>
    <t>Altenmarkt im Thale</t>
  </si>
  <si>
    <t>Aspersdorf</t>
  </si>
  <si>
    <t>Breitenwaida</t>
  </si>
  <si>
    <t>Dietersdorf</t>
  </si>
  <si>
    <t>Eggendorf im Thale</t>
  </si>
  <si>
    <t>Enzersdorf im Thale</t>
  </si>
  <si>
    <t>Oberfellabrunn</t>
  </si>
  <si>
    <t>Gaisberg</t>
  </si>
  <si>
    <t>Groß</t>
  </si>
  <si>
    <t>Kleinkadolz</t>
  </si>
  <si>
    <t>Kleedorf</t>
  </si>
  <si>
    <t>Magersdorf</t>
  </si>
  <si>
    <t>Mariathal</t>
  </si>
  <si>
    <t>Raschala</t>
  </si>
  <si>
    <t>Kleinstelzendorf</t>
  </si>
  <si>
    <t>Kleinstetteldorf</t>
  </si>
  <si>
    <t>Suttenbrunn</t>
  </si>
  <si>
    <t>Weyerburg</t>
  </si>
  <si>
    <t>Wieselsfeld</t>
  </si>
  <si>
    <t>Wolfsbrunn</t>
  </si>
  <si>
    <t>Oberdürnbach</t>
  </si>
  <si>
    <t>Unterdürnbach</t>
  </si>
  <si>
    <t>Eggendorf am Walde</t>
  </si>
  <si>
    <t>Grübern</t>
  </si>
  <si>
    <t>Wilhelmsdorf</t>
  </si>
  <si>
    <t>Gumping</t>
  </si>
  <si>
    <t>Kleinburgstall</t>
  </si>
  <si>
    <t>Reikersdorf</t>
  </si>
  <si>
    <t>Dürnleis</t>
  </si>
  <si>
    <t>Haslach</t>
  </si>
  <si>
    <t>Kammersdorf</t>
  </si>
  <si>
    <t>Nappersdorf</t>
  </si>
  <si>
    <t>Kleinsierndorf</t>
  </si>
  <si>
    <t>Kleinweikersdorf</t>
  </si>
  <si>
    <t>Peigarten</t>
  </si>
  <si>
    <t>Leodagger</t>
  </si>
  <si>
    <t>Rohrendorf</t>
  </si>
  <si>
    <t>Großreipersdorf</t>
  </si>
  <si>
    <t>Passendorf</t>
  </si>
  <si>
    <t>Rafing</t>
  </si>
  <si>
    <t>Baierdorf</t>
  </si>
  <si>
    <t>Gaindorf</t>
  </si>
  <si>
    <t>Minichhofen</t>
  </si>
  <si>
    <t>Parisdorf</t>
  </si>
  <si>
    <t>Pfaffstetten</t>
  </si>
  <si>
    <t>Oberravelsbach</t>
  </si>
  <si>
    <t>Hofern</t>
  </si>
  <si>
    <t>Kleinhöflein</t>
  </si>
  <si>
    <t>Kleinriedenthal</t>
  </si>
  <si>
    <t>Obernalb</t>
  </si>
  <si>
    <t>Retz Altstadt</t>
  </si>
  <si>
    <t>Retz Stadt</t>
  </si>
  <si>
    <t>Unternalb</t>
  </si>
  <si>
    <t>Mitterretzbach</t>
  </si>
  <si>
    <t>Oberretzbach</t>
  </si>
  <si>
    <t>Unterretzbach</t>
  </si>
  <si>
    <t>Obermarkersdorf</t>
  </si>
  <si>
    <t>Großkadolz</t>
  </si>
  <si>
    <t>Seefeld</t>
  </si>
  <si>
    <t>Braunsdorf</t>
  </si>
  <si>
    <t>Goggendorf</t>
  </si>
  <si>
    <t>Kleinkirchberg</t>
  </si>
  <si>
    <t>Pranhartsberg</t>
  </si>
  <si>
    <t>Roseldorf</t>
  </si>
  <si>
    <t>Sitzendorf</t>
  </si>
  <si>
    <t>Sitzenhart</t>
  </si>
  <si>
    <t>Frauendorf</t>
  </si>
  <si>
    <t>Niederschleinz</t>
  </si>
  <si>
    <t>Aschendorf</t>
  </si>
  <si>
    <t>Grund</t>
  </si>
  <si>
    <t>Hetzmannsdorf</t>
  </si>
  <si>
    <t>Immendorf</t>
  </si>
  <si>
    <t>Kalladorf</t>
  </si>
  <si>
    <t>Raffelhof</t>
  </si>
  <si>
    <t>Roggendorf</t>
  </si>
  <si>
    <t>Schalladorf</t>
  </si>
  <si>
    <t>Oberstinkenbrunn</t>
  </si>
  <si>
    <t>Deinzendorf</t>
  </si>
  <si>
    <t>Dietmannsdorf</t>
  </si>
  <si>
    <t>Pillersdorf</t>
  </si>
  <si>
    <t>Platt</t>
  </si>
  <si>
    <t>Watzelsdorf</t>
  </si>
  <si>
    <t>Dippersdorf</t>
  </si>
  <si>
    <t>Gettsdorf</t>
  </si>
  <si>
    <t>Kiblitz</t>
  </si>
  <si>
    <t>Großmeiseldorf</t>
  </si>
  <si>
    <t>Radlbrunn</t>
  </si>
  <si>
    <t>Fahndorf</t>
  </si>
  <si>
    <t>Burgerwiesen</t>
  </si>
  <si>
    <t>Fuglau</t>
  </si>
  <si>
    <t>Mahrersdorf</t>
  </si>
  <si>
    <t>Steinegg</t>
  </si>
  <si>
    <t>Atzelsdorf</t>
  </si>
  <si>
    <t>Dappach</t>
  </si>
  <si>
    <t>Frankenreith</t>
  </si>
  <si>
    <t>Fürwald</t>
  </si>
  <si>
    <t>Neukirchen</t>
  </si>
  <si>
    <t>Waiden</t>
  </si>
  <si>
    <t>Wutzendorf</t>
  </si>
  <si>
    <t>Amelsdorf</t>
  </si>
  <si>
    <t>Burgschleinitz</t>
  </si>
  <si>
    <t>Buttendorf</t>
  </si>
  <si>
    <t>Kühnring</t>
  </si>
  <si>
    <t>Reinprechtspölla</t>
  </si>
  <si>
    <t>Sachsendorf</t>
  </si>
  <si>
    <t>Sonndorf</t>
  </si>
  <si>
    <t>Zogelsdorf</t>
  </si>
  <si>
    <t>Autendorf</t>
  </si>
  <si>
    <t>Drosendorf Altstadt</t>
  </si>
  <si>
    <t>Drosendorf Stadt</t>
  </si>
  <si>
    <t>Elsern</t>
  </si>
  <si>
    <t>Heinrichsreith</t>
  </si>
  <si>
    <t>Pingendorf</t>
  </si>
  <si>
    <t>Oberthürnau</t>
  </si>
  <si>
    <t>Unterthürnau</t>
  </si>
  <si>
    <t>Wollmersdorf</t>
  </si>
  <si>
    <t>Zettlitz</t>
  </si>
  <si>
    <t>Zissersdorf</t>
  </si>
  <si>
    <t>Engelsdorf</t>
  </si>
  <si>
    <t>Gauderndorf</t>
  </si>
  <si>
    <t>Stoitzendorf</t>
  </si>
  <si>
    <t>Buchberg</t>
  </si>
  <si>
    <t>Etzmannsdorf am Kamp</t>
  </si>
  <si>
    <t>Kamegg</t>
  </si>
  <si>
    <t>Kotzendorf</t>
  </si>
  <si>
    <t>Loibersdorf</t>
  </si>
  <si>
    <t>Maiersch</t>
  </si>
  <si>
    <t>Nondorf bei Gars</t>
  </si>
  <si>
    <t>Thunau am Kamp</t>
  </si>
  <si>
    <t>Wanzenau</t>
  </si>
  <si>
    <t>Wolfshof</t>
  </si>
  <si>
    <t>Zitternberg</t>
  </si>
  <si>
    <t>Tautendorf bei Gars</t>
  </si>
  <si>
    <t>Dallein</t>
  </si>
  <si>
    <t>Fugnitz</t>
  </si>
  <si>
    <t>Goggitsch</t>
  </si>
  <si>
    <t>Harth</t>
  </si>
  <si>
    <t>Hötzelsdorf</t>
  </si>
  <si>
    <t>Kottaun</t>
  </si>
  <si>
    <t>Pfaffenreith</t>
  </si>
  <si>
    <t>Purgstall</t>
  </si>
  <si>
    <t>Schiermannsreith</t>
  </si>
  <si>
    <t>Sieghartsreith</t>
  </si>
  <si>
    <t>Thumeritzer Sasswald</t>
  </si>
  <si>
    <t>Breiteneich</t>
  </si>
  <si>
    <t>Doberndorf</t>
  </si>
  <si>
    <t>Mödring</t>
  </si>
  <si>
    <t>Mühlfeld</t>
  </si>
  <si>
    <t>Dorna</t>
  </si>
  <si>
    <t>Haselberg</t>
  </si>
  <si>
    <t>Irnfritz</t>
  </si>
  <si>
    <t>Messern</t>
  </si>
  <si>
    <t>Nonndorf an der Wild</t>
  </si>
  <si>
    <t>Reichharts</t>
  </si>
  <si>
    <t>Rothweinsdorf</t>
  </si>
  <si>
    <t>Trabenreith</t>
  </si>
  <si>
    <t>Wappoltenreith</t>
  </si>
  <si>
    <t>Kleinullrichschlag</t>
  </si>
  <si>
    <t>Goslarn</t>
  </si>
  <si>
    <t>Oberthumeritz</t>
  </si>
  <si>
    <t>Unterthumeritz</t>
  </si>
  <si>
    <t>Zettenreith</t>
  </si>
  <si>
    <t>Sabatenreith</t>
  </si>
  <si>
    <t>Schweinburg</t>
  </si>
  <si>
    <t>Wenjapons</t>
  </si>
  <si>
    <t>Hessendorf</t>
  </si>
  <si>
    <t>Kattau</t>
  </si>
  <si>
    <t>Maigen</t>
  </si>
  <si>
    <t>Kleinmeiseldorf</t>
  </si>
  <si>
    <t>Stockern</t>
  </si>
  <si>
    <t>Etzelsreith</t>
  </si>
  <si>
    <t>Lehndorf</t>
  </si>
  <si>
    <t>Ludweishofen</t>
  </si>
  <si>
    <t>Nödersdorf</t>
  </si>
  <si>
    <t>Posselsdorf</t>
  </si>
  <si>
    <t>Raisdorf</t>
  </si>
  <si>
    <t>Staningersdorf</t>
  </si>
  <si>
    <t>Feinfeld</t>
  </si>
  <si>
    <t>Gobelsdorf</t>
  </si>
  <si>
    <t>Greillenstein</t>
  </si>
  <si>
    <t>Neubau</t>
  </si>
  <si>
    <t>Tautendorf bei Röhrenbach</t>
  </si>
  <si>
    <t>Winkl</t>
  </si>
  <si>
    <t>Germanns</t>
  </si>
  <si>
    <t>Kleinjetzelsdorf</t>
  </si>
  <si>
    <t>Kleinreinprechtsdorf</t>
  </si>
  <si>
    <t>Mold</t>
  </si>
  <si>
    <t>Mörtersdorf</t>
  </si>
  <si>
    <t>Rosenburg</t>
  </si>
  <si>
    <t>Stallegg</t>
  </si>
  <si>
    <t>Zaingrub</t>
  </si>
  <si>
    <t>St. Bernhard</t>
  </si>
  <si>
    <t>St. Bernhard-Frauenhofen</t>
  </si>
  <si>
    <t>Großburgstall</t>
  </si>
  <si>
    <t>Frauenhofen</t>
  </si>
  <si>
    <t>Grünberg</t>
  </si>
  <si>
    <t>Poigen</t>
  </si>
  <si>
    <t>Strögen</t>
  </si>
  <si>
    <t>Brugg</t>
  </si>
  <si>
    <t>Kainreith</t>
  </si>
  <si>
    <t>Missingdorf</t>
  </si>
  <si>
    <t>Röhrawiesen</t>
  </si>
  <si>
    <t>Theras</t>
  </si>
  <si>
    <t>Walkenstein</t>
  </si>
  <si>
    <t>Rodingersdorf</t>
  </si>
  <si>
    <t>Fronsburg</t>
  </si>
  <si>
    <t>Heinrichsdorf</t>
  </si>
  <si>
    <t>Oberhöflein</t>
  </si>
  <si>
    <t>Nonnersdorf</t>
  </si>
  <si>
    <t>Prutzendorf</t>
  </si>
  <si>
    <t>Rassingdorf</t>
  </si>
  <si>
    <t>Sallapulka</t>
  </si>
  <si>
    <t>Starrein</t>
  </si>
  <si>
    <t>Obermixnitz</t>
  </si>
  <si>
    <t>Untermixnitz</t>
  </si>
  <si>
    <t>Oberfladnitz</t>
  </si>
  <si>
    <t>Etzmannsdorf bei Straning</t>
  </si>
  <si>
    <t>Grafenberg</t>
  </si>
  <si>
    <t>Straning</t>
  </si>
  <si>
    <t>Wartberg</t>
  </si>
  <si>
    <t>Kleinengersdorf</t>
  </si>
  <si>
    <t>Enzersfeld</t>
  </si>
  <si>
    <t>Königsbrunn</t>
  </si>
  <si>
    <t>Lachsfeld</t>
  </si>
  <si>
    <t>Naglern</t>
  </si>
  <si>
    <t>Simonsfeld</t>
  </si>
  <si>
    <t>Ernstbrunnerwald</t>
  </si>
  <si>
    <t>Göbmanns</t>
  </si>
  <si>
    <t>Klement</t>
  </si>
  <si>
    <t>Oberleis</t>
  </si>
  <si>
    <t>Thomasl</t>
  </si>
  <si>
    <t>Maisbirbaum</t>
  </si>
  <si>
    <t>Füllersdorf</t>
  </si>
  <si>
    <t>Geitzendorf</t>
  </si>
  <si>
    <t>Glasweiner Wald</t>
  </si>
  <si>
    <t>Herzogbirbaum</t>
  </si>
  <si>
    <t>Nursch</t>
  </si>
  <si>
    <t>Ringendorf</t>
  </si>
  <si>
    <t>Steinabrunn</t>
  </si>
  <si>
    <t>Kleinebersdorf</t>
  </si>
  <si>
    <t>Hipples</t>
  </si>
  <si>
    <t>Karnabrunn</t>
  </si>
  <si>
    <t>Weinsteig</t>
  </si>
  <si>
    <t>Wetzleinsdorf</t>
  </si>
  <si>
    <t>Flandorf</t>
  </si>
  <si>
    <t>Obergänserndorf</t>
  </si>
  <si>
    <t>Mollmannsdorf</t>
  </si>
  <si>
    <t>Kleinrötz</t>
  </si>
  <si>
    <t>Seebarn</t>
  </si>
  <si>
    <t>Würnitz</t>
  </si>
  <si>
    <t>Gaisruck</t>
  </si>
  <si>
    <t>Goldgeben</t>
  </si>
  <si>
    <t>Hausleithen</t>
  </si>
  <si>
    <t>Perzendorf</t>
  </si>
  <si>
    <t>Pettendorf</t>
  </si>
  <si>
    <t>Schmida</t>
  </si>
  <si>
    <t>Seitzersdorf-Wolfpassing</t>
  </si>
  <si>
    <t>Zaina</t>
  </si>
  <si>
    <t>Hatzenbach</t>
  </si>
  <si>
    <t>Kleinwilfersdorf</t>
  </si>
  <si>
    <t>Wollmannsberg</t>
  </si>
  <si>
    <t>Oberrohrbach</t>
  </si>
  <si>
    <t>Unterrohrbach</t>
  </si>
  <si>
    <t>Tresdorf</t>
  </si>
  <si>
    <t>Oberrußbach</t>
  </si>
  <si>
    <t>Niederrußbach</t>
  </si>
  <si>
    <t>Stranzendorf</t>
  </si>
  <si>
    <t>Oberhautzental</t>
  </si>
  <si>
    <t>Unterhautzental</t>
  </si>
  <si>
    <t>Höbersdorf</t>
  </si>
  <si>
    <t>Obermallebarn</t>
  </si>
  <si>
    <t>Untermallebarn</t>
  </si>
  <si>
    <t>Oberolberndorf</t>
  </si>
  <si>
    <t>Unterparschenbrunn</t>
  </si>
  <si>
    <t>Senning</t>
  </si>
  <si>
    <t>Eggendorf am Wagram</t>
  </si>
  <si>
    <t>Inkersdorf</t>
  </si>
  <si>
    <t>Starnwörth</t>
  </si>
  <si>
    <t>Oberzögersdorf</t>
  </si>
  <si>
    <t>Unterzögersdorf</t>
  </si>
  <si>
    <t>Bruderndorf</t>
  </si>
  <si>
    <t>Niederfellabrunn</t>
  </si>
  <si>
    <t>Haselbach</t>
  </si>
  <si>
    <t>Streitdorf</t>
  </si>
  <si>
    <t>Gerasdorf</t>
  </si>
  <si>
    <t>Kapellerfeld</t>
  </si>
  <si>
    <t>Seyring</t>
  </si>
  <si>
    <t>Köfering</t>
  </si>
  <si>
    <t>Albrechtsberg</t>
  </si>
  <si>
    <t>Attenreith</t>
  </si>
  <si>
    <t>Eppenberg</t>
  </si>
  <si>
    <t>Gillaus</t>
  </si>
  <si>
    <t>Arzwiesen</t>
  </si>
  <si>
    <t>Els</t>
  </si>
  <si>
    <t>Harrau</t>
  </si>
  <si>
    <t>Kleinheinrichschlag</t>
  </si>
  <si>
    <t>Marbach an der Kleinen Krems</t>
  </si>
  <si>
    <t>Oberbergern</t>
  </si>
  <si>
    <t>Unterbergern</t>
  </si>
  <si>
    <t>Geyersberg</t>
  </si>
  <si>
    <t>Maria Langegg</t>
  </si>
  <si>
    <t>Nesselstauden</t>
  </si>
  <si>
    <t>Scheiblwies</t>
  </si>
  <si>
    <t>Schenkenbrunn</t>
  </si>
  <si>
    <t>Wolfenreith</t>
  </si>
  <si>
    <t>Oberloiben</t>
  </si>
  <si>
    <t>Unterloiben</t>
  </si>
  <si>
    <t>Diendorf am Kamp</t>
  </si>
  <si>
    <t>Engabrunn</t>
  </si>
  <si>
    <t>Etsdorf</t>
  </si>
  <si>
    <t>Walkersdorf</t>
  </si>
  <si>
    <t>Grunddorf</t>
  </si>
  <si>
    <t>Haitzendorf</t>
  </si>
  <si>
    <t>Sittendorf</t>
  </si>
  <si>
    <t>Aigen</t>
  </si>
  <si>
    <t>Oberfucha</t>
  </si>
  <si>
    <t>Göttweig</t>
  </si>
  <si>
    <t>Palt</t>
  </si>
  <si>
    <t>Steinaweg</t>
  </si>
  <si>
    <t>Brunn im Felde</t>
  </si>
  <si>
    <t>Donaudorf</t>
  </si>
  <si>
    <t>Schlickendorf</t>
  </si>
  <si>
    <t>Stratzdorf</t>
  </si>
  <si>
    <t>Theiß</t>
  </si>
  <si>
    <t>Altweidling</t>
  </si>
  <si>
    <t>Garmanns</t>
  </si>
  <si>
    <t>Gföhleramt</t>
  </si>
  <si>
    <t>Grottendorf</t>
  </si>
  <si>
    <t>Hohenstein</t>
  </si>
  <si>
    <t>Lengenfelderamt</t>
  </si>
  <si>
    <t>Litsch und Wurfenthalgraben</t>
  </si>
  <si>
    <t>Obermeisling</t>
  </si>
  <si>
    <t>Untermeisling</t>
  </si>
  <si>
    <t>Mittelbergeramt</t>
  </si>
  <si>
    <t>Moritzreith</t>
  </si>
  <si>
    <t>Großmotten</t>
  </si>
  <si>
    <t>Rastbach</t>
  </si>
  <si>
    <t>Reisling</t>
  </si>
  <si>
    <t>Reittern</t>
  </si>
  <si>
    <t>Seeb</t>
  </si>
  <si>
    <t>Hadersdorf am Kamp</t>
  </si>
  <si>
    <t>Kammern</t>
  </si>
  <si>
    <t>Eisenbergeramt</t>
  </si>
  <si>
    <t>Eisengraben</t>
  </si>
  <si>
    <t>Eisengraberamt</t>
  </si>
  <si>
    <t>Schiltingeramt</t>
  </si>
  <si>
    <t>Dobra</t>
  </si>
  <si>
    <t>Eisenberg</t>
  </si>
  <si>
    <t>Idolsberg</t>
  </si>
  <si>
    <t>Preinreichs</t>
  </si>
  <si>
    <t>Thurnberg</t>
  </si>
  <si>
    <t>Tiefenbach</t>
  </si>
  <si>
    <t>Gobelsburg</t>
  </si>
  <si>
    <t>Haindorf</t>
  </si>
  <si>
    <t>Oberreith</t>
  </si>
  <si>
    <t>Unterreith</t>
  </si>
  <si>
    <t>Schiltern</t>
  </si>
  <si>
    <t>Zöbing</t>
  </si>
  <si>
    <t>Allentsgschwendt</t>
  </si>
  <si>
    <t>Brunn am Walde</t>
  </si>
  <si>
    <t>Ebergersch</t>
  </si>
  <si>
    <t>Erdweis</t>
  </si>
  <si>
    <t>Obergrünbach</t>
  </si>
  <si>
    <t>Jeitendorf</t>
  </si>
  <si>
    <t>Ladings</t>
  </si>
  <si>
    <t>Lichtenau</t>
  </si>
  <si>
    <t>Loiwein</t>
  </si>
  <si>
    <t>Pallweis</t>
  </si>
  <si>
    <t>Scheutz</t>
  </si>
  <si>
    <t>Taubitz</t>
  </si>
  <si>
    <t>Wietzen</t>
  </si>
  <si>
    <t>Wurschenaigen</t>
  </si>
  <si>
    <t>Engelschalks</t>
  </si>
  <si>
    <t>Gloden</t>
  </si>
  <si>
    <t>Großreinprechts</t>
  </si>
  <si>
    <t>Benking</t>
  </si>
  <si>
    <t>Felbring</t>
  </si>
  <si>
    <t>Friedersdorf</t>
  </si>
  <si>
    <t>Haslarn</t>
  </si>
  <si>
    <t>Hinterkogl</t>
  </si>
  <si>
    <t>Hof</t>
  </si>
  <si>
    <t>Kuffarn</t>
  </si>
  <si>
    <t>Litzendorf</t>
  </si>
  <si>
    <t>Loitzendorf</t>
  </si>
  <si>
    <t>Oberndorf</t>
  </si>
  <si>
    <t>Schlaubing</t>
  </si>
  <si>
    <t>Thalham</t>
  </si>
  <si>
    <t>Wiesmannsreith</t>
  </si>
  <si>
    <t>Zeißing</t>
  </si>
  <si>
    <t>Zintring</t>
  </si>
  <si>
    <t>Mautern</t>
  </si>
  <si>
    <t>Mauternbach</t>
  </si>
  <si>
    <t>Amstall</t>
  </si>
  <si>
    <t>Elsarn am Jauerling</t>
  </si>
  <si>
    <t>Oetzbach</t>
  </si>
  <si>
    <t>Povat</t>
  </si>
  <si>
    <t>Niederranna</t>
  </si>
  <si>
    <t>Oberranna</t>
  </si>
  <si>
    <t>Trandorf</t>
  </si>
  <si>
    <t>Tiefenfucha</t>
  </si>
  <si>
    <t>Höbenbach</t>
  </si>
  <si>
    <t>Hörfarth</t>
  </si>
  <si>
    <t>Krustetten</t>
  </si>
  <si>
    <t>Meidling</t>
  </si>
  <si>
    <t>Niedergrünbach</t>
  </si>
  <si>
    <t>Marbach im Felde</t>
  </si>
  <si>
    <t>Mottingeramt</t>
  </si>
  <si>
    <t>Peygarten</t>
  </si>
  <si>
    <t>Rastenberg</t>
  </si>
  <si>
    <t>Sperkenthal</t>
  </si>
  <si>
    <t>Zierings</t>
  </si>
  <si>
    <t>Neustift an der Donau</t>
  </si>
  <si>
    <t>Oberrohrendorf</t>
  </si>
  <si>
    <t>Unterrohrendorf</t>
  </si>
  <si>
    <t>Rossatz</t>
  </si>
  <si>
    <t>Rührsdorf</t>
  </si>
  <si>
    <t>Mitterarnsdorf</t>
  </si>
  <si>
    <t>Oberarnsdorf</t>
  </si>
  <si>
    <t>St. Leonhard am Hornerwalde</t>
  </si>
  <si>
    <t>St. Leonhard am Hornerwald</t>
  </si>
  <si>
    <t>Obertautendorferamt</t>
  </si>
  <si>
    <t>Wilhalm</t>
  </si>
  <si>
    <t>Wolfshoferamt</t>
  </si>
  <si>
    <t>Untertautendorferamt</t>
  </si>
  <si>
    <t>Imbach</t>
  </si>
  <si>
    <t>Reichaueramt</t>
  </si>
  <si>
    <t>Meislingeramt</t>
  </si>
  <si>
    <t>Senftenbergeramt</t>
  </si>
  <si>
    <t>Gut am Steg</t>
  </si>
  <si>
    <t>Schwallenbach</t>
  </si>
  <si>
    <t>Vießling</t>
  </si>
  <si>
    <t>Diendorf am Walde</t>
  </si>
  <si>
    <t>Elsarn</t>
  </si>
  <si>
    <t>Oberholz</t>
  </si>
  <si>
    <t>Straß</t>
  </si>
  <si>
    <t>Wiedendorf</t>
  </si>
  <si>
    <t>Nöhagen</t>
  </si>
  <si>
    <t>Ostra</t>
  </si>
  <si>
    <t>Reichau</t>
  </si>
  <si>
    <t>Stixendorf</t>
  </si>
  <si>
    <t>Großheinrichschlag</t>
  </si>
  <si>
    <t>Habruck</t>
  </si>
  <si>
    <t>Lobendorf</t>
  </si>
  <si>
    <t>Neusiedl bei Habruck</t>
  </si>
  <si>
    <t>Wolfenreith bei Habruck</t>
  </si>
  <si>
    <t>Weißenkirchen</t>
  </si>
  <si>
    <t>Joching</t>
  </si>
  <si>
    <t>Wösendorf</t>
  </si>
  <si>
    <t>Altenhof</t>
  </si>
  <si>
    <t>Buchberger Waldhütten</t>
  </si>
  <si>
    <t>Fernitz</t>
  </si>
  <si>
    <t>Freischling</t>
  </si>
  <si>
    <t>Kriegenreith</t>
  </si>
  <si>
    <t>Mollands</t>
  </si>
  <si>
    <t>Neustift bei Schönberg</t>
  </si>
  <si>
    <t>Oberplank</t>
  </si>
  <si>
    <t>Plank am Kamp</t>
  </si>
  <si>
    <t>Raan</t>
  </si>
  <si>
    <t>Stiefern</t>
  </si>
  <si>
    <t>Thürneustift</t>
  </si>
  <si>
    <t>Droßeramt</t>
  </si>
  <si>
    <t>Annarotte</t>
  </si>
  <si>
    <t>Langseitenrotte</t>
  </si>
  <si>
    <t>Lassingrotte</t>
  </si>
  <si>
    <t>Haupttürnitzrotte</t>
  </si>
  <si>
    <t>Wehrabach</t>
  </si>
  <si>
    <t>Gegend Eck</t>
  </si>
  <si>
    <t>Gölsen</t>
  </si>
  <si>
    <t>Kasberg</t>
  </si>
  <si>
    <t>Ob der Kirche</t>
  </si>
  <si>
    <t>Landsthal</t>
  </si>
  <si>
    <t>Saugraben</t>
  </si>
  <si>
    <t>Vollberg</t>
  </si>
  <si>
    <t>Innerfahrafeld</t>
  </si>
  <si>
    <t>Höfnergraben</t>
  </si>
  <si>
    <t>Laabach</t>
  </si>
  <si>
    <t>Steinbachthal</t>
  </si>
  <si>
    <t>Obertriesting</t>
  </si>
  <si>
    <t>Untertriesting</t>
  </si>
  <si>
    <t>Ebenwald</t>
  </si>
  <si>
    <t>Hinterhallbach</t>
  </si>
  <si>
    <t>Hintereben</t>
  </si>
  <si>
    <t>Vordereben</t>
  </si>
  <si>
    <t>Jungherrnthal</t>
  </si>
  <si>
    <t>Marktl</t>
  </si>
  <si>
    <t>Schrambach</t>
  </si>
  <si>
    <t>Stangenthal</t>
  </si>
  <si>
    <t>Zögersbach</t>
  </si>
  <si>
    <t>Josefsrotte</t>
  </si>
  <si>
    <t>Mitterbachseerotte</t>
  </si>
  <si>
    <t>Fahrabach</t>
  </si>
  <si>
    <t>Gaupmannsgraben</t>
  </si>
  <si>
    <t>Haraseck</t>
  </si>
  <si>
    <t>Oberhöhe</t>
  </si>
  <si>
    <t>Kieneck</t>
  </si>
  <si>
    <t>Oberried</t>
  </si>
  <si>
    <t>Unterried</t>
  </si>
  <si>
    <t>Schneidbach</t>
  </si>
  <si>
    <t>Bernreit</t>
  </si>
  <si>
    <t>Durlaß</t>
  </si>
  <si>
    <t>Prünst</t>
  </si>
  <si>
    <t>St. Aegyd am Neuwalde</t>
  </si>
  <si>
    <t>Herrschaftsgründe</t>
  </si>
  <si>
    <t>Keeramt</t>
  </si>
  <si>
    <t>Mitterbachamt</t>
  </si>
  <si>
    <t>Unrecht Traisen</t>
  </si>
  <si>
    <t>Weißenbachamt</t>
  </si>
  <si>
    <t>Gscheid</t>
  </si>
  <si>
    <t>Obergegend</t>
  </si>
  <si>
    <t>St. Veit an der Gölsen</t>
  </si>
  <si>
    <t>Kerschenbach</t>
  </si>
  <si>
    <t>Kropfsdorf</t>
  </si>
  <si>
    <t>Mayerhöfen</t>
  </si>
  <si>
    <t>Pfenningbach</t>
  </si>
  <si>
    <t>Rainfeld</t>
  </si>
  <si>
    <t>Steinwandleithen</t>
  </si>
  <si>
    <t>Traisenort</t>
  </si>
  <si>
    <t>Außerwiesenbach</t>
  </si>
  <si>
    <t>Innerwiesenbach</t>
  </si>
  <si>
    <t>Wiesenfeld</t>
  </si>
  <si>
    <t>Wobach</t>
  </si>
  <si>
    <t>Anthofrotte</t>
  </si>
  <si>
    <t>Außerfahrafeld</t>
  </si>
  <si>
    <t>Lehenrotte</t>
  </si>
  <si>
    <t>Moosbachrotte</t>
  </si>
  <si>
    <t>Pichelrotte</t>
  </si>
  <si>
    <t>Rachsenbachrotte</t>
  </si>
  <si>
    <t>Schildbachrotte</t>
  </si>
  <si>
    <t>Steinbachrotte</t>
  </si>
  <si>
    <t>Traisenbachrotte</t>
  </si>
  <si>
    <t>Weidenaurotte</t>
  </si>
  <si>
    <t>Artstetten</t>
  </si>
  <si>
    <t>Fritzelsdorf</t>
  </si>
  <si>
    <t>Hasling</t>
  </si>
  <si>
    <t>Nussendorf</t>
  </si>
  <si>
    <t>Unterbierbaum</t>
  </si>
  <si>
    <t>Aichau</t>
  </si>
  <si>
    <t>Dölla</t>
  </si>
  <si>
    <t>Lohsdorf an der Schwarza</t>
  </si>
  <si>
    <t>Payerstetten</t>
  </si>
  <si>
    <t>Pöbring</t>
  </si>
  <si>
    <t>Schwarzau</t>
  </si>
  <si>
    <t>Trennegg</t>
  </si>
  <si>
    <t>Gumprechtsberg</t>
  </si>
  <si>
    <t>Holzing</t>
  </si>
  <si>
    <t>Landfriedstetten</t>
  </si>
  <si>
    <t>Plaika</t>
  </si>
  <si>
    <t>Ratzenberg</t>
  </si>
  <si>
    <t>Wohlfahrtsbrunn</t>
  </si>
  <si>
    <t>Kottingburgstall</t>
  </si>
  <si>
    <t>Weitgraben</t>
  </si>
  <si>
    <t>Eckartsberg</t>
  </si>
  <si>
    <t>Gansbach</t>
  </si>
  <si>
    <t>Gerolding</t>
  </si>
  <si>
    <t>Häusling</t>
  </si>
  <si>
    <t>Heitzing</t>
  </si>
  <si>
    <t>Kicking</t>
  </si>
  <si>
    <t>Kochholz</t>
  </si>
  <si>
    <t>Krapfenberg</t>
  </si>
  <si>
    <t>Lanzing</t>
  </si>
  <si>
    <t>Lerchfeld</t>
  </si>
  <si>
    <t>Lottersberg</t>
  </si>
  <si>
    <t>Mauer</t>
  </si>
  <si>
    <t>Neuhofen</t>
  </si>
  <si>
    <t>Nölling</t>
  </si>
  <si>
    <t>Ohnreith</t>
  </si>
  <si>
    <t>Umbach</t>
  </si>
  <si>
    <t>Ursprung</t>
  </si>
  <si>
    <t>Harlanden</t>
  </si>
  <si>
    <t>Knocking</t>
  </si>
  <si>
    <t>Steinwand</t>
  </si>
  <si>
    <t>Golling</t>
  </si>
  <si>
    <t>Rottenhof</t>
  </si>
  <si>
    <t>Weins</t>
  </si>
  <si>
    <t>Arnersdorf</t>
  </si>
  <si>
    <t>Atzing</t>
  </si>
  <si>
    <t>Diendorf</t>
  </si>
  <si>
    <t>Hainberg</t>
  </si>
  <si>
    <t>Harmersdorf</t>
  </si>
  <si>
    <t>Inning</t>
  </si>
  <si>
    <t>Kronaberg</t>
  </si>
  <si>
    <t>Mitterradl</t>
  </si>
  <si>
    <t>Murschratten</t>
  </si>
  <si>
    <t>Neustift bei Sooß</t>
  </si>
  <si>
    <t>Oberradl</t>
  </si>
  <si>
    <t>Obersiegendorf</t>
  </si>
  <si>
    <t>Oberthurnhofen</t>
  </si>
  <si>
    <t>Pöttendorf</t>
  </si>
  <si>
    <t>Scharagraben</t>
  </si>
  <si>
    <t>Untersiegendorf</t>
  </si>
  <si>
    <t>Unterthurnhofen</t>
  </si>
  <si>
    <t>Hauersdorf</t>
  </si>
  <si>
    <t>Heinrichsberg</t>
  </si>
  <si>
    <t>Kettenreith</t>
  </si>
  <si>
    <t>Rametzberg</t>
  </si>
  <si>
    <t>Teufelsdorf</t>
  </si>
  <si>
    <t>Kleinpöchlarn</t>
  </si>
  <si>
    <t>Krumnußbaum</t>
  </si>
  <si>
    <t>Diedersdorf</t>
  </si>
  <si>
    <t>Lehen</t>
  </si>
  <si>
    <t>Losau</t>
  </si>
  <si>
    <t>Mampasberg</t>
  </si>
  <si>
    <t>Weitenegg</t>
  </si>
  <si>
    <t>Neubach</t>
  </si>
  <si>
    <t>Rohr</t>
  </si>
  <si>
    <t>Sitzenthal</t>
  </si>
  <si>
    <t>Kälberhart</t>
  </si>
  <si>
    <t>Loitsdorf</t>
  </si>
  <si>
    <t>Strannersdorf</t>
  </si>
  <si>
    <t>Wolkersdorf</t>
  </si>
  <si>
    <t>Auratsberg</t>
  </si>
  <si>
    <t>Granz</t>
  </si>
  <si>
    <t>Marbach</t>
  </si>
  <si>
    <t>Obererla</t>
  </si>
  <si>
    <t>Oberthalheim</t>
  </si>
  <si>
    <t>Untererla</t>
  </si>
  <si>
    <t>Unterthalheim</t>
  </si>
  <si>
    <t>Wimm</t>
  </si>
  <si>
    <t>Großpriel</t>
  </si>
  <si>
    <t>Kollapriel</t>
  </si>
  <si>
    <t>Pielach</t>
  </si>
  <si>
    <t>Pielachberg</t>
  </si>
  <si>
    <t>Pöverding</t>
  </si>
  <si>
    <t>Rosenfeld</t>
  </si>
  <si>
    <t>Schrattenbruck</t>
  </si>
  <si>
    <t>Gmaining</t>
  </si>
  <si>
    <t>Laimbach</t>
  </si>
  <si>
    <t>Bachones</t>
  </si>
  <si>
    <t>Edelsreith</t>
  </si>
  <si>
    <t>Kehrbach</t>
  </si>
  <si>
    <t>Mayerhofen</t>
  </si>
  <si>
    <t>Münichreith</t>
  </si>
  <si>
    <t>Pargatstetten</t>
  </si>
  <si>
    <t>Rappoltenreith</t>
  </si>
  <si>
    <t>Kemmelbach</t>
  </si>
  <si>
    <t>Neumarkt</t>
  </si>
  <si>
    <t>Artneramt</t>
  </si>
  <si>
    <t>Gottsdorf</t>
  </si>
  <si>
    <t>Hagsdorf</t>
  </si>
  <si>
    <t>Persenbeug</t>
  </si>
  <si>
    <t>Brunn</t>
  </si>
  <si>
    <t>Ornding</t>
  </si>
  <si>
    <t>Rampersdorf</t>
  </si>
  <si>
    <t>Röhrapoint</t>
  </si>
  <si>
    <t>Arndorf</t>
  </si>
  <si>
    <t>Aschelberg</t>
  </si>
  <si>
    <t>Bergern bei Pöggstall</t>
  </si>
  <si>
    <t>Bruck am Ostrong</t>
  </si>
  <si>
    <t>Dietsam</t>
  </si>
  <si>
    <t>Krempersbach</t>
  </si>
  <si>
    <t>Krumling</t>
  </si>
  <si>
    <t>Laas</t>
  </si>
  <si>
    <t>Landstetten</t>
  </si>
  <si>
    <t>Muckendorf</t>
  </si>
  <si>
    <t>Mürfelndorf</t>
  </si>
  <si>
    <t>Oberbierbaum</t>
  </si>
  <si>
    <t>Oberhohenau</t>
  </si>
  <si>
    <t>Öd</t>
  </si>
  <si>
    <t>Pömmerstall</t>
  </si>
  <si>
    <t>Prinzelndorf</t>
  </si>
  <si>
    <t>Straßreith</t>
  </si>
  <si>
    <t>Unterhohenau</t>
  </si>
  <si>
    <t>Weinling</t>
  </si>
  <si>
    <t>Weißpyhra</t>
  </si>
  <si>
    <t>Würnsdorf</t>
  </si>
  <si>
    <t>Zöbring</t>
  </si>
  <si>
    <t>Afterbach</t>
  </si>
  <si>
    <t>Braunegg</t>
  </si>
  <si>
    <t>Eibetsberg bei Raxendorf</t>
  </si>
  <si>
    <t>Klebing</t>
  </si>
  <si>
    <t>Lauffenegg</t>
  </si>
  <si>
    <t>Lehsdorf</t>
  </si>
  <si>
    <t>Mannersdorf bei Heiligenblut</t>
  </si>
  <si>
    <t>Neusiedl am Feldstein</t>
  </si>
  <si>
    <t>Neusiedl bei Pfaffenhof</t>
  </si>
  <si>
    <t>Ottenberg</t>
  </si>
  <si>
    <t>Pfaffenhof</t>
  </si>
  <si>
    <t>Robans</t>
  </si>
  <si>
    <t>Troibetsberg</t>
  </si>
  <si>
    <t>Zehentegg</t>
  </si>
  <si>
    <t>Zeining</t>
  </si>
  <si>
    <t>Grabenegg</t>
  </si>
  <si>
    <t>Ockert</t>
  </si>
  <si>
    <t>Rainberg</t>
  </si>
  <si>
    <t>Riegers</t>
  </si>
  <si>
    <t>Zwerbach</t>
  </si>
  <si>
    <t>Aichbach</t>
  </si>
  <si>
    <t>St. Leonhard am Forst</t>
  </si>
  <si>
    <t>Grimmegg</t>
  </si>
  <si>
    <t>Ritzengrub</t>
  </si>
  <si>
    <t>Karlsbach</t>
  </si>
  <si>
    <t>St. Martin-Karlsbach</t>
  </si>
  <si>
    <t>Fünfling</t>
  </si>
  <si>
    <t>Stiegeramt</t>
  </si>
  <si>
    <t>Aggstein</t>
  </si>
  <si>
    <t>Berging</t>
  </si>
  <si>
    <t>Hub</t>
  </si>
  <si>
    <t>Schönbühel an der Donau</t>
  </si>
  <si>
    <t>Wolfstein</t>
  </si>
  <si>
    <t>Anzendorf</t>
  </si>
  <si>
    <t>Merkendorf</t>
  </si>
  <si>
    <t>Schallaburg</t>
  </si>
  <si>
    <t>Eibetsberg bei Weiten</t>
  </si>
  <si>
    <t>Eitenthal</t>
  </si>
  <si>
    <t>Filsendorf</t>
  </si>
  <si>
    <t>Jasenegg</t>
  </si>
  <si>
    <t>Mollendorf</t>
  </si>
  <si>
    <t>Mörenz</t>
  </si>
  <si>
    <t>Nasting</t>
  </si>
  <si>
    <t>Rafles</t>
  </si>
  <si>
    <t>Seiterndorf</t>
  </si>
  <si>
    <t>Streitwiesen</t>
  </si>
  <si>
    <t>Tottendorf</t>
  </si>
  <si>
    <t>Weiterndorf</t>
  </si>
  <si>
    <t>Göttsbach</t>
  </si>
  <si>
    <t>Sarling</t>
  </si>
  <si>
    <t>Säusenstein</t>
  </si>
  <si>
    <t>Ybbs</t>
  </si>
  <si>
    <t>Bergern-Maierhöfen</t>
  </si>
  <si>
    <t>Frainingau</t>
  </si>
  <si>
    <t>Mannersdorf bei Zelking</t>
  </si>
  <si>
    <t>Matzleinsdorf</t>
  </si>
  <si>
    <t>Zelking</t>
  </si>
  <si>
    <t>Plankenstein</t>
  </si>
  <si>
    <t>St. Gotthard</t>
  </si>
  <si>
    <t>Sonnleithen</t>
  </si>
  <si>
    <t>Steingrub</t>
  </si>
  <si>
    <t>Texing</t>
  </si>
  <si>
    <t>Isper</t>
  </si>
  <si>
    <t>Kapelleramt</t>
  </si>
  <si>
    <t>Wimberg</t>
  </si>
  <si>
    <t>Fahnsdorf</t>
  </si>
  <si>
    <t>Gossam</t>
  </si>
  <si>
    <t>Grimsing</t>
  </si>
  <si>
    <t>Hain</t>
  </si>
  <si>
    <t>Hofamt</t>
  </si>
  <si>
    <t>Mödelsdorf</t>
  </si>
  <si>
    <t>Pömling</t>
  </si>
  <si>
    <t>Rantenberg</t>
  </si>
  <si>
    <t>Reith</t>
  </si>
  <si>
    <t>Schallemmersdorf</t>
  </si>
  <si>
    <t>Michelstetten</t>
  </si>
  <si>
    <t>Olgersdorf</t>
  </si>
  <si>
    <t>Schletz</t>
  </si>
  <si>
    <t>Reinthal</t>
  </si>
  <si>
    <t>Wendlingerhof</t>
  </si>
  <si>
    <t>Kleinschweinbarth</t>
  </si>
  <si>
    <t>Steinebrunn</t>
  </si>
  <si>
    <t>Stützenhofen</t>
  </si>
  <si>
    <t>Friebritz</t>
  </si>
  <si>
    <t>Hagenberg</t>
  </si>
  <si>
    <t>Hagendorf</t>
  </si>
  <si>
    <t>Kleinbaumgarten</t>
  </si>
  <si>
    <t>Höbersbrunn</t>
  </si>
  <si>
    <t>Schrick</t>
  </si>
  <si>
    <t>Martinsdorf</t>
  </si>
  <si>
    <t>Eichenbrunn</t>
  </si>
  <si>
    <t>Oedenkirchenwald</t>
  </si>
  <si>
    <t>Röhrabrunn</t>
  </si>
  <si>
    <t>Wenzersdorf</t>
  </si>
  <si>
    <t>Zwentendorf</t>
  </si>
  <si>
    <t>Eibesbrunn</t>
  </si>
  <si>
    <t>Manhartsbrunn</t>
  </si>
  <si>
    <t>Putzing</t>
  </si>
  <si>
    <t>Diepolz</t>
  </si>
  <si>
    <t>Zwingendorf</t>
  </si>
  <si>
    <t>Althöflein</t>
  </si>
  <si>
    <t>Ginzersdorf</t>
  </si>
  <si>
    <t>Harrersdorf</t>
  </si>
  <si>
    <t>Bogenneusiedl</t>
  </si>
  <si>
    <t>Traunfeld</t>
  </si>
  <si>
    <t>Wolfpassing an der Hochleithen</t>
  </si>
  <si>
    <t>Hautzendorf</t>
  </si>
  <si>
    <t>Unterolberndorf</t>
  </si>
  <si>
    <t>Hornsburg</t>
  </si>
  <si>
    <t>Niederkreuzstetten</t>
  </si>
  <si>
    <t>Streifing</t>
  </si>
  <si>
    <t>Oberkreuzstetten</t>
  </si>
  <si>
    <t>Pernhofen</t>
  </si>
  <si>
    <t>Blaustaudnerhof</t>
  </si>
  <si>
    <t>Geiselbrechtshof</t>
  </si>
  <si>
    <t>Hanfthal</t>
  </si>
  <si>
    <t>Kottingneusiedl</t>
  </si>
  <si>
    <t>Ruhhof</t>
  </si>
  <si>
    <t>Ungerndorf</t>
  </si>
  <si>
    <t>Wulzeshofen</t>
  </si>
  <si>
    <t>Eggersdorf</t>
  </si>
  <si>
    <t>Grafensulz</t>
  </si>
  <si>
    <t>Herrnleis</t>
  </si>
  <si>
    <t>Pürstendorf</t>
  </si>
  <si>
    <t>Ebendorf</t>
  </si>
  <si>
    <t>Eibesthal</t>
  </si>
  <si>
    <t>Frättingsdorf</t>
  </si>
  <si>
    <t>Hörersdorf</t>
  </si>
  <si>
    <t>Hüttendorf</t>
  </si>
  <si>
    <t>Kettlasbrunn</t>
  </si>
  <si>
    <t>Paasdorf</t>
  </si>
  <si>
    <t>Siebenhirten</t>
  </si>
  <si>
    <t>Hausleitnerwald</t>
  </si>
  <si>
    <t>Neudorf im Weinviertel</t>
  </si>
  <si>
    <t>Zlabern</t>
  </si>
  <si>
    <t>Helfens</t>
  </si>
  <si>
    <t>Kleinsitzendorf</t>
  </si>
  <si>
    <t>Nodendorf</t>
  </si>
  <si>
    <t>Reuhof</t>
  </si>
  <si>
    <t>Altruppersdorf</t>
  </si>
  <si>
    <t>Erdberg</t>
  </si>
  <si>
    <t>Föllim</t>
  </si>
  <si>
    <t>Höbertsgrub</t>
  </si>
  <si>
    <t>Ketzelsdorf</t>
  </si>
  <si>
    <t>Kleinhadersdorf</t>
  </si>
  <si>
    <t>Passauerhof</t>
  </si>
  <si>
    <t>Poysbrunn</t>
  </si>
  <si>
    <t>Walterskirchen</t>
  </si>
  <si>
    <t>Wetzelsdorf</t>
  </si>
  <si>
    <t>Ernsdorf</t>
  </si>
  <si>
    <t>Enzersdorf bei Staatz</t>
  </si>
  <si>
    <t>Staatz-Kautendorf</t>
  </si>
  <si>
    <t>Waltersdorf</t>
  </si>
  <si>
    <t>Wultendorf</t>
  </si>
  <si>
    <t>Ameis</t>
  </si>
  <si>
    <t>Patzenthal</t>
  </si>
  <si>
    <t>Patzmannsdorf</t>
  </si>
  <si>
    <t>Oberschoderlee</t>
  </si>
  <si>
    <t>Unterschoderlee</t>
  </si>
  <si>
    <t>Stronegg</t>
  </si>
  <si>
    <t>Kronberg</t>
  </si>
  <si>
    <t>Schleinbach</t>
  </si>
  <si>
    <t>Ulrichskirchen</t>
  </si>
  <si>
    <t>Mitterhof</t>
  </si>
  <si>
    <t>Pottenhofen</t>
  </si>
  <si>
    <t>Altprerau</t>
  </si>
  <si>
    <t>Neuruppersdorf</t>
  </si>
  <si>
    <t>Bullendorf</t>
  </si>
  <si>
    <t>Ebersdorf an der Zaya</t>
  </si>
  <si>
    <t>Hobersdorf</t>
  </si>
  <si>
    <t>Münichsthal</t>
  </si>
  <si>
    <t>Obersdorf</t>
  </si>
  <si>
    <t>Pfösing</t>
  </si>
  <si>
    <t>Riedenthal</t>
  </si>
  <si>
    <t>Breitenfurt</t>
  </si>
  <si>
    <t>Hochroterd</t>
  </si>
  <si>
    <t>Anningerforst</t>
  </si>
  <si>
    <t>Sparbach</t>
  </si>
  <si>
    <t>Weißenbach bei Mödling</t>
  </si>
  <si>
    <t>Stangau</t>
  </si>
  <si>
    <t>Sulz im Wienerwald</t>
  </si>
  <si>
    <t>Loitzmannsdorf</t>
  </si>
  <si>
    <t>Schönstadl</t>
  </si>
  <si>
    <t>Tachenberg</t>
  </si>
  <si>
    <t>Aspang</t>
  </si>
  <si>
    <t>Großes Amt</t>
  </si>
  <si>
    <t>Aspangberg-St. Peter</t>
  </si>
  <si>
    <t>Kleines Amt</t>
  </si>
  <si>
    <t>Neustift am Alpenwald</t>
  </si>
  <si>
    <t>Neuwald</t>
  </si>
  <si>
    <t>Liesling</t>
  </si>
  <si>
    <t>Hilzmannsdorf</t>
  </si>
  <si>
    <t>Köttlach</t>
  </si>
  <si>
    <t>Thiermannsdorf</t>
  </si>
  <si>
    <t>Aue</t>
  </si>
  <si>
    <t>Berglach</t>
  </si>
  <si>
    <t>Graben</t>
  </si>
  <si>
    <t>Heufeld</t>
  </si>
  <si>
    <t>Salloder</t>
  </si>
  <si>
    <t>Stuppach</t>
  </si>
  <si>
    <t>Grafenbach-St. Valentin</t>
  </si>
  <si>
    <t>Oberdanegg</t>
  </si>
  <si>
    <t>St. Valentin-Landschach</t>
  </si>
  <si>
    <t>Neusiedl am Walde</t>
  </si>
  <si>
    <t>Molzegg</t>
  </si>
  <si>
    <t>Ofenbach</t>
  </si>
  <si>
    <t>Alpeltal</t>
  </si>
  <si>
    <t>Kranichberg</t>
  </si>
  <si>
    <t>Lindgrub</t>
  </si>
  <si>
    <t>Natschbach</t>
  </si>
  <si>
    <t>Mollram</t>
  </si>
  <si>
    <t>Peisching</t>
  </si>
  <si>
    <t>Kreuzberg</t>
  </si>
  <si>
    <t>Küb</t>
  </si>
  <si>
    <t>Schmidsdorf</t>
  </si>
  <si>
    <t>Leiding</t>
  </si>
  <si>
    <t>Sautern</t>
  </si>
  <si>
    <t>Rohrbachgraben</t>
  </si>
  <si>
    <t>Stolzenwörth</t>
  </si>
  <si>
    <t>Raach</t>
  </si>
  <si>
    <t>Sonnleiten</t>
  </si>
  <si>
    <t>Wartenstein</t>
  </si>
  <si>
    <t>Grünsting</t>
  </si>
  <si>
    <t>Hirschwang</t>
  </si>
  <si>
    <t>Hirschwanger Forst</t>
  </si>
  <si>
    <t>Klein- und Großau</t>
  </si>
  <si>
    <t>Prein</t>
  </si>
  <si>
    <t>St. Corona am Wechsel</t>
  </si>
  <si>
    <t>Gerasdorf am Steinfelde</t>
  </si>
  <si>
    <t>St. Egyden am Steinfeld</t>
  </si>
  <si>
    <t>Neusiedl am Steinfelde</t>
  </si>
  <si>
    <t>Saubersdorf</t>
  </si>
  <si>
    <t>Urschendorf</t>
  </si>
  <si>
    <t>Gleißenfeld</t>
  </si>
  <si>
    <t>Reitersberg</t>
  </si>
  <si>
    <t>Scheiblingkirchen</t>
  </si>
  <si>
    <t>Thernberg</t>
  </si>
  <si>
    <t>Guntrams</t>
  </si>
  <si>
    <t>Kurort Semmering</t>
  </si>
  <si>
    <t>Dunkelstein</t>
  </si>
  <si>
    <t>Flatz</t>
  </si>
  <si>
    <t>Raglitz</t>
  </si>
  <si>
    <t>Rohrbach am Steinfelde</t>
  </si>
  <si>
    <t>St. Johann am Steinfelde</t>
  </si>
  <si>
    <t>Sieding</t>
  </si>
  <si>
    <t>Holzweg</t>
  </si>
  <si>
    <t>Pottschach</t>
  </si>
  <si>
    <t>Putzmannsdorf</t>
  </si>
  <si>
    <t>Sauerbüchl</t>
  </si>
  <si>
    <t>Vöstenhof</t>
  </si>
  <si>
    <t>Haßbach</t>
  </si>
  <si>
    <t>Kirchau</t>
  </si>
  <si>
    <t>Steyersberg</t>
  </si>
  <si>
    <t>Hafning</t>
  </si>
  <si>
    <t>Ramplach</t>
  </si>
  <si>
    <t>Straßhof</t>
  </si>
  <si>
    <t>Unterdanegg</t>
  </si>
  <si>
    <t>Rothengrub</t>
  </si>
  <si>
    <t>Zweierwald</t>
  </si>
  <si>
    <t>Wimpassing</t>
  </si>
  <si>
    <t>Hettmannsdorf</t>
  </si>
  <si>
    <t>Wolfsohl</t>
  </si>
  <si>
    <t>Unterhöflein</t>
  </si>
  <si>
    <t>Zweiersdorf</t>
  </si>
  <si>
    <t>Diesendorf</t>
  </si>
  <si>
    <t>Dornberg</t>
  </si>
  <si>
    <t>Geigelberg</t>
  </si>
  <si>
    <t>Grabensee</t>
  </si>
  <si>
    <t>Großgraben</t>
  </si>
  <si>
    <t>Habersdorf</t>
  </si>
  <si>
    <t>Hagenau</t>
  </si>
  <si>
    <t>Kerschenberg</t>
  </si>
  <si>
    <t>Kleingraben</t>
  </si>
  <si>
    <t>Paisling</t>
  </si>
  <si>
    <t>Starzing</t>
  </si>
  <si>
    <t>Wimmersdorf</t>
  </si>
  <si>
    <t>Diemannsberg</t>
  </si>
  <si>
    <t>Dorfern</t>
  </si>
  <si>
    <t>Dürnhag</t>
  </si>
  <si>
    <t>Furth bei Außerkasten</t>
  </si>
  <si>
    <t>Gemersdorf</t>
  </si>
  <si>
    <t>Untergrafendorf</t>
  </si>
  <si>
    <t>Hub und Grub</t>
  </si>
  <si>
    <t>Jeutendorf</t>
  </si>
  <si>
    <t>Außerkasten</t>
  </si>
  <si>
    <t>Lanzendorf bei Böheimkirchen</t>
  </si>
  <si>
    <t>Mauterheim</t>
  </si>
  <si>
    <t>Mechters</t>
  </si>
  <si>
    <t>Schildberg</t>
  </si>
  <si>
    <t>Untertiefenbach</t>
  </si>
  <si>
    <t>Weisching</t>
  </si>
  <si>
    <t>Eck</t>
  </si>
  <si>
    <t>Gern</t>
  </si>
  <si>
    <t>Klamm</t>
  </si>
  <si>
    <t>Laaben</t>
  </si>
  <si>
    <t>Pyrath</t>
  </si>
  <si>
    <t>Stollberg</t>
  </si>
  <si>
    <t>Wöllersdorf</t>
  </si>
  <si>
    <t>Distelburg</t>
  </si>
  <si>
    <t>Eggsdorf</t>
  </si>
  <si>
    <t>Friesing</t>
  </si>
  <si>
    <t>Grillenhöfe</t>
  </si>
  <si>
    <t>Hetzersdorf</t>
  </si>
  <si>
    <t>Hofing</t>
  </si>
  <si>
    <t>Salau</t>
  </si>
  <si>
    <t>Stainingsdorf</t>
  </si>
  <si>
    <t>Völlerndorf</t>
  </si>
  <si>
    <t>Weitendorf</t>
  </si>
  <si>
    <t>Aigelsbach</t>
  </si>
  <si>
    <t>Grünau</t>
  </si>
  <si>
    <t>Grünsbach</t>
  </si>
  <si>
    <t>Hofstetten</t>
  </si>
  <si>
    <t>Kammerhof</t>
  </si>
  <si>
    <t>Mainburg</t>
  </si>
  <si>
    <t>Plambach</t>
  </si>
  <si>
    <t>Plambacheck</t>
  </si>
  <si>
    <t>Doppel bei Rannersdorf</t>
  </si>
  <si>
    <t>Ober- und Untergraben</t>
  </si>
  <si>
    <t>Hengstberg</t>
  </si>
  <si>
    <t>Korning</t>
  </si>
  <si>
    <t>Oed bei Korning</t>
  </si>
  <si>
    <t>Pielachhaag</t>
  </si>
  <si>
    <t>Sasendorf</t>
  </si>
  <si>
    <t>Stein-Eichberg</t>
  </si>
  <si>
    <t>Weghof</t>
  </si>
  <si>
    <t>Weinzierl</t>
  </si>
  <si>
    <t>Wimpassing an der Pielach</t>
  </si>
  <si>
    <t>Würmling</t>
  </si>
  <si>
    <t>Zendorf</t>
  </si>
  <si>
    <t>Eibelsau</t>
  </si>
  <si>
    <t>Osterburg</t>
  </si>
  <si>
    <t>Großsierning</t>
  </si>
  <si>
    <t>Adletzberg</t>
  </si>
  <si>
    <t>St. Andrä an der Traisen</t>
  </si>
  <si>
    <t>Ederding</t>
  </si>
  <si>
    <t>Einöd</t>
  </si>
  <si>
    <t>Hameten</t>
  </si>
  <si>
    <t>Oberndorf in der Ebene</t>
  </si>
  <si>
    <t>Ossarn</t>
  </si>
  <si>
    <t>Pottschal</t>
  </si>
  <si>
    <t>Wielandsthal</t>
  </si>
  <si>
    <t>Oberwinden</t>
  </si>
  <si>
    <t>Unterwinden</t>
  </si>
  <si>
    <t>Anzenberg</t>
  </si>
  <si>
    <t>Getzersdorf</t>
  </si>
  <si>
    <t>Inzersdorf an der Traisen</t>
  </si>
  <si>
    <t>Walpersdorf</t>
  </si>
  <si>
    <t>Wetzmannsthal</t>
  </si>
  <si>
    <t>Etzersdorf</t>
  </si>
  <si>
    <t>Katzenberg</t>
  </si>
  <si>
    <t>Killing</t>
  </si>
  <si>
    <t>Panzing und Miesting</t>
  </si>
  <si>
    <t>Pönning</t>
  </si>
  <si>
    <t>Rassing</t>
  </si>
  <si>
    <t>Rapoltendorf</t>
  </si>
  <si>
    <t>Thalheim</t>
  </si>
  <si>
    <t>Hausenbach</t>
  </si>
  <si>
    <t>Obermamau</t>
  </si>
  <si>
    <t>Untermamau</t>
  </si>
  <si>
    <t>Schaubing</t>
  </si>
  <si>
    <t>Weyersdorf</t>
  </si>
  <si>
    <t>Baumgarten bei Kasten</t>
  </si>
  <si>
    <t>Damberg</t>
  </si>
  <si>
    <t>Dörfl bei Kasten</t>
  </si>
  <si>
    <t>Gwörth</t>
  </si>
  <si>
    <t>Hummelberg bei Kasten</t>
  </si>
  <si>
    <t>Kasten</t>
  </si>
  <si>
    <t>Kirchsteig</t>
  </si>
  <si>
    <t>Lanzendorf bei Kasten</t>
  </si>
  <si>
    <t>Lielach</t>
  </si>
  <si>
    <t>Mitterfeld</t>
  </si>
  <si>
    <t>Stallbach</t>
  </si>
  <si>
    <t>Steinabruck</t>
  </si>
  <si>
    <t>Wallenreith</t>
  </si>
  <si>
    <t>Doppel</t>
  </si>
  <si>
    <t>Oberwolfsbach</t>
  </si>
  <si>
    <t>Paltram</t>
  </si>
  <si>
    <t>Sichelbach</t>
  </si>
  <si>
    <t>Totzenbach</t>
  </si>
  <si>
    <t>Waasen</t>
  </si>
  <si>
    <t>Getzwiesen</t>
  </si>
  <si>
    <t>Großraßberg</t>
  </si>
  <si>
    <t>Maria Anzbach</t>
  </si>
  <si>
    <t>Unteroberndorf</t>
  </si>
  <si>
    <t>Knetzersdorf</t>
  </si>
  <si>
    <t>Markersdorf</t>
  </si>
  <si>
    <t>Mitterau</t>
  </si>
  <si>
    <t>Nenndorf</t>
  </si>
  <si>
    <t>Poppendorf</t>
  </si>
  <si>
    <t>Winkel</t>
  </si>
  <si>
    <t>Michelbach Dorf</t>
  </si>
  <si>
    <t>Michelbach Markt</t>
  </si>
  <si>
    <t>Afing</t>
  </si>
  <si>
    <t>Dietersberg</t>
  </si>
  <si>
    <t>Enikelberg</t>
  </si>
  <si>
    <t>Flinsbach</t>
  </si>
  <si>
    <t>Griechenberg</t>
  </si>
  <si>
    <t>Pultendorf</t>
  </si>
  <si>
    <t>Wernersdorf</t>
  </si>
  <si>
    <t>Almersberg</t>
  </si>
  <si>
    <t>Großweinberg</t>
  </si>
  <si>
    <t>Inprugg</t>
  </si>
  <si>
    <t>Ollersbach</t>
  </si>
  <si>
    <t>Raipoltenbach</t>
  </si>
  <si>
    <t>St. Christophen</t>
  </si>
  <si>
    <t>Tausendblum</t>
  </si>
  <si>
    <t>Umsee</t>
  </si>
  <si>
    <t>Unterwolfsbach</t>
  </si>
  <si>
    <t>Wolfersdorf</t>
  </si>
  <si>
    <t>Franzhausen</t>
  </si>
  <si>
    <t>Neusiedl</t>
  </si>
  <si>
    <t>Nußdorf an der Traisen</t>
  </si>
  <si>
    <t>Reichersdorf</t>
  </si>
  <si>
    <t>Theyern</t>
  </si>
  <si>
    <t>Badendorf</t>
  </si>
  <si>
    <t>Baumgarten bei Grafendorf</t>
  </si>
  <si>
    <t>Fridau</t>
  </si>
  <si>
    <t>Gasten</t>
  </si>
  <si>
    <t>Gattmannsdorf</t>
  </si>
  <si>
    <t>Obergrafendorf</t>
  </si>
  <si>
    <t>Gröben</t>
  </si>
  <si>
    <t>Grub bei Obergrafendorf</t>
  </si>
  <si>
    <t>Kotting</t>
  </si>
  <si>
    <t>Kunning</t>
  </si>
  <si>
    <t>Neustift bei Gasten</t>
  </si>
  <si>
    <t>Reitzing</t>
  </si>
  <si>
    <t>Rennersdorf</t>
  </si>
  <si>
    <t>Ritzersdorf</t>
  </si>
  <si>
    <t>Wantendorf</t>
  </si>
  <si>
    <t>Willersdorf bei Wantendorf</t>
  </si>
  <si>
    <t>Eitzendorf</t>
  </si>
  <si>
    <t>Flinsdorf</t>
  </si>
  <si>
    <t>Fugging</t>
  </si>
  <si>
    <t>Greiling</t>
  </si>
  <si>
    <t>Grünz</t>
  </si>
  <si>
    <t>Heinigstetten</t>
  </si>
  <si>
    <t>Landhausen</t>
  </si>
  <si>
    <t>Obermerking</t>
  </si>
  <si>
    <t>Untermerking</t>
  </si>
  <si>
    <t>Obritzberg</t>
  </si>
  <si>
    <t>Großrust</t>
  </si>
  <si>
    <t>Kleinrust</t>
  </si>
  <si>
    <t>Schweinern</t>
  </si>
  <si>
    <t>Winzing</t>
  </si>
  <si>
    <t>Zagging</t>
  </si>
  <si>
    <t>Adeldorf</t>
  </si>
  <si>
    <t>Atzling</t>
  </si>
  <si>
    <t>Auern</t>
  </si>
  <si>
    <t>Blindorf</t>
  </si>
  <si>
    <t>Ebersreith</t>
  </si>
  <si>
    <t>Fahra</t>
  </si>
  <si>
    <t>Heuberg</t>
  </si>
  <si>
    <t>Hinterholz</t>
  </si>
  <si>
    <t>Hummelberg bei Pyhra</t>
  </si>
  <si>
    <t>Loitzenberg</t>
  </si>
  <si>
    <t>Nützling</t>
  </si>
  <si>
    <t>Perersdorf</t>
  </si>
  <si>
    <t>Probstwald</t>
  </si>
  <si>
    <t>Reichenhag</t>
  </si>
  <si>
    <t>Reichgrüben</t>
  </si>
  <si>
    <t>Schauching</t>
  </si>
  <si>
    <t>Schnabling</t>
  </si>
  <si>
    <t>Obertiefenbach</t>
  </si>
  <si>
    <t>Wald</t>
  </si>
  <si>
    <t>Weinzettl</t>
  </si>
  <si>
    <t>Wieden bei Pyhra</t>
  </si>
  <si>
    <t>Zuleithen</t>
  </si>
  <si>
    <t>Eigendorf</t>
  </si>
  <si>
    <t>St. Margarethen an der Sierning</t>
  </si>
  <si>
    <t>Feilendorf</t>
  </si>
  <si>
    <t>Kainradsdorf</t>
  </si>
  <si>
    <t>Linsberg</t>
  </si>
  <si>
    <t>Margarethen</t>
  </si>
  <si>
    <t>Oberhofen</t>
  </si>
  <si>
    <t>Unterradl</t>
  </si>
  <si>
    <t>Rammersdorf</t>
  </si>
  <si>
    <t>Saudorf</t>
  </si>
  <si>
    <t>Kleinsierning</t>
  </si>
  <si>
    <t>Wieden bei Margarethen</t>
  </si>
  <si>
    <t>Wilhersdorf bei Margarethen</t>
  </si>
  <si>
    <t>Kuffern</t>
  </si>
  <si>
    <t>Rottersdorf</t>
  </si>
  <si>
    <t>Weidling</t>
  </si>
  <si>
    <t>Bonnleiten</t>
  </si>
  <si>
    <t>Dachsbach</t>
  </si>
  <si>
    <t>Freiling</t>
  </si>
  <si>
    <t>Hendelgraben</t>
  </si>
  <si>
    <t>Hochgschaid</t>
  </si>
  <si>
    <t>Gemeinlebarn</t>
  </si>
  <si>
    <t>St. Georgen bei Wagram</t>
  </si>
  <si>
    <t>Hilpersdorf</t>
  </si>
  <si>
    <t>Oberndorf am Gebirge</t>
  </si>
  <si>
    <t>Stollhofen</t>
  </si>
  <si>
    <t>Waldletzberg</t>
  </si>
  <si>
    <t>Wagram an der Traisen</t>
  </si>
  <si>
    <t>Grub bei Weinburg</t>
  </si>
  <si>
    <t>Klangen</t>
  </si>
  <si>
    <t>Luberg</t>
  </si>
  <si>
    <t>Mühlhofen</t>
  </si>
  <si>
    <t>Oed bei Weinburg</t>
  </si>
  <si>
    <t>Perschling</t>
  </si>
  <si>
    <t>Langmannersdorf</t>
  </si>
  <si>
    <t>Wieselbruck</t>
  </si>
  <si>
    <t>Gunnersdorf</t>
  </si>
  <si>
    <t>Murstetten</t>
  </si>
  <si>
    <t>Obermoos</t>
  </si>
  <si>
    <t>Göblasbruck</t>
  </si>
  <si>
    <t>Handelberg</t>
  </si>
  <si>
    <t>Kanzling</t>
  </si>
  <si>
    <t>Kreisbach</t>
  </si>
  <si>
    <t>Pömmern</t>
  </si>
  <si>
    <t>Wegbach</t>
  </si>
  <si>
    <t>Wolkersberg</t>
  </si>
  <si>
    <t>Ambach</t>
  </si>
  <si>
    <t>Anzenhof</t>
  </si>
  <si>
    <t>Hausheim</t>
  </si>
  <si>
    <t>Noppendorf</t>
  </si>
  <si>
    <t>Ratzersdorf</t>
  </si>
  <si>
    <t>Oberwölbling</t>
  </si>
  <si>
    <t>Unterwölbling</t>
  </si>
  <si>
    <t>Au am Kraking</t>
  </si>
  <si>
    <t>Pfalzau</t>
  </si>
  <si>
    <t>Preßbaum</t>
  </si>
  <si>
    <t>Rekawinkel</t>
  </si>
  <si>
    <t>Altenreith</t>
  </si>
  <si>
    <t>Brettl</t>
  </si>
  <si>
    <t>Kienberg</t>
  </si>
  <si>
    <t>Lackenhof</t>
  </si>
  <si>
    <t>Nestelberg</t>
  </si>
  <si>
    <t>Polzberg</t>
  </si>
  <si>
    <t>Göstling</t>
  </si>
  <si>
    <t>Hochreith</t>
  </si>
  <si>
    <t>Königsberg</t>
  </si>
  <si>
    <t>Steinbachmauer</t>
  </si>
  <si>
    <t>Ybbssteinbach</t>
  </si>
  <si>
    <t>Ybbsbachamt</t>
  </si>
  <si>
    <t>Oberamt</t>
  </si>
  <si>
    <t>Schadneramt</t>
  </si>
  <si>
    <t>Unteramt</t>
  </si>
  <si>
    <t>Ahorn</t>
  </si>
  <si>
    <t>Bodingbach</t>
  </si>
  <si>
    <t>Lunzamt</t>
  </si>
  <si>
    <t>Lunzdorf</t>
  </si>
  <si>
    <t>Seekopf</t>
  </si>
  <si>
    <t>Lehen bei Oberndorf</t>
  </si>
  <si>
    <t>Schachau</t>
  </si>
  <si>
    <t>Feichsen</t>
  </si>
  <si>
    <t>Hochrieß</t>
  </si>
  <si>
    <t>Petzelsdorf</t>
  </si>
  <si>
    <t>Rogatsboden</t>
  </si>
  <si>
    <t>Schauboden</t>
  </si>
  <si>
    <t>Sölling</t>
  </si>
  <si>
    <t>Söllingerwald</t>
  </si>
  <si>
    <t>Zehnbach</t>
  </si>
  <si>
    <t>Franzenreith</t>
  </si>
  <si>
    <t>Hochkoglberg</t>
  </si>
  <si>
    <t>Perwarth</t>
  </si>
  <si>
    <t>Puchberg bei Randegg</t>
  </si>
  <si>
    <t>Steinholz</t>
  </si>
  <si>
    <t>Robitzboden</t>
  </si>
  <si>
    <t>St. Anton an der Jeßnitz</t>
  </si>
  <si>
    <t>Gärtenberg</t>
  </si>
  <si>
    <t>Grafenmühl</t>
  </si>
  <si>
    <t>Wohlfahrtsschlag</t>
  </si>
  <si>
    <t>Dachsberg</t>
  </si>
  <si>
    <t>St. Georgen an der Leys</t>
  </si>
  <si>
    <t>Brandstatt</t>
  </si>
  <si>
    <t>Fürteben</t>
  </si>
  <si>
    <t>Ginning</t>
  </si>
  <si>
    <t>Neustift bei Scheibbs</t>
  </si>
  <si>
    <t>Scheibbsbach</t>
  </si>
  <si>
    <t>Außerochsenbach</t>
  </si>
  <si>
    <t>Ernegg</t>
  </si>
  <si>
    <t>Lonitzberg</t>
  </si>
  <si>
    <t>Zehetgrub</t>
  </si>
  <si>
    <t>Pyhrafeld</t>
  </si>
  <si>
    <t>Reidlingberg</t>
  </si>
  <si>
    <t>Gumprechtsfelden</t>
  </si>
  <si>
    <t>Mühling</t>
  </si>
  <si>
    <t>Schadendorf</t>
  </si>
  <si>
    <t>Wechling</t>
  </si>
  <si>
    <t>Etzerstetten</t>
  </si>
  <si>
    <t>Zarnsdorf</t>
  </si>
  <si>
    <t>Hütteldorf</t>
  </si>
  <si>
    <t>Moosbierbaum</t>
  </si>
  <si>
    <t>Tautendorf</t>
  </si>
  <si>
    <t>Trasdorf</t>
  </si>
  <si>
    <t>Weinzierl bei Atzenbrugg</t>
  </si>
  <si>
    <t>Gösing</t>
  </si>
  <si>
    <t>Stettenhof</t>
  </si>
  <si>
    <t>Thürnthal</t>
  </si>
  <si>
    <t>Feuersbrunn</t>
  </si>
  <si>
    <t>Jettsdorf</t>
  </si>
  <si>
    <t>Seebarn am Wagram</t>
  </si>
  <si>
    <t>Wagram am Wagram</t>
  </si>
  <si>
    <t>Neudegg</t>
  </si>
  <si>
    <t>Ameisthal</t>
  </si>
  <si>
    <t>Baumgarten am Wagram</t>
  </si>
  <si>
    <t>Ruppersthal</t>
  </si>
  <si>
    <t>Tiefenthal</t>
  </si>
  <si>
    <t>Großwiesendorf</t>
  </si>
  <si>
    <t>Kleinwiesendorf</t>
  </si>
  <si>
    <t>Baumgarten am Tullnerfeld</t>
  </si>
  <si>
    <t>Freundorf</t>
  </si>
  <si>
    <t>Judenau</t>
  </si>
  <si>
    <t>Zöfing</t>
  </si>
  <si>
    <t>Altenwörth</t>
  </si>
  <si>
    <t>Engelmannsbrunn</t>
  </si>
  <si>
    <t>Gigging</t>
  </si>
  <si>
    <t>Kollersdorf</t>
  </si>
  <si>
    <t>Mallon</t>
  </si>
  <si>
    <t>Neustift im Felde</t>
  </si>
  <si>
    <t>Mitterstockstall</t>
  </si>
  <si>
    <t>Oberstockstall</t>
  </si>
  <si>
    <t>Unterstockstall</t>
  </si>
  <si>
    <t>Bierbaum am Kleebigl</t>
  </si>
  <si>
    <t>Hippersdorf</t>
  </si>
  <si>
    <t>Utzenlaa</t>
  </si>
  <si>
    <t>Zaußenberg</t>
  </si>
  <si>
    <t>Asparn</t>
  </si>
  <si>
    <t>Kronau</t>
  </si>
  <si>
    <t>Langenschönbichl</t>
  </si>
  <si>
    <t>Michelndorf</t>
  </si>
  <si>
    <t>Pixendorf</t>
  </si>
  <si>
    <t>Streithofen</t>
  </si>
  <si>
    <t>Abstetten</t>
  </si>
  <si>
    <t>Einsiedl</t>
  </si>
  <si>
    <t>Elsbach</t>
  </si>
  <si>
    <t>Flachberg</t>
  </si>
  <si>
    <t>Gollarn</t>
  </si>
  <si>
    <t>Henzing</t>
  </si>
  <si>
    <t>Kraking</t>
  </si>
  <si>
    <t>Ollern</t>
  </si>
  <si>
    <t>Penzing</t>
  </si>
  <si>
    <t>Plankenberg</t>
  </si>
  <si>
    <t>Ranzelsdorf</t>
  </si>
  <si>
    <t>Rappoltenkirchen</t>
  </si>
  <si>
    <t>Ried am Riederberg</t>
  </si>
  <si>
    <t>Wagendorf</t>
  </si>
  <si>
    <t>Weinzierl bei Ollern</t>
  </si>
  <si>
    <t>Kronstein</t>
  </si>
  <si>
    <t>Ahrenberg</t>
  </si>
  <si>
    <t>Baumgarten bei Reidling</t>
  </si>
  <si>
    <t>Hasendorf</t>
  </si>
  <si>
    <t>Reidling</t>
  </si>
  <si>
    <t>Sitzenberg</t>
  </si>
  <si>
    <t>Chorherrn</t>
  </si>
  <si>
    <t>Katzelsdorf im Dorf</t>
  </si>
  <si>
    <t>Katzelsdorf an der Zeil</t>
  </si>
  <si>
    <t>Langenlebarn-Oberaigen</t>
  </si>
  <si>
    <t>Langenlebarn-Unteraigen</t>
  </si>
  <si>
    <t>Mollersdorf</t>
  </si>
  <si>
    <t>Neuaigen</t>
  </si>
  <si>
    <t>Nitzing</t>
  </si>
  <si>
    <t>Staasdorf</t>
  </si>
  <si>
    <t>Trübensee</t>
  </si>
  <si>
    <t>Anzing</t>
  </si>
  <si>
    <t>Grub bei Saladorf</t>
  </si>
  <si>
    <t>Jetzing</t>
  </si>
  <si>
    <t>Mittermoos</t>
  </si>
  <si>
    <t>Untermoos</t>
  </si>
  <si>
    <t>Pöding</t>
  </si>
  <si>
    <t>Saladorf</t>
  </si>
  <si>
    <t>Gotthartsberg</t>
  </si>
  <si>
    <t>Gumperding</t>
  </si>
  <si>
    <t>Zeiselmauer</t>
  </si>
  <si>
    <t>Dürnrohr</t>
  </si>
  <si>
    <t>Erpersdorf</t>
  </si>
  <si>
    <t>Maria Ponsee</t>
  </si>
  <si>
    <t>Preuwitz</t>
  </si>
  <si>
    <t>Kleinschönbichl</t>
  </si>
  <si>
    <t>Altenberg</t>
  </si>
  <si>
    <t>St. Andrä-Wördern</t>
  </si>
  <si>
    <t>Greifenstein</t>
  </si>
  <si>
    <t>Hadersfeld</t>
  </si>
  <si>
    <t>Hintersdorf</t>
  </si>
  <si>
    <t>Wördern</t>
  </si>
  <si>
    <t>Wipfing</t>
  </si>
  <si>
    <t>Gugging</t>
  </si>
  <si>
    <t>Höflein an der Donau</t>
  </si>
  <si>
    <t>Kierling</t>
  </si>
  <si>
    <t>Kritzendorf</t>
  </si>
  <si>
    <t>Weidlingbach</t>
  </si>
  <si>
    <t>Brunn bei Dobersberg</t>
  </si>
  <si>
    <t>Goschenreith</t>
  </si>
  <si>
    <t>Großharmanns</t>
  </si>
  <si>
    <t>Kleinharmanns</t>
  </si>
  <si>
    <t>Lexnitz</t>
  </si>
  <si>
    <t>Merkengersch</t>
  </si>
  <si>
    <t>Reibers</t>
  </si>
  <si>
    <t>Reinolz</t>
  </si>
  <si>
    <t>Schuppertholz</t>
  </si>
  <si>
    <t>Frühwärts</t>
  </si>
  <si>
    <t>Garolden</t>
  </si>
  <si>
    <t>Immenschlag</t>
  </si>
  <si>
    <t>Kleinmotten</t>
  </si>
  <si>
    <t>Kleinzwettl</t>
  </si>
  <si>
    <t>Rueders</t>
  </si>
  <si>
    <t>Weissenbach</t>
  </si>
  <si>
    <t>Wiesmaden</t>
  </si>
  <si>
    <t>Ellends</t>
  </si>
  <si>
    <t>Fistritz</t>
  </si>
  <si>
    <t>Großsiegharts</t>
  </si>
  <si>
    <t>Loibes</t>
  </si>
  <si>
    <t>Sieghartsles</t>
  </si>
  <si>
    <t>Waldreichs</t>
  </si>
  <si>
    <t>Weinern</t>
  </si>
  <si>
    <t>Wienings</t>
  </si>
  <si>
    <t>Karlstein</t>
  </si>
  <si>
    <t>Schlader</t>
  </si>
  <si>
    <t>Thuma</t>
  </si>
  <si>
    <t>Thures</t>
  </si>
  <si>
    <t>Münichreith an der Thaya</t>
  </si>
  <si>
    <t>Göpfritzschlag</t>
  </si>
  <si>
    <t>Griesbach bei Dobersberg</t>
  </si>
  <si>
    <t>Engelbrechts</t>
  </si>
  <si>
    <t>Großtaxen</t>
  </si>
  <si>
    <t>Illmau</t>
  </si>
  <si>
    <t>Kleingerharts</t>
  </si>
  <si>
    <t>Kleintaxen</t>
  </si>
  <si>
    <t>Plessberg</t>
  </si>
  <si>
    <t>Reinberg-Dobersberg</t>
  </si>
  <si>
    <t>Triglas</t>
  </si>
  <si>
    <t>Blumau an der Wild</t>
  </si>
  <si>
    <t>Diemschlag</t>
  </si>
  <si>
    <t>Drösiedl</t>
  </si>
  <si>
    <t>Kollmitzgraben</t>
  </si>
  <si>
    <t>Liebenberg</t>
  </si>
  <si>
    <t>Ludweis</t>
  </si>
  <si>
    <t>Oedt an der Wild</t>
  </si>
  <si>
    <t>Pfaffenschlag</t>
  </si>
  <si>
    <t>Radessen</t>
  </si>
  <si>
    <t>Sauggern</t>
  </si>
  <si>
    <t>Seebs</t>
  </si>
  <si>
    <t>Tröbings</t>
  </si>
  <si>
    <t>Arnolz</t>
  </si>
  <si>
    <t>Artolz</t>
  </si>
  <si>
    <t>Eisenreichs</t>
  </si>
  <si>
    <t>Großeberharts</t>
  </si>
  <si>
    <t>Kleingöpfritz</t>
  </si>
  <si>
    <t>Koggendorf</t>
  </si>
  <si>
    <t>Kollmitzdörfl</t>
  </si>
  <si>
    <t>Liebnitz</t>
  </si>
  <si>
    <t>Lindau</t>
  </si>
  <si>
    <t>Luden</t>
  </si>
  <si>
    <t>Modsiedl</t>
  </si>
  <si>
    <t>Mostbach</t>
  </si>
  <si>
    <t>Neuriegers</t>
  </si>
  <si>
    <t>Nonndorf bei Raabs an der Thaya</t>
  </si>
  <si>
    <t>Oberndorf bei Raabs</t>
  </si>
  <si>
    <t>Oberndorf bei Weikertschlag</t>
  </si>
  <si>
    <t>Oberpfaffendorf</t>
  </si>
  <si>
    <t>Ober- und Unterreith</t>
  </si>
  <si>
    <t>Pommersdorf</t>
  </si>
  <si>
    <t>Primmersdorf</t>
  </si>
  <si>
    <t>Rabesreith</t>
  </si>
  <si>
    <t>Rossa</t>
  </si>
  <si>
    <t>Schaditz</t>
  </si>
  <si>
    <t>Speisendorf</t>
  </si>
  <si>
    <t>Trabersdorf</t>
  </si>
  <si>
    <t>Unterpertholz</t>
  </si>
  <si>
    <t>Unterpfaffendorf</t>
  </si>
  <si>
    <t>Wilhelmshof</t>
  </si>
  <si>
    <t>Zabernreith</t>
  </si>
  <si>
    <t>Zemmendorf</t>
  </si>
  <si>
    <t>Ziernreith</t>
  </si>
  <si>
    <t>Eggmanns</t>
  </si>
  <si>
    <t>Großgerharts</t>
  </si>
  <si>
    <t>Jarolden</t>
  </si>
  <si>
    <t>Niederedlitz</t>
  </si>
  <si>
    <t>Oberedlitz</t>
  </si>
  <si>
    <t>Ranzles</t>
  </si>
  <si>
    <t>Schirnes</t>
  </si>
  <si>
    <t>Jaudling</t>
  </si>
  <si>
    <t>Jetzles</t>
  </si>
  <si>
    <t>Stoyes</t>
  </si>
  <si>
    <t>Eulenbach</t>
  </si>
  <si>
    <t>Großrupprechts</t>
  </si>
  <si>
    <t>Kleingloms</t>
  </si>
  <si>
    <t>Kleinschönau</t>
  </si>
  <si>
    <t>Heinreichs</t>
  </si>
  <si>
    <t>Warnungs</t>
  </si>
  <si>
    <t>Altwaidhofen</t>
  </si>
  <si>
    <t>Götzles</t>
  </si>
  <si>
    <t>Hollenbach</t>
  </si>
  <si>
    <t>Kleineberharts</t>
  </si>
  <si>
    <t>Matzles</t>
  </si>
  <si>
    <t>Schlagles</t>
  </si>
  <si>
    <t>Ulrichschlag</t>
  </si>
  <si>
    <t>Vestenötting</t>
  </si>
  <si>
    <t>Brunn bei Waidhofen</t>
  </si>
  <si>
    <t>Edelprinz</t>
  </si>
  <si>
    <t>Götzweis</t>
  </si>
  <si>
    <t>Griesbach bei Waidhofen</t>
  </si>
  <si>
    <t>Kainraths</t>
  </si>
  <si>
    <t>Nonndorf</t>
  </si>
  <si>
    <t>Sarning</t>
  </si>
  <si>
    <t>Vestepoppen</t>
  </si>
  <si>
    <t>Wiederfeld</t>
  </si>
  <si>
    <t>Wohlfarts</t>
  </si>
  <si>
    <t>Fratres</t>
  </si>
  <si>
    <t>Gilgenberg</t>
  </si>
  <si>
    <t>Rappolz</t>
  </si>
  <si>
    <t>Rudolz</t>
  </si>
  <si>
    <t>Waldhers</t>
  </si>
  <si>
    <t>Waldkirchen</t>
  </si>
  <si>
    <t>Edengans</t>
  </si>
  <si>
    <t>Kleinreichenbach</t>
  </si>
  <si>
    <t>Kottschallings</t>
  </si>
  <si>
    <t>Meires</t>
  </si>
  <si>
    <t>Markl</t>
  </si>
  <si>
    <t>Matzlesschlag</t>
  </si>
  <si>
    <t>Rafings</t>
  </si>
  <si>
    <t>Waldberg</t>
  </si>
  <si>
    <t>Bad Fischau</t>
  </si>
  <si>
    <t>Brunn an der Schneebergbahn</t>
  </si>
  <si>
    <t>Schönau im Gebirge</t>
  </si>
  <si>
    <t>Obereggendorf</t>
  </si>
  <si>
    <t>Untereggendorf</t>
  </si>
  <si>
    <t>Brunn bei Pitten</t>
  </si>
  <si>
    <t>Gschaidt</t>
  </si>
  <si>
    <t>Hochneukirchen</t>
  </si>
  <si>
    <t>Maiersdorf</t>
  </si>
  <si>
    <t>Netting</t>
  </si>
  <si>
    <t>Stollhof</t>
  </si>
  <si>
    <t>Lembach</t>
  </si>
  <si>
    <t>Stang</t>
  </si>
  <si>
    <t>Ungerbach</t>
  </si>
  <si>
    <t>Frohsdorf</t>
  </si>
  <si>
    <t>Haderswörth</t>
  </si>
  <si>
    <t>Kleinwolkersdorf</t>
  </si>
  <si>
    <t>Dreistetten</t>
  </si>
  <si>
    <t>Piesting</t>
  </si>
  <si>
    <t>Hölles</t>
  </si>
  <si>
    <t>Matzendorf</t>
  </si>
  <si>
    <t>Feichtenbach</t>
  </si>
  <si>
    <t>Neusiedl bei Pernitz</t>
  </si>
  <si>
    <t>Oberpiesting</t>
  </si>
  <si>
    <t>Oed</t>
  </si>
  <si>
    <t>Wopfing</t>
  </si>
  <si>
    <t>Klingfurth</t>
  </si>
  <si>
    <t>Schleinz</t>
  </si>
  <si>
    <t>Emmerberg</t>
  </si>
  <si>
    <t>Muthmannsdorf</t>
  </si>
  <si>
    <t>Winzendorf</t>
  </si>
  <si>
    <t>Steinabrückl</t>
  </si>
  <si>
    <t>Bernschlag</t>
  </si>
  <si>
    <t>Dietreichs</t>
  </si>
  <si>
    <t>Edelbach</t>
  </si>
  <si>
    <t>Großpoppen</t>
  </si>
  <si>
    <t>Mannshalm</t>
  </si>
  <si>
    <t>Rausmanns</t>
  </si>
  <si>
    <t>Reinsbach</t>
  </si>
  <si>
    <t>Thaua</t>
  </si>
  <si>
    <t>Wurmbach</t>
  </si>
  <si>
    <t>Zwinzen</t>
  </si>
  <si>
    <t>Etlasamt</t>
  </si>
  <si>
    <t>Neumelon</t>
  </si>
  <si>
    <t>Pretrobruck</t>
  </si>
  <si>
    <t>Purrat</t>
  </si>
  <si>
    <t>Rammelhof</t>
  </si>
  <si>
    <t>Schwarzauamt</t>
  </si>
  <si>
    <t>Wiesensfeld</t>
  </si>
  <si>
    <t>Gerweis</t>
  </si>
  <si>
    <t>Großkainraths</t>
  </si>
  <si>
    <t>Heimschlag</t>
  </si>
  <si>
    <t>Kleinpoppen</t>
  </si>
  <si>
    <t>Rieweis</t>
  </si>
  <si>
    <t>Wolfenstein</t>
  </si>
  <si>
    <t>Äpfelgschwendt</t>
  </si>
  <si>
    <t>Almosen</t>
  </si>
  <si>
    <t>Breitenfeld</t>
  </si>
  <si>
    <t>Kirchberg an der Wild</t>
  </si>
  <si>
    <t>Merkenbrechts</t>
  </si>
  <si>
    <t>Scheideldorf</t>
  </si>
  <si>
    <t>Weinpolz</t>
  </si>
  <si>
    <t>Kleingöttfritz</t>
  </si>
  <si>
    <t>Kleinnondorf</t>
  </si>
  <si>
    <t>Schafberg</t>
  </si>
  <si>
    <t>Albern</t>
  </si>
  <si>
    <t>Blumau</t>
  </si>
  <si>
    <t>Böhmsdorf</t>
  </si>
  <si>
    <t>Eggress</t>
  </si>
  <si>
    <t>Etlas</t>
  </si>
  <si>
    <t>Etzen</t>
  </si>
  <si>
    <t>Freitzenschlag</t>
  </si>
  <si>
    <t>Großgerungs</t>
  </si>
  <si>
    <t>Großmeinharts</t>
  </si>
  <si>
    <t>Haid</t>
  </si>
  <si>
    <t>Harruck</t>
  </si>
  <si>
    <t>Häuslern</t>
  </si>
  <si>
    <t>Hypolts</t>
  </si>
  <si>
    <t>Josefsdorf</t>
  </si>
  <si>
    <t>Kleingundholz</t>
  </si>
  <si>
    <t>Kleinreinprechts</t>
  </si>
  <si>
    <t>Kleinwetzles</t>
  </si>
  <si>
    <t>Kottingnondorf</t>
  </si>
  <si>
    <t>Marharts</t>
  </si>
  <si>
    <t>Oberneustift</t>
  </si>
  <si>
    <t>Oberrosenauerwaldhäuser</t>
  </si>
  <si>
    <t>Siebenberg</t>
  </si>
  <si>
    <t>Sitzmanns</t>
  </si>
  <si>
    <t>Thail</t>
  </si>
  <si>
    <t>Wendelgraben</t>
  </si>
  <si>
    <t>Wurmbrand</t>
  </si>
  <si>
    <t>Großweißenbach</t>
  </si>
  <si>
    <t>Kleinweißenbach</t>
  </si>
  <si>
    <t>Reichers</t>
  </si>
  <si>
    <t>Rohrenreith</t>
  </si>
  <si>
    <t>Sprögnitz</t>
  </si>
  <si>
    <t>Bernhardshof</t>
  </si>
  <si>
    <t>Gastles</t>
  </si>
  <si>
    <t>Kienings</t>
  </si>
  <si>
    <t>Merkengerst</t>
  </si>
  <si>
    <t>Roggenreith</t>
  </si>
  <si>
    <t>Scheibb</t>
  </si>
  <si>
    <t>Schneeberg</t>
  </si>
  <si>
    <t>Bernhards</t>
  </si>
  <si>
    <t>Dankholz</t>
  </si>
  <si>
    <t>Elsenreith</t>
  </si>
  <si>
    <t>Ensberg</t>
  </si>
  <si>
    <t>Ernst</t>
  </si>
  <si>
    <t>Felles</t>
  </si>
  <si>
    <t>Gotthardschlag</t>
  </si>
  <si>
    <t>Günzles</t>
  </si>
  <si>
    <t>Heitzles</t>
  </si>
  <si>
    <t>Hörans</t>
  </si>
  <si>
    <t>Kalkgrub</t>
  </si>
  <si>
    <t>Kottes</t>
  </si>
  <si>
    <t>Leopolds</t>
  </si>
  <si>
    <t>Pötzles</t>
  </si>
  <si>
    <t>Purk</t>
  </si>
  <si>
    <t>Reichpolds</t>
  </si>
  <si>
    <t>Richterhof</t>
  </si>
  <si>
    <t>Runds</t>
  </si>
  <si>
    <t>Singenreith</t>
  </si>
  <si>
    <t>Teichmanns</t>
  </si>
  <si>
    <t>Voirans</t>
  </si>
  <si>
    <t>Voitsau</t>
  </si>
  <si>
    <t>Weikartsschlag</t>
  </si>
  <si>
    <t>Doppl</t>
  </si>
  <si>
    <t>Fohra</t>
  </si>
  <si>
    <t>Gschwendt</t>
  </si>
  <si>
    <t>Schoberhof</t>
  </si>
  <si>
    <t>Trittings</t>
  </si>
  <si>
    <t>Wernhies</t>
  </si>
  <si>
    <t>Bruderndorferwaldhäuser</t>
  </si>
  <si>
    <t>Fraberg</t>
  </si>
  <si>
    <t>Kainrathschlag</t>
  </si>
  <si>
    <t>Kasbach</t>
  </si>
  <si>
    <t>Koggschlag</t>
  </si>
  <si>
    <t>Lamberg</t>
  </si>
  <si>
    <t>Langschlägerwaldhäuser</t>
  </si>
  <si>
    <t>Mitterschlag</t>
  </si>
  <si>
    <t>Schmerbach</t>
  </si>
  <si>
    <t>Siebenhöf</t>
  </si>
  <si>
    <t>Stierberg</t>
  </si>
  <si>
    <t>Streith</t>
  </si>
  <si>
    <t>Edlesberg</t>
  </si>
  <si>
    <t>Kleingerungs</t>
  </si>
  <si>
    <t>Reitzendorf</t>
  </si>
  <si>
    <t>Thumling</t>
  </si>
  <si>
    <t>Loitzenreith</t>
  </si>
  <si>
    <t>Weixelberg</t>
  </si>
  <si>
    <t>Wiehalm</t>
  </si>
  <si>
    <t>Bernreith</t>
  </si>
  <si>
    <t>Endlas</t>
  </si>
  <si>
    <t>Jungschlag</t>
  </si>
  <si>
    <t>Dietrichsbach</t>
  </si>
  <si>
    <t>Fichtenbach</t>
  </si>
  <si>
    <t>Großpertenschlag</t>
  </si>
  <si>
    <t>Kleinpertenschlag</t>
  </si>
  <si>
    <t>Perwolfs</t>
  </si>
  <si>
    <t>Altpölla</t>
  </si>
  <si>
    <t>Döllersheim</t>
  </si>
  <si>
    <t>Eichhorns</t>
  </si>
  <si>
    <t>Felsenberg</t>
  </si>
  <si>
    <t>Franzen</t>
  </si>
  <si>
    <t>Kleinenzersdorf</t>
  </si>
  <si>
    <t>Kleinraabs</t>
  </si>
  <si>
    <t>Krug</t>
  </si>
  <si>
    <t>Loibenreith</t>
  </si>
  <si>
    <t>Mestreichs</t>
  </si>
  <si>
    <t>Neupölla</t>
  </si>
  <si>
    <t>Niederplöttbach</t>
  </si>
  <si>
    <t>Reichhalms</t>
  </si>
  <si>
    <t>Söllitz</t>
  </si>
  <si>
    <t>Wegscheid</t>
  </si>
  <si>
    <t>Wetzlas</t>
  </si>
  <si>
    <t>Gretschen</t>
  </si>
  <si>
    <t>Großgundholz</t>
  </si>
  <si>
    <t>Hausbach</t>
  </si>
  <si>
    <t>Neustift</t>
  </si>
  <si>
    <t>Oberrabenthan</t>
  </si>
  <si>
    <t>Pehendorf</t>
  </si>
  <si>
    <t>Riebeis</t>
  </si>
  <si>
    <t>Ritterkamp</t>
  </si>
  <si>
    <t>Selbitz</t>
  </si>
  <si>
    <t>Dietharts</t>
  </si>
  <si>
    <t>Höhendorf</t>
  </si>
  <si>
    <t>Roiten</t>
  </si>
  <si>
    <t>Armschlag</t>
  </si>
  <si>
    <t>Heubach</t>
  </si>
  <si>
    <t>Kamles</t>
  </si>
  <si>
    <t>Kleinhaslau</t>
  </si>
  <si>
    <t>Lugendorf</t>
  </si>
  <si>
    <t>Moniholz</t>
  </si>
  <si>
    <t>Rabenhof</t>
  </si>
  <si>
    <t>Spielleithen</t>
  </si>
  <si>
    <t>Voitschlag</t>
  </si>
  <si>
    <t>Aschen</t>
  </si>
  <si>
    <t>Bernton</t>
  </si>
  <si>
    <t>Dorfstadt</t>
  </si>
  <si>
    <t>Lohn</t>
  </si>
  <si>
    <t>Ganz</t>
  </si>
  <si>
    <t>Großhaselbach</t>
  </si>
  <si>
    <t>Limpfings</t>
  </si>
  <si>
    <t>Modlitsch</t>
  </si>
  <si>
    <t>Stögersbach</t>
  </si>
  <si>
    <t>Kleinwolfgers</t>
  </si>
  <si>
    <t>Meinhartschlag</t>
  </si>
  <si>
    <t>Perndorf</t>
  </si>
  <si>
    <t>Sallingstadt</t>
  </si>
  <si>
    <t>Streitbach</t>
  </si>
  <si>
    <t>Unterwindhag</t>
  </si>
  <si>
    <t>Windhof</t>
  </si>
  <si>
    <t>Brunnhöf</t>
  </si>
  <si>
    <t>Großreichenbach</t>
  </si>
  <si>
    <t>Reinbolden</t>
  </si>
  <si>
    <t>Siebenlinden</t>
  </si>
  <si>
    <t>Vierlings</t>
  </si>
  <si>
    <t>Biberschlag</t>
  </si>
  <si>
    <t>Gürtlberg</t>
  </si>
  <si>
    <t>Hummelberg Amt</t>
  </si>
  <si>
    <t>Moderberg Amt</t>
  </si>
  <si>
    <t>Pfaffings</t>
  </si>
  <si>
    <t>Schönau Amt</t>
  </si>
  <si>
    <t>Traunstein</t>
  </si>
  <si>
    <t>Königsbach</t>
  </si>
  <si>
    <t>Loschberg</t>
  </si>
  <si>
    <t>Niedernondorf</t>
  </si>
  <si>
    <t>Niederwaltenreith</t>
  </si>
  <si>
    <t>Obernondorf</t>
  </si>
  <si>
    <t>Rappoltschlag</t>
  </si>
  <si>
    <t>Werschenschlag</t>
  </si>
  <si>
    <t>Wiesenreith</t>
  </si>
  <si>
    <t>Annatsberg</t>
  </si>
  <si>
    <t>Böhmhöf</t>
  </si>
  <si>
    <t>Bösenneunzehn</t>
  </si>
  <si>
    <t>Rosenau Dorf</t>
  </si>
  <si>
    <t>Eschabruck</t>
  </si>
  <si>
    <t>Friedersbach</t>
  </si>
  <si>
    <t>Gerlas</t>
  </si>
  <si>
    <t>Gerotten</t>
  </si>
  <si>
    <t>Großglobnitz</t>
  </si>
  <si>
    <t>Großhaslau</t>
  </si>
  <si>
    <t>Hörweix</t>
  </si>
  <si>
    <t>Jagenbach</t>
  </si>
  <si>
    <t>Jahrings</t>
  </si>
  <si>
    <t>Kleehof</t>
  </si>
  <si>
    <t>Kleinmeinharts</t>
  </si>
  <si>
    <t>Kleinotten</t>
  </si>
  <si>
    <t>Koblhof</t>
  </si>
  <si>
    <t>Koppenzeil</t>
  </si>
  <si>
    <t>Kühbach</t>
  </si>
  <si>
    <t>Marbach am Walde</t>
  </si>
  <si>
    <t>Merzenstein</t>
  </si>
  <si>
    <t>Mitterreith</t>
  </si>
  <si>
    <t>Moidrams</t>
  </si>
  <si>
    <t>Negers</t>
  </si>
  <si>
    <t>Niederglobnitz</t>
  </si>
  <si>
    <t>Niederneustift</t>
  </si>
  <si>
    <t>Niederstrahlbach</t>
  </si>
  <si>
    <t>Oberhof</t>
  </si>
  <si>
    <t>Oberplöttbach</t>
  </si>
  <si>
    <t>Oberstrahlbach</t>
  </si>
  <si>
    <t>Purken</t>
  </si>
  <si>
    <t>Ratschenhof</t>
  </si>
  <si>
    <t>Rieggers</t>
  </si>
  <si>
    <t>Ritzmannshof</t>
  </si>
  <si>
    <t>Rudmanns</t>
  </si>
  <si>
    <t>Schickenhof</t>
  </si>
  <si>
    <t>Rosenau Schloß</t>
  </si>
  <si>
    <t>Syrafeld</t>
  </si>
  <si>
    <t>Unterrabenthan</t>
  </si>
  <si>
    <t>Unterrosenauerwaldhäuser</t>
  </si>
  <si>
    <t>Uttissenbach</t>
  </si>
  <si>
    <t>Waldhams</t>
  </si>
  <si>
    <t>Wildings</t>
  </si>
  <si>
    <t>Zwettl Stadt</t>
  </si>
  <si>
    <t>Zwettl Stift</t>
  </si>
  <si>
    <t>Ebelsberg</t>
  </si>
  <si>
    <t>Kleinmünchen</t>
  </si>
  <si>
    <t>Mönchgraben</t>
  </si>
  <si>
    <t>Pichling</t>
  </si>
  <si>
    <t>Posch</t>
  </si>
  <si>
    <t>Ufer</t>
  </si>
  <si>
    <t>Wambach</t>
  </si>
  <si>
    <t>Urfahr</t>
  </si>
  <si>
    <t>Pöstlingberg</t>
  </si>
  <si>
    <t>Katzbach</t>
  </si>
  <si>
    <t>Christkindl</t>
  </si>
  <si>
    <t>Föhrenschacherl</t>
  </si>
  <si>
    <t>Gleink</t>
  </si>
  <si>
    <t>Jägerberg</t>
  </si>
  <si>
    <t>Obereisenfeld</t>
  </si>
  <si>
    <t>Pernau</t>
  </si>
  <si>
    <t>Puchberg</t>
  </si>
  <si>
    <t>Untereisenfeld</t>
  </si>
  <si>
    <t>Stern</t>
  </si>
  <si>
    <t>Weyrading</t>
  </si>
  <si>
    <t>Obermigelsbach</t>
  </si>
  <si>
    <t>Wildenau</t>
  </si>
  <si>
    <t>Irnprechting</t>
  </si>
  <si>
    <t>Osternberg</t>
  </si>
  <si>
    <t>Ranshofen</t>
  </si>
  <si>
    <t>Biburg</t>
  </si>
  <si>
    <t>Forstern</t>
  </si>
  <si>
    <t>Oberspraidt</t>
  </si>
  <si>
    <t>St. Georgen an der Mattig</t>
  </si>
  <si>
    <t>Gundertshausen</t>
  </si>
  <si>
    <t>Haimhausen</t>
  </si>
  <si>
    <t>Haselreith</t>
  </si>
  <si>
    <t>Ibm</t>
  </si>
  <si>
    <t>Gstaig</t>
  </si>
  <si>
    <t>Vormoosen</t>
  </si>
  <si>
    <t>Eggenham</t>
  </si>
  <si>
    <t>Holzöster</t>
  </si>
  <si>
    <t>Lehrsberg</t>
  </si>
  <si>
    <t>Werberg</t>
  </si>
  <si>
    <t>Mairhof</t>
  </si>
  <si>
    <t>Ruderstallgassen</t>
  </si>
  <si>
    <t>Adenberg</t>
  </si>
  <si>
    <t>Sandthal</t>
  </si>
  <si>
    <t>Helpfau</t>
  </si>
  <si>
    <t>Kager</t>
  </si>
  <si>
    <t>St. Florian</t>
  </si>
  <si>
    <t>Ach</t>
  </si>
  <si>
    <t>Hochburg</t>
  </si>
  <si>
    <t>Oberkriebach</t>
  </si>
  <si>
    <t>Unterkriebach</t>
  </si>
  <si>
    <t>Feichta</t>
  </si>
  <si>
    <t>Henhart</t>
  </si>
  <si>
    <t>Sauldorf</t>
  </si>
  <si>
    <t>Siegertshaft</t>
  </si>
  <si>
    <t>Friedburg</t>
  </si>
  <si>
    <t>Krenwald</t>
  </si>
  <si>
    <t>Oberehreneck</t>
  </si>
  <si>
    <t>Utzweih</t>
  </si>
  <si>
    <t>Lochen am See</t>
  </si>
  <si>
    <t>Oberweissau</t>
  </si>
  <si>
    <t>Tannberg</t>
  </si>
  <si>
    <t>Wichenham</t>
  </si>
  <si>
    <t>Oberminathal</t>
  </si>
  <si>
    <t>Schnellberg</t>
  </si>
  <si>
    <t>Schweigetsreith</t>
  </si>
  <si>
    <t>Spitzenberg</t>
  </si>
  <si>
    <t>Amberg</t>
  </si>
  <si>
    <t>Gundholling</t>
  </si>
  <si>
    <t>Grubedt</t>
  </si>
  <si>
    <t>Stadl</t>
  </si>
  <si>
    <t>Achenlohe</t>
  </si>
  <si>
    <t>Apfenthal</t>
  </si>
  <si>
    <t>Mitternberg</t>
  </si>
  <si>
    <t>Ernsting</t>
  </si>
  <si>
    <t>Ettenau</t>
  </si>
  <si>
    <t>Mundenham</t>
  </si>
  <si>
    <t>Perwang</t>
  </si>
  <si>
    <t>Rudersberg</t>
  </si>
  <si>
    <t>Erlach</t>
  </si>
  <si>
    <t>Humertsham</t>
  </si>
  <si>
    <t>Polling</t>
  </si>
  <si>
    <t>Rossbach</t>
  </si>
  <si>
    <t>Rödham</t>
  </si>
  <si>
    <t>St. Georgen am Fillmannsbach</t>
  </si>
  <si>
    <t>St. Johann am Walde</t>
  </si>
  <si>
    <t>Steinwag</t>
  </si>
  <si>
    <t>Wildshut</t>
  </si>
  <si>
    <t>St. Peter am Hart</t>
  </si>
  <si>
    <t>Hadermarkt</t>
  </si>
  <si>
    <t>St. Radegund</t>
  </si>
  <si>
    <t>St. Veit im Innkreis</t>
  </si>
  <si>
    <t>Unterlochen</t>
  </si>
  <si>
    <t>Eichbichl</t>
  </si>
  <si>
    <t>Hofstatt</t>
  </si>
  <si>
    <t>Hörndl</t>
  </si>
  <si>
    <t>Obertreubach</t>
  </si>
  <si>
    <t>Ueberackern</t>
  </si>
  <si>
    <t>Leithen</t>
  </si>
  <si>
    <t>Weng</t>
  </si>
  <si>
    <t>Hartheim</t>
  </si>
  <si>
    <t>Polsing</t>
  </si>
  <si>
    <t>Puchham</t>
  </si>
  <si>
    <t>Hörstorf</t>
  </si>
  <si>
    <t>Haibach</t>
  </si>
  <si>
    <t>Oed in Bergen</t>
  </si>
  <si>
    <t>Schaumberg</t>
  </si>
  <si>
    <t>Oberrudling</t>
  </si>
  <si>
    <t>Wackersbach</t>
  </si>
  <si>
    <t>Gallham</t>
  </si>
  <si>
    <t>Oberschaden</t>
  </si>
  <si>
    <t>Fürneredt</t>
  </si>
  <si>
    <t>St. Marienkirchen an der Polsenz</t>
  </si>
  <si>
    <t>Finklham</t>
  </si>
  <si>
    <t>Großstroheim</t>
  </si>
  <si>
    <t>Rauchenödt</t>
  </si>
  <si>
    <t>Erdmannsdorf</t>
  </si>
  <si>
    <t>Schmidsberg</t>
  </si>
  <si>
    <t>Markersreith</t>
  </si>
  <si>
    <t>Silberberg</t>
  </si>
  <si>
    <t>Harterleithen</t>
  </si>
  <si>
    <t>Mönchdorf</t>
  </si>
  <si>
    <t>Mötlas</t>
  </si>
  <si>
    <t>Paroxedt</t>
  </si>
  <si>
    <t>Steinböckhof</t>
  </si>
  <si>
    <t>Hiltschen</t>
  </si>
  <si>
    <t>Windhagmühl</t>
  </si>
  <si>
    <t>Trosselsdorf</t>
  </si>
  <si>
    <t>Zeiß</t>
  </si>
  <si>
    <t>Pregartsdorf</t>
  </si>
  <si>
    <t>Selker</t>
  </si>
  <si>
    <t>Rainbach</t>
  </si>
  <si>
    <t>Summerau</t>
  </si>
  <si>
    <t>Hacklbrunn</t>
  </si>
  <si>
    <t>Königsau</t>
  </si>
  <si>
    <t>Pürstling</t>
  </si>
  <si>
    <t>Herzogreith</t>
  </si>
  <si>
    <t>St. Leonhard bei Freistadt</t>
  </si>
  <si>
    <t>Maasch</t>
  </si>
  <si>
    <t>Amesreith</t>
  </si>
  <si>
    <t>St. Oswald bei Freistadt</t>
  </si>
  <si>
    <t>March</t>
  </si>
  <si>
    <t>Wippl</t>
  </si>
  <si>
    <t>Kaining</t>
  </si>
  <si>
    <t>Prandegg</t>
  </si>
  <si>
    <t>Mistlberg</t>
  </si>
  <si>
    <t>Landshut</t>
  </si>
  <si>
    <t>Unterweissenbach</t>
  </si>
  <si>
    <t>Schwandt</t>
  </si>
  <si>
    <t>Untergaisbach</t>
  </si>
  <si>
    <t>Harrachstal</t>
  </si>
  <si>
    <t>Riemetschlag</t>
  </si>
  <si>
    <t>Spörbichl</t>
  </si>
  <si>
    <t>Brawinkl</t>
  </si>
  <si>
    <t>Zell bei Zellhof</t>
  </si>
  <si>
    <t>Eben</t>
  </si>
  <si>
    <t>Ebenzweier</t>
  </si>
  <si>
    <t>Gmundnerberg</t>
  </si>
  <si>
    <t>Grasberg</t>
  </si>
  <si>
    <t>Nachdemsee</t>
  </si>
  <si>
    <t>Ort-Altmünster</t>
  </si>
  <si>
    <t>Reindlmühl</t>
  </si>
  <si>
    <t>Goisern</t>
  </si>
  <si>
    <t>Lasern</t>
  </si>
  <si>
    <t>Obersee</t>
  </si>
  <si>
    <t>Untersee</t>
  </si>
  <si>
    <t>Haiden</t>
  </si>
  <si>
    <t>Jainzen</t>
  </si>
  <si>
    <t>Lauffen</t>
  </si>
  <si>
    <t>Perneck</t>
  </si>
  <si>
    <t>Reiterndorf</t>
  </si>
  <si>
    <t>Ebensee</t>
  </si>
  <si>
    <t>Langwies</t>
  </si>
  <si>
    <t>Oberlangbath</t>
  </si>
  <si>
    <t>Ort-Gmunden</t>
  </si>
  <si>
    <t>Schlagen</t>
  </si>
  <si>
    <t>Traundorf</t>
  </si>
  <si>
    <t>Moosham</t>
  </si>
  <si>
    <t>Feichtenberg</t>
  </si>
  <si>
    <t>Kaltenmarkt</t>
  </si>
  <si>
    <t>Kampesberg</t>
  </si>
  <si>
    <t>Diethaming</t>
  </si>
  <si>
    <t>Kranabeth</t>
  </si>
  <si>
    <t>Lindach</t>
  </si>
  <si>
    <t>Oberweis</t>
  </si>
  <si>
    <t>Ölling</t>
  </si>
  <si>
    <t>Schwaigthal</t>
  </si>
  <si>
    <t>Stötten</t>
  </si>
  <si>
    <t>Ehrenfeld</t>
  </si>
  <si>
    <t>Hafendorf</t>
  </si>
  <si>
    <t>Nathal</t>
  </si>
  <si>
    <t>Rittham</t>
  </si>
  <si>
    <t>Kufhaus</t>
  </si>
  <si>
    <t>Ausserpühret</t>
  </si>
  <si>
    <t>Roitham am Traunfall</t>
  </si>
  <si>
    <t>Deising</t>
  </si>
  <si>
    <t>Kemating</t>
  </si>
  <si>
    <t>Edt</t>
  </si>
  <si>
    <t>St. Konrad</t>
  </si>
  <si>
    <t>Mühldorf II</t>
  </si>
  <si>
    <t>St. Wolfgang im Salzkammergut</t>
  </si>
  <si>
    <t>Wolfgangthal</t>
  </si>
  <si>
    <t>Mühlbachberg</t>
  </si>
  <si>
    <t>Dorf</t>
  </si>
  <si>
    <t>Mühldorf I</t>
  </si>
  <si>
    <t>Viechtwang</t>
  </si>
  <si>
    <t>Adlhaming</t>
  </si>
  <si>
    <t>Eggenberg</t>
  </si>
  <si>
    <t>Einsiedling</t>
  </si>
  <si>
    <t>Feldham</t>
  </si>
  <si>
    <t>Hörbach</t>
  </si>
  <si>
    <t>Lederau</t>
  </si>
  <si>
    <t>Messenbach</t>
  </si>
  <si>
    <t>Mühltal</t>
  </si>
  <si>
    <t>Theuerwang</t>
  </si>
  <si>
    <t>Enzendorf</t>
  </si>
  <si>
    <t>Aflang</t>
  </si>
  <si>
    <t>Fading</t>
  </si>
  <si>
    <t>Höft</t>
  </si>
  <si>
    <t>Jeding</t>
  </si>
  <si>
    <t>Niederentern</t>
  </si>
  <si>
    <t>Manglburg</t>
  </si>
  <si>
    <t>Parz</t>
  </si>
  <si>
    <t>Niedernhaag</t>
  </si>
  <si>
    <t>Obernhaag</t>
  </si>
  <si>
    <t>Gassen</t>
  </si>
  <si>
    <t>Schallbach</t>
  </si>
  <si>
    <t>Still</t>
  </si>
  <si>
    <t>Kimpling</t>
  </si>
  <si>
    <t>Steinerkirchen</t>
  </si>
  <si>
    <t>Pfarrhofsberg</t>
  </si>
  <si>
    <t>Wilhelmsberg</t>
  </si>
  <si>
    <t>St. Sixt</t>
  </si>
  <si>
    <t>Spielmannsberg</t>
  </si>
  <si>
    <t>Forsthof</t>
  </si>
  <si>
    <t>Feldegg</t>
  </si>
  <si>
    <t>Großwaldenberg</t>
  </si>
  <si>
    <t>Innernsee</t>
  </si>
  <si>
    <t>St. Agatha</t>
  </si>
  <si>
    <t>St. Georgen bei Grieskirchen</t>
  </si>
  <si>
    <t>Tolleterau</t>
  </si>
  <si>
    <t>Atschenbach</t>
  </si>
  <si>
    <t>Pfleg</t>
  </si>
  <si>
    <t>Trattenegg</t>
  </si>
  <si>
    <t>Keneding</t>
  </si>
  <si>
    <t>Korntnerberg</t>
  </si>
  <si>
    <t>Mödelbach</t>
  </si>
  <si>
    <t>Roith</t>
  </si>
  <si>
    <t>Widldorf</t>
  </si>
  <si>
    <t>Manzing</t>
  </si>
  <si>
    <t>Weidenholz</t>
  </si>
  <si>
    <t>Uttenthal</t>
  </si>
  <si>
    <t>Wallern</t>
  </si>
  <si>
    <t>Dirisam</t>
  </si>
  <si>
    <t>Schwarzgrub</t>
  </si>
  <si>
    <t>Zupfing</t>
  </si>
  <si>
    <t>Bruck</t>
  </si>
  <si>
    <t>Leonstein</t>
  </si>
  <si>
    <t>Obergrünburg</t>
  </si>
  <si>
    <t>Pernzell</t>
  </si>
  <si>
    <t>Untergrünburg</t>
  </si>
  <si>
    <t>Wagenhub</t>
  </si>
  <si>
    <t>Mitterinzersdorf</t>
  </si>
  <si>
    <t>Unterinzersdorf</t>
  </si>
  <si>
    <t>Steyrling</t>
  </si>
  <si>
    <t>Dirnberg</t>
  </si>
  <si>
    <t>Kremsegg</t>
  </si>
  <si>
    <t>Krift</t>
  </si>
  <si>
    <t>Mairdorf</t>
  </si>
  <si>
    <t>Sattledt II</t>
  </si>
  <si>
    <t>Unterburgfried</t>
  </si>
  <si>
    <t>Wolfgangstein</t>
  </si>
  <si>
    <t>Mittermicheldorf</t>
  </si>
  <si>
    <t>Obermicheldorf</t>
  </si>
  <si>
    <t>Untermicheldorf</t>
  </si>
  <si>
    <t>Außerbreitenau</t>
  </si>
  <si>
    <t>Innerbreitenau</t>
  </si>
  <si>
    <t>Dauersdorf</t>
  </si>
  <si>
    <t>Göritz</t>
  </si>
  <si>
    <t>Mandorf</t>
  </si>
  <si>
    <t>Sinzendorf</t>
  </si>
  <si>
    <t>Gundendorf</t>
  </si>
  <si>
    <t>Hammersdorf</t>
  </si>
  <si>
    <t>Lungendorf</t>
  </si>
  <si>
    <t>Pratsdorf</t>
  </si>
  <si>
    <t>Seisenburg</t>
  </si>
  <si>
    <t>Unterdürndorf</t>
  </si>
  <si>
    <t>Rührndorf</t>
  </si>
  <si>
    <t>Voitsdorf</t>
  </si>
  <si>
    <t>Zenndorf</t>
  </si>
  <si>
    <t>Rosenau</t>
  </si>
  <si>
    <t>Pichl</t>
  </si>
  <si>
    <t>Rading</t>
  </si>
  <si>
    <t>Rossleithen</t>
  </si>
  <si>
    <t>St. Pankraz</t>
  </si>
  <si>
    <t>Maisdorf</t>
  </si>
  <si>
    <t>Mitterschlierbach</t>
  </si>
  <si>
    <t>Unterschlierbach</t>
  </si>
  <si>
    <t>Fahrenberg</t>
  </si>
  <si>
    <t>Gleinkerau</t>
  </si>
  <si>
    <t>Oberdürndorf</t>
  </si>
  <si>
    <t>Oberinzersdorf</t>
  </si>
  <si>
    <t>Pieslwang</t>
  </si>
  <si>
    <t>Zehetner</t>
  </si>
  <si>
    <t>Diepersdorf</t>
  </si>
  <si>
    <t>Penzendorf</t>
  </si>
  <si>
    <t>Schachadorf</t>
  </si>
  <si>
    <t>Strienzing</t>
  </si>
  <si>
    <t>Laimgräben</t>
  </si>
  <si>
    <t>Fleckendorf</t>
  </si>
  <si>
    <t>Kremsdorf</t>
  </si>
  <si>
    <t>Nettingsdorf</t>
  </si>
  <si>
    <t>Rapperswinkel</t>
  </si>
  <si>
    <t>Raffelstetten</t>
  </si>
  <si>
    <t>Hiesendorf</t>
  </si>
  <si>
    <t>Kristein</t>
  </si>
  <si>
    <t>Lorch</t>
  </si>
  <si>
    <t>Volkersdorf</t>
  </si>
  <si>
    <t>Penking</t>
  </si>
  <si>
    <t>Achleiten</t>
  </si>
  <si>
    <t>Kiesenberg</t>
  </si>
  <si>
    <t>Axberg</t>
  </si>
  <si>
    <t>Schieferegg</t>
  </si>
  <si>
    <t>Holzheim</t>
  </si>
  <si>
    <t>Rufling</t>
  </si>
  <si>
    <t>Enzing</t>
  </si>
  <si>
    <t>Fernbach</t>
  </si>
  <si>
    <t>Gemering</t>
  </si>
  <si>
    <t>Mickstetten</t>
  </si>
  <si>
    <t>Niederfraunleiten</t>
  </si>
  <si>
    <t>Oberweidlham</t>
  </si>
  <si>
    <t>St. Florian Markt</t>
  </si>
  <si>
    <t>Samesleiten</t>
  </si>
  <si>
    <t>Taunleiten</t>
  </si>
  <si>
    <t>Tillysburg</t>
  </si>
  <si>
    <t>Unterweidlham</t>
  </si>
  <si>
    <t>Dambach</t>
  </si>
  <si>
    <t>Fischen</t>
  </si>
  <si>
    <t>Lining</t>
  </si>
  <si>
    <t>Grünbrunn</t>
  </si>
  <si>
    <t>Pucking I</t>
  </si>
  <si>
    <t>Pucking II</t>
  </si>
  <si>
    <t>St. Leonhard I</t>
  </si>
  <si>
    <t>St. Leonhard II</t>
  </si>
  <si>
    <t>Droissendorf</t>
  </si>
  <si>
    <t>St. Marien</t>
  </si>
  <si>
    <t>Kimmersdorf</t>
  </si>
  <si>
    <t>Kurzenkirchen</t>
  </si>
  <si>
    <t>Nöstlbach</t>
  </si>
  <si>
    <t>Pichlwang</t>
  </si>
  <si>
    <t>Tiestling</t>
  </si>
  <si>
    <t>Weichstetten</t>
  </si>
  <si>
    <t>Dörnbach</t>
  </si>
  <si>
    <t>Schönering</t>
  </si>
  <si>
    <t>Allerheiligen</t>
  </si>
  <si>
    <t>Lebing</t>
  </si>
  <si>
    <t>Puchberg im Machlande I</t>
  </si>
  <si>
    <t>Puchberg im Machlande II</t>
  </si>
  <si>
    <t>Lettental</t>
  </si>
  <si>
    <t>Panholz</t>
  </si>
  <si>
    <t>Bodendorf</t>
  </si>
  <si>
    <t>Clam</t>
  </si>
  <si>
    <t>Kalmberg</t>
  </si>
  <si>
    <t>Wetzelstein</t>
  </si>
  <si>
    <t>Luftenberg</t>
  </si>
  <si>
    <t>Pürach</t>
  </si>
  <si>
    <t>Langacker</t>
  </si>
  <si>
    <t>Mitterkirchen</t>
  </si>
  <si>
    <t>Innernstein</t>
  </si>
  <si>
    <t>Naarn</t>
  </si>
  <si>
    <t>Riedersdorf</t>
  </si>
  <si>
    <t>Wetzelsberg</t>
  </si>
  <si>
    <t>Pergkirchen</t>
  </si>
  <si>
    <t>Altaist</t>
  </si>
  <si>
    <t>Obenberg</t>
  </si>
  <si>
    <t>Henndorf</t>
  </si>
  <si>
    <t>St. Georgen am Walde</t>
  </si>
  <si>
    <t>Linden</t>
  </si>
  <si>
    <t>St. Georgen an der Gusen</t>
  </si>
  <si>
    <t>St. Nikola an der Donau</t>
  </si>
  <si>
    <t>Struden</t>
  </si>
  <si>
    <t>St. Thomas am Blasenstein</t>
  </si>
  <si>
    <t>Eizendorf</t>
  </si>
  <si>
    <t>Windegg</t>
  </si>
  <si>
    <t>Andrichsfurth</t>
  </si>
  <si>
    <t>Frauenhub</t>
  </si>
  <si>
    <t>Schacha</t>
  </si>
  <si>
    <t>Weierfing</t>
  </si>
  <si>
    <t>Leopoldshofstadt</t>
  </si>
  <si>
    <t>Mitterbreitsach</t>
  </si>
  <si>
    <t>Mühring</t>
  </si>
  <si>
    <t>Vocking</t>
  </si>
  <si>
    <t>Wappeltsham</t>
  </si>
  <si>
    <t>Emprechting</t>
  </si>
  <si>
    <t>Gonetsreith</t>
  </si>
  <si>
    <t>Hasenzagl</t>
  </si>
  <si>
    <t>Oberham</t>
  </si>
  <si>
    <t>Untermauer I</t>
  </si>
  <si>
    <t>Breiningsdorf</t>
  </si>
  <si>
    <t>Gerhagen</t>
  </si>
  <si>
    <t>Kramberg</t>
  </si>
  <si>
    <t>Reichergerhagen</t>
  </si>
  <si>
    <t>Gunzing</t>
  </si>
  <si>
    <t>Kobernaußen</t>
  </si>
  <si>
    <t>Lohnsburg</t>
  </si>
  <si>
    <t>Renetsham</t>
  </si>
  <si>
    <t>Riegarding</t>
  </si>
  <si>
    <t>Großweiffendorf</t>
  </si>
  <si>
    <t>Neundling</t>
  </si>
  <si>
    <t>Greiffing</t>
  </si>
  <si>
    <t>Mühlheim</t>
  </si>
  <si>
    <t>Gobrechtsham</t>
  </si>
  <si>
    <t>Oberbrunn</t>
  </si>
  <si>
    <t>Brenning</t>
  </si>
  <si>
    <t>Untermauer II</t>
  </si>
  <si>
    <t>Hartlhof</t>
  </si>
  <si>
    <t>Traxlham</t>
  </si>
  <si>
    <t>Nonsbach</t>
  </si>
  <si>
    <t>St. Georgen bei Obernberg am Inn</t>
  </si>
  <si>
    <t>Grausgrub</t>
  </si>
  <si>
    <t>St. Marienkirchen am Hausruck</t>
  </si>
  <si>
    <t>Stocket</t>
  </si>
  <si>
    <t>St. Martin im Innkreis Diesseits</t>
  </si>
  <si>
    <t>St. Martin im Innkreis</t>
  </si>
  <si>
    <t>St. Martin im Innkreis Jenseits</t>
  </si>
  <si>
    <t>Arling</t>
  </si>
  <si>
    <t>Brandstätten</t>
  </si>
  <si>
    <t>Breitenried</t>
  </si>
  <si>
    <t>Jederetsberg</t>
  </si>
  <si>
    <t>Kleingaisbach</t>
  </si>
  <si>
    <t>Unterwietraun</t>
  </si>
  <si>
    <t>Wiesenberg</t>
  </si>
  <si>
    <t>Rabenberg</t>
  </si>
  <si>
    <t>Stöcklgras</t>
  </si>
  <si>
    <t>Dulmeding</t>
  </si>
  <si>
    <t>Gaisbach</t>
  </si>
  <si>
    <t>Unterhaslberg</t>
  </si>
  <si>
    <t>Wilhelming</t>
  </si>
  <si>
    <t>Gitthof</t>
  </si>
  <si>
    <t>Haberpoint</t>
  </si>
  <si>
    <t>Hartlberg</t>
  </si>
  <si>
    <t>Voglhaid</t>
  </si>
  <si>
    <t>Ellreching</t>
  </si>
  <si>
    <t>Voitshofen</t>
  </si>
  <si>
    <t>Langhalsen</t>
  </si>
  <si>
    <t>Untergahleiten</t>
  </si>
  <si>
    <t>Marsbach</t>
  </si>
  <si>
    <t>Kraml</t>
  </si>
  <si>
    <t>Klaffer</t>
  </si>
  <si>
    <t>Stratberg</t>
  </si>
  <si>
    <t>Pürnstein</t>
  </si>
  <si>
    <t>Witzersdorf</t>
  </si>
  <si>
    <t>Drautendorf</t>
  </si>
  <si>
    <t>Obergahleiten</t>
  </si>
  <si>
    <t>Peilstein</t>
  </si>
  <si>
    <t>Pfarrkirchen</t>
  </si>
  <si>
    <t>Weberschlag</t>
  </si>
  <si>
    <t>Ollerndorf</t>
  </si>
  <si>
    <t>Rannariedl</t>
  </si>
  <si>
    <t>Petersberg</t>
  </si>
  <si>
    <t>St. Johann am Wimberg</t>
  </si>
  <si>
    <t>St. Martin im Mühlkreis</t>
  </si>
  <si>
    <t>Windischberg</t>
  </si>
  <si>
    <t>St. Oswald bei Haslach</t>
  </si>
  <si>
    <t>Eckerstorf</t>
  </si>
  <si>
    <t>St. Peter am Wimberg</t>
  </si>
  <si>
    <t>St. Ulrich im Mühlkreis</t>
  </si>
  <si>
    <t>Ramerstorf</t>
  </si>
  <si>
    <t>St. Veit im Mühlkreis</t>
  </si>
  <si>
    <t>St. Veit</t>
  </si>
  <si>
    <t>Pogendorf</t>
  </si>
  <si>
    <t>Schölling</t>
  </si>
  <si>
    <t>Sprinzenstein</t>
  </si>
  <si>
    <t>Berdetschlag</t>
  </si>
  <si>
    <t>Hintenberg</t>
  </si>
  <si>
    <t>Ödenkirchen</t>
  </si>
  <si>
    <t>Schindlau</t>
  </si>
  <si>
    <t>Schlägl</t>
  </si>
  <si>
    <t>Unterneudorf</t>
  </si>
  <si>
    <t>Frindorf</t>
  </si>
  <si>
    <t>Hundbrenning</t>
  </si>
  <si>
    <t>Steineck</t>
  </si>
  <si>
    <t>Spanfeld</t>
  </si>
  <si>
    <t>Afiesl</t>
  </si>
  <si>
    <t>St. Stefan-Afiesl</t>
  </si>
  <si>
    <t>St. Stefan am Walde</t>
  </si>
  <si>
    <t>Unterriedl</t>
  </si>
  <si>
    <t>Oberrödham</t>
  </si>
  <si>
    <t>Burgerding</t>
  </si>
  <si>
    <t>Haitzing</t>
  </si>
  <si>
    <t>Schulleredt</t>
  </si>
  <si>
    <t>Teuflau</t>
  </si>
  <si>
    <t>Eggersham</t>
  </si>
  <si>
    <t>Angsüss</t>
  </si>
  <si>
    <t>Großwaging</t>
  </si>
  <si>
    <t>Kalling</t>
  </si>
  <si>
    <t>Kindling</t>
  </si>
  <si>
    <t>Schwabenhub</t>
  </si>
  <si>
    <t>Hinterndobl</t>
  </si>
  <si>
    <t>Hofstadt</t>
  </si>
  <si>
    <t>Maasbach</t>
  </si>
  <si>
    <t>Jagern</t>
  </si>
  <si>
    <t>Kenading</t>
  </si>
  <si>
    <t>Matzing</t>
  </si>
  <si>
    <t>Kiesdorf</t>
  </si>
  <si>
    <t>Pyrawang</t>
  </si>
  <si>
    <t>Wetzendorf</t>
  </si>
  <si>
    <t>Hinding</t>
  </si>
  <si>
    <t>Entholzen</t>
  </si>
  <si>
    <t>Glatzing</t>
  </si>
  <si>
    <t>Kopfing</t>
  </si>
  <si>
    <t>Neukirchendorf</t>
  </si>
  <si>
    <t>Eisenbirn</t>
  </si>
  <si>
    <t>Hofalt</t>
  </si>
  <si>
    <t>Landertsberg</t>
  </si>
  <si>
    <t>Schießdorf</t>
  </si>
  <si>
    <t>Gautzham</t>
  </si>
  <si>
    <t>Niederham</t>
  </si>
  <si>
    <t>Oberspitzling</t>
  </si>
  <si>
    <t>Riedlhof</t>
  </si>
  <si>
    <t>Edermaning</t>
  </si>
  <si>
    <t>Wienering</t>
  </si>
  <si>
    <t>Vormarkt Riedau</t>
  </si>
  <si>
    <t>Hackendorf</t>
  </si>
  <si>
    <t>St. Aegidi</t>
  </si>
  <si>
    <t>Schauern</t>
  </si>
  <si>
    <t>Otterbach</t>
  </si>
  <si>
    <t>St. Florian am Inn</t>
  </si>
  <si>
    <t>Pramhof</t>
  </si>
  <si>
    <t>Unterteufenbach</t>
  </si>
  <si>
    <t>Dietrichshofen</t>
  </si>
  <si>
    <t>St. Marienkirchen bei Schärding</t>
  </si>
  <si>
    <t>Fucking</t>
  </si>
  <si>
    <t>Hackenbuch</t>
  </si>
  <si>
    <t>St. Marienkirchen</t>
  </si>
  <si>
    <t>St. Roman</t>
  </si>
  <si>
    <t>Aschenberg</t>
  </si>
  <si>
    <t>Ginzlsdorf</t>
  </si>
  <si>
    <t>Kössldorf</t>
  </si>
  <si>
    <t>Aichet</t>
  </si>
  <si>
    <t>St. Willibald</t>
  </si>
  <si>
    <t>Geiselham</t>
  </si>
  <si>
    <t>Schärding-Stadt</t>
  </si>
  <si>
    <t>Schärding-Vorstadt</t>
  </si>
  <si>
    <t>Asing</t>
  </si>
  <si>
    <t>Fraunhof</t>
  </si>
  <si>
    <t>Gattern</t>
  </si>
  <si>
    <t>Lindenberg</t>
  </si>
  <si>
    <t>Luck</t>
  </si>
  <si>
    <t>Siegharting</t>
  </si>
  <si>
    <t>Thalmannsbach</t>
  </si>
  <si>
    <t>Brauchsdorf</t>
  </si>
  <si>
    <t>Höbmannsbach</t>
  </si>
  <si>
    <t>Igling</t>
  </si>
  <si>
    <t>Laufenbach</t>
  </si>
  <si>
    <t>Oberaichberg</t>
  </si>
  <si>
    <t>Unteraichberg</t>
  </si>
  <si>
    <t>Wesenufer</t>
  </si>
  <si>
    <t>Amelreiching</t>
  </si>
  <si>
    <t>Rutzenberg</t>
  </si>
  <si>
    <t>Wernstein</t>
  </si>
  <si>
    <t>Zwickledt</t>
  </si>
  <si>
    <t>Aiglbrechting</t>
  </si>
  <si>
    <t>Krenna</t>
  </si>
  <si>
    <t>Oberndobl</t>
  </si>
  <si>
    <t>Reischenbach</t>
  </si>
  <si>
    <t>Schwaben</t>
  </si>
  <si>
    <t>Stögen</t>
  </si>
  <si>
    <t>Emsenhub</t>
  </si>
  <si>
    <t>Großmengersdorf</t>
  </si>
  <si>
    <t>Hehenberg</t>
  </si>
  <si>
    <t>Mitterdietach</t>
  </si>
  <si>
    <t>Oberdietach</t>
  </si>
  <si>
    <t>Unterdietach</t>
  </si>
  <si>
    <t>Kleingschnaidt</t>
  </si>
  <si>
    <t>Lahrndorf</t>
  </si>
  <si>
    <t>Oberchristkindl</t>
  </si>
  <si>
    <t>Pergern</t>
  </si>
  <si>
    <t>Unterdambach</t>
  </si>
  <si>
    <t>Hintstein</t>
  </si>
  <si>
    <t>Lumpelgraben</t>
  </si>
  <si>
    <t>Neustiftgraben</t>
  </si>
  <si>
    <t>Oberplaißa</t>
  </si>
  <si>
    <t>Lausa</t>
  </si>
  <si>
    <t>Stiedelsbach</t>
  </si>
  <si>
    <t>Platten</t>
  </si>
  <si>
    <t>Feyregg</t>
  </si>
  <si>
    <t>Mühlgrub</t>
  </si>
  <si>
    <t>Arzberg</t>
  </si>
  <si>
    <t>Fierling</t>
  </si>
  <si>
    <t>Kleinraming</t>
  </si>
  <si>
    <t>St. Ulrich bei Steyr</t>
  </si>
  <si>
    <t>Thanstetten</t>
  </si>
  <si>
    <t>Gründberg</t>
  </si>
  <si>
    <t>Hilbern</t>
  </si>
  <si>
    <t>Neuzeug</t>
  </si>
  <si>
    <t>Oberbrunnern</t>
  </si>
  <si>
    <t>Sierninghofen</t>
  </si>
  <si>
    <t>Bäckengraben</t>
  </si>
  <si>
    <t>Eggmair</t>
  </si>
  <si>
    <t>Pesendorf</t>
  </si>
  <si>
    <t>St. Nikola</t>
  </si>
  <si>
    <t>Steinersdorf</t>
  </si>
  <si>
    <t>Kroisbach</t>
  </si>
  <si>
    <t>Losensteinleithen</t>
  </si>
  <si>
    <t>Maria Laah</t>
  </si>
  <si>
    <t>Schwarzenthal</t>
  </si>
  <si>
    <t>Unterwolfern</t>
  </si>
  <si>
    <t>Kleinreifling</t>
  </si>
  <si>
    <t>Nach der Enns</t>
  </si>
  <si>
    <t>Pröselsdorf</t>
  </si>
  <si>
    <t>Katzgraben</t>
  </si>
  <si>
    <t>Oberbairing</t>
  </si>
  <si>
    <t>Dietrichschlag</t>
  </si>
  <si>
    <t>Leonfelden</t>
  </si>
  <si>
    <t>Stiftung bei Leonfelden</t>
  </si>
  <si>
    <t>Weigetschlag</t>
  </si>
  <si>
    <t>Geng</t>
  </si>
  <si>
    <t>Holzwiesen</t>
  </si>
  <si>
    <t>Klendorf</t>
  </si>
  <si>
    <t>Niederkulm</t>
  </si>
  <si>
    <t>Freudenstein</t>
  </si>
  <si>
    <t>Lacken</t>
  </si>
  <si>
    <t>Landshaag</t>
  </si>
  <si>
    <t>Mühllacken</t>
  </si>
  <si>
    <t>Feldsdorf</t>
  </si>
  <si>
    <t>Pelmberg</t>
  </si>
  <si>
    <t>Bogendorf</t>
  </si>
  <si>
    <t>Eidendorf</t>
  </si>
  <si>
    <t>Stammering</t>
  </si>
  <si>
    <t>Riedl</t>
  </si>
  <si>
    <t>Waldschlag</t>
  </si>
  <si>
    <t>Waxenberg</t>
  </si>
  <si>
    <t>Niederottensheim</t>
  </si>
  <si>
    <t>Oberottensheim</t>
  </si>
  <si>
    <t>Stiftung bei Reichenthal</t>
  </si>
  <si>
    <t>St. Gotthard im Mühlkreis</t>
  </si>
  <si>
    <t>Königschlag</t>
  </si>
  <si>
    <t>Lichtenstein</t>
  </si>
  <si>
    <t>Lachstadt</t>
  </si>
  <si>
    <t>Pulgarn</t>
  </si>
  <si>
    <t>Lindham</t>
  </si>
  <si>
    <t>Innernschlag</t>
  </si>
  <si>
    <t>Amesschlag</t>
  </si>
  <si>
    <t>Bernhardschlag</t>
  </si>
  <si>
    <t>Oberweissenbach</t>
  </si>
  <si>
    <t>Schönegg</t>
  </si>
  <si>
    <t>Ampfelwang</t>
  </si>
  <si>
    <t>Abtsdorf</t>
  </si>
  <si>
    <t>Attersee</t>
  </si>
  <si>
    <t>Aurach</t>
  </si>
  <si>
    <t>Hainbach</t>
  </si>
  <si>
    <t>Windern</t>
  </si>
  <si>
    <t>Walligen</t>
  </si>
  <si>
    <t>Frankenburg</t>
  </si>
  <si>
    <t>Frein</t>
  </si>
  <si>
    <t>Hintersteining</t>
  </si>
  <si>
    <t>Hofberg</t>
  </si>
  <si>
    <t>Hörgersteig</t>
  </si>
  <si>
    <t>Höhenwarth</t>
  </si>
  <si>
    <t>Stauf</t>
  </si>
  <si>
    <t>Baumgarting</t>
  </si>
  <si>
    <t>Bierbaum</t>
  </si>
  <si>
    <t>Innerschwand</t>
  </si>
  <si>
    <t>Ackersberg</t>
  </si>
  <si>
    <t>Wegleiten</t>
  </si>
  <si>
    <t>Lichtenbuch</t>
  </si>
  <si>
    <t>Nussdorf</t>
  </si>
  <si>
    <t>Laiter</t>
  </si>
  <si>
    <t>Rabenschwand</t>
  </si>
  <si>
    <t>Oberaschau</t>
  </si>
  <si>
    <t>Bruckmühl</t>
  </si>
  <si>
    <t>Plötzenedt</t>
  </si>
  <si>
    <t>Puchheim</t>
  </si>
  <si>
    <t>Oberalberting</t>
  </si>
  <si>
    <t>Oberpilsbach</t>
  </si>
  <si>
    <t>Geretseck</t>
  </si>
  <si>
    <t>Oberschwand</t>
  </si>
  <si>
    <t>Trattberg</t>
  </si>
  <si>
    <t>Oberkriech</t>
  </si>
  <si>
    <t>Rutzenmoos</t>
  </si>
  <si>
    <t>Unterregau</t>
  </si>
  <si>
    <t>St. Georgen im Attergau</t>
  </si>
  <si>
    <t>St. Lorenz</t>
  </si>
  <si>
    <t>Kammer</t>
  </si>
  <si>
    <t>Fantaberg</t>
  </si>
  <si>
    <t>Litzlberg</t>
  </si>
  <si>
    <t>Seewalchen</t>
  </si>
  <si>
    <t>Pabing</t>
  </si>
  <si>
    <t>Strass</t>
  </si>
  <si>
    <t>Wildenhag</t>
  </si>
  <si>
    <t>Wartenburg</t>
  </si>
  <si>
    <t>Rametsberg</t>
  </si>
  <si>
    <t>Unterach</t>
  </si>
  <si>
    <t>Walchen</t>
  </si>
  <si>
    <t>Walkering</t>
  </si>
  <si>
    <t>Freudenthal</t>
  </si>
  <si>
    <t>Weissenkirchen</t>
  </si>
  <si>
    <t>Weyregg</t>
  </si>
  <si>
    <t>Bachloh</t>
  </si>
  <si>
    <t>Bergham</t>
  </si>
  <si>
    <t>Kößlwang</t>
  </si>
  <si>
    <t>Neydharting</t>
  </si>
  <si>
    <t>Wimsbach</t>
  </si>
  <si>
    <t>Hundsham</t>
  </si>
  <si>
    <t>Mistlbach</t>
  </si>
  <si>
    <t>Oberperwend</t>
  </si>
  <si>
    <t>Eberstallzell</t>
  </si>
  <si>
    <t>Mayrsdorf</t>
  </si>
  <si>
    <t>Kreisbichl</t>
  </si>
  <si>
    <t>Mayrlambach</t>
  </si>
  <si>
    <t>Forstberg</t>
  </si>
  <si>
    <t>Fallsbach</t>
  </si>
  <si>
    <t>Irnharting</t>
  </si>
  <si>
    <t>Haiding</t>
  </si>
  <si>
    <t>Schmiding</t>
  </si>
  <si>
    <t>Großkrottendorf</t>
  </si>
  <si>
    <t>Humplberg</t>
  </si>
  <si>
    <t>Würting</t>
  </si>
  <si>
    <t>Krexham</t>
  </si>
  <si>
    <t>Staffl</t>
  </si>
  <si>
    <t>Oberthanbach</t>
  </si>
  <si>
    <t>Ödt</t>
  </si>
  <si>
    <t>Sulzbach</t>
  </si>
  <si>
    <t>Unterthanbach</t>
  </si>
  <si>
    <t>Sattledt I</t>
  </si>
  <si>
    <t>Leombach</t>
  </si>
  <si>
    <t>Schnarrendorf</t>
  </si>
  <si>
    <t>Stadl-Paura - Hausruck</t>
  </si>
  <si>
    <t>Stadl-Paura - Traun</t>
  </si>
  <si>
    <t>Almegg</t>
  </si>
  <si>
    <t>Hammersedt</t>
  </si>
  <si>
    <t>Oberaustall</t>
  </si>
  <si>
    <t>Schnelling</t>
  </si>
  <si>
    <t>Oberschauersberg</t>
  </si>
  <si>
    <t>Aschet</t>
  </si>
  <si>
    <t>Ottsdorf</t>
  </si>
  <si>
    <t>Grassing</t>
  </si>
  <si>
    <t>Sinnersdorf</t>
  </si>
  <si>
    <t>Weißkirchen</t>
  </si>
  <si>
    <t>Weyerbach</t>
  </si>
  <si>
    <t>Aigen I</t>
  </si>
  <si>
    <t>Gnigl</t>
  </si>
  <si>
    <t>Itzling</t>
  </si>
  <si>
    <t>Leopoldskron</t>
  </si>
  <si>
    <t>Liefering II</t>
  </si>
  <si>
    <t>Maxglan</t>
  </si>
  <si>
    <t>Morzg</t>
  </si>
  <si>
    <t>Bergheim II</t>
  </si>
  <si>
    <t>Gaisberg I</t>
  </si>
  <si>
    <t>Hallwang II</t>
  </si>
  <si>
    <t>Heuberg II</t>
  </si>
  <si>
    <t>Siezenheim II</t>
  </si>
  <si>
    <t>Wals II</t>
  </si>
  <si>
    <t>Abtenau Dorf</t>
  </si>
  <si>
    <t>Abtenau Markt</t>
  </si>
  <si>
    <t>Leitenhaus</t>
  </si>
  <si>
    <t>Rigaus</t>
  </si>
  <si>
    <t>Schorn</t>
  </si>
  <si>
    <t>Seetratten</t>
  </si>
  <si>
    <t>Seidegg</t>
  </si>
  <si>
    <t>Unterberg</t>
  </si>
  <si>
    <t>Adnet I</t>
  </si>
  <si>
    <t>Spumberg</t>
  </si>
  <si>
    <t>Gappen</t>
  </si>
  <si>
    <t>Obergäu</t>
  </si>
  <si>
    <t>Torren</t>
  </si>
  <si>
    <t>Burgfried</t>
  </si>
  <si>
    <t>Dürnberg</t>
  </si>
  <si>
    <t>Gamp</t>
  </si>
  <si>
    <t>Taxach</t>
  </si>
  <si>
    <t>Adnet II</t>
  </si>
  <si>
    <t>Oberalm II</t>
  </si>
  <si>
    <t>Georgenberg</t>
  </si>
  <si>
    <t>Jadorf</t>
  </si>
  <si>
    <t>Kellau</t>
  </si>
  <si>
    <t>Oberalm I</t>
  </si>
  <si>
    <t>Hinterwiesthal</t>
  </si>
  <si>
    <t>Oberlangenberg</t>
  </si>
  <si>
    <t>Taugl</t>
  </si>
  <si>
    <t>Tauglboden</t>
  </si>
  <si>
    <t>Scheffau</t>
  </si>
  <si>
    <t>Voregg</t>
  </si>
  <si>
    <t>Weitenau</t>
  </si>
  <si>
    <t>Rengerberg</t>
  </si>
  <si>
    <t>Vigaun</t>
  </si>
  <si>
    <t>Acharting</t>
  </si>
  <si>
    <t>Bergheim I</t>
  </si>
  <si>
    <t>Voggenberg</t>
  </si>
  <si>
    <t>Ebenau I</t>
  </si>
  <si>
    <t>Ebenau II</t>
  </si>
  <si>
    <t>Hinterwinkl-Ebenau</t>
  </si>
  <si>
    <t>Vorderschroffenau</t>
  </si>
  <si>
    <t>Gaisberg II</t>
  </si>
  <si>
    <t>Hinterwinkl-Aigen</t>
  </si>
  <si>
    <t>Höhenwald</t>
  </si>
  <si>
    <t>Aigen II</t>
  </si>
  <si>
    <t>Schwaighofen</t>
  </si>
  <si>
    <t>Lidaun</t>
  </si>
  <si>
    <t>Tiefbrunau</t>
  </si>
  <si>
    <t>Vordersee</t>
  </si>
  <si>
    <t>Fuschl</t>
  </si>
  <si>
    <t>Hallwang I</t>
  </si>
  <si>
    <t>Lämmerbach</t>
  </si>
  <si>
    <t>Gitzen</t>
  </si>
  <si>
    <t>Tödtleinsdorf</t>
  </si>
  <si>
    <t>Heuberg I</t>
  </si>
  <si>
    <t>Arnsdorf</t>
  </si>
  <si>
    <t>St. Alban</t>
  </si>
  <si>
    <t>Schwerting</t>
  </si>
  <si>
    <t>Obernberg</t>
  </si>
  <si>
    <t>Neufahrn</t>
  </si>
  <si>
    <t>Neumarkt Land</t>
  </si>
  <si>
    <t>Neumarkt Markt</t>
  </si>
  <si>
    <t>Nußdorf</t>
  </si>
  <si>
    <t>Pinswag</t>
  </si>
  <si>
    <t>Weitwörth</t>
  </si>
  <si>
    <t>Obertrum</t>
  </si>
  <si>
    <t>Schönstraß</t>
  </si>
  <si>
    <t>Jauchsdorf</t>
  </si>
  <si>
    <t>Gschwand</t>
  </si>
  <si>
    <t>Oberburgau</t>
  </si>
  <si>
    <t>St. Gilgen</t>
  </si>
  <si>
    <t>Unterburgau</t>
  </si>
  <si>
    <t>Engerreich</t>
  </si>
  <si>
    <t>Wallsberg</t>
  </si>
  <si>
    <t>Bruckmoos</t>
  </si>
  <si>
    <t>Irrsdorf</t>
  </si>
  <si>
    <t>Straßwalchen Land</t>
  </si>
  <si>
    <t>Straßwalchen Markt</t>
  </si>
  <si>
    <t>Enzersberg</t>
  </si>
  <si>
    <t>Thalgauberg</t>
  </si>
  <si>
    <t>Gois</t>
  </si>
  <si>
    <t>Siezenheim I</t>
  </si>
  <si>
    <t>Wals I</t>
  </si>
  <si>
    <t>Liefering I</t>
  </si>
  <si>
    <t>Marschalln</t>
  </si>
  <si>
    <t>Mödlham</t>
  </si>
  <si>
    <t>Seekirchen Land</t>
  </si>
  <si>
    <t>Seekirchen Markt</t>
  </si>
  <si>
    <t>Waldprechting</t>
  </si>
  <si>
    <t>Palfen</t>
  </si>
  <si>
    <t>Sinnhub</t>
  </si>
  <si>
    <t>Heißingfelding</t>
  </si>
  <si>
    <t>Vorderschneeberg</t>
  </si>
  <si>
    <t>Wieden</t>
  </si>
  <si>
    <t>Badgastein</t>
  </si>
  <si>
    <t>Böckstein</t>
  </si>
  <si>
    <t>Remsach</t>
  </si>
  <si>
    <t>Haidberg</t>
  </si>
  <si>
    <t>Klammstein</t>
  </si>
  <si>
    <t>Gasthof</t>
  </si>
  <si>
    <t>Schattbach</t>
  </si>
  <si>
    <t>Feuersang</t>
  </si>
  <si>
    <t>Höch</t>
  </si>
  <si>
    <t>Reitdorf</t>
  </si>
  <si>
    <t>Schied</t>
  </si>
  <si>
    <t>Bairau</t>
  </si>
  <si>
    <t>Sonnhalb</t>
  </si>
  <si>
    <t>Karteis</t>
  </si>
  <si>
    <t>Hinterkleinarl</t>
  </si>
  <si>
    <t>Mitterkleinarl</t>
  </si>
  <si>
    <t>Schlöglberg</t>
  </si>
  <si>
    <t>Dorfwerfen</t>
  </si>
  <si>
    <t>Höggen</t>
  </si>
  <si>
    <t>Löbenau</t>
  </si>
  <si>
    <t>Mandling</t>
  </si>
  <si>
    <t>Schwemmberg</t>
  </si>
  <si>
    <t>Einöden</t>
  </si>
  <si>
    <t>Floitensberg</t>
  </si>
  <si>
    <t>Ginau</t>
  </si>
  <si>
    <t>Hallmoos</t>
  </si>
  <si>
    <t>Maschl</t>
  </si>
  <si>
    <t>Plankenau</t>
  </si>
  <si>
    <t>Reinbach</t>
  </si>
  <si>
    <t>Rettenstein</t>
  </si>
  <si>
    <t>St. Johann im Pongau</t>
  </si>
  <si>
    <t>Urreiting</t>
  </si>
  <si>
    <t>Lammerthal</t>
  </si>
  <si>
    <t>Oberlehen</t>
  </si>
  <si>
    <t>Schwarzach II</t>
  </si>
  <si>
    <t>Untersberg</t>
  </si>
  <si>
    <t>Schwarzach I</t>
  </si>
  <si>
    <t>Hofmarkt</t>
  </si>
  <si>
    <t>Schwaighof</t>
  </si>
  <si>
    <t>Vorderkleinarl</t>
  </si>
  <si>
    <t>Werfen Markt</t>
  </si>
  <si>
    <t>Reitsam</t>
  </si>
  <si>
    <t>Sulzau</t>
  </si>
  <si>
    <t>Zoitzach</t>
  </si>
  <si>
    <t>Zankwarn</t>
  </si>
  <si>
    <t>Faningberg</t>
  </si>
  <si>
    <t>Neusess</t>
  </si>
  <si>
    <t>Hintermuhr</t>
  </si>
  <si>
    <t>Schellgaden</t>
  </si>
  <si>
    <t>Vordermuhr</t>
  </si>
  <si>
    <t>Mignitz</t>
  </si>
  <si>
    <t>Höf</t>
  </si>
  <si>
    <t>Oberweissburg</t>
  </si>
  <si>
    <t>St. Martin im Lungau</t>
  </si>
  <si>
    <t>St. Michael im Lungau</t>
  </si>
  <si>
    <t>Unterweissburg</t>
  </si>
  <si>
    <t>Keusching</t>
  </si>
  <si>
    <t>Lasaberg</t>
  </si>
  <si>
    <t>Mörtelsdorf</t>
  </si>
  <si>
    <t>Sauerfeld</t>
  </si>
  <si>
    <t>Seethal</t>
  </si>
  <si>
    <t>Wölting</t>
  </si>
  <si>
    <t>Bundschuh</t>
  </si>
  <si>
    <t>Voidersdorf</t>
  </si>
  <si>
    <t>Rothenwand</t>
  </si>
  <si>
    <t>Bramberg</t>
  </si>
  <si>
    <t>Habach</t>
  </si>
  <si>
    <t>Mühlberg</t>
  </si>
  <si>
    <t>Dienten</t>
  </si>
  <si>
    <t>Dientenbach</t>
  </si>
  <si>
    <t>Fusch</t>
  </si>
  <si>
    <t>Hollersbach</t>
  </si>
  <si>
    <t>Embach</t>
  </si>
  <si>
    <t>Ecking</t>
  </si>
  <si>
    <t>Grießen</t>
  </si>
  <si>
    <t>Pirzbichl</t>
  </si>
  <si>
    <t>Schwarzleo</t>
  </si>
  <si>
    <t>Hallenstein</t>
  </si>
  <si>
    <t>Scheffsnoth</t>
  </si>
  <si>
    <t>Mitterhofen</t>
  </si>
  <si>
    <t>Aberg</t>
  </si>
  <si>
    <t>Alm</t>
  </si>
  <si>
    <t>Hinterthal</t>
  </si>
  <si>
    <t>Felben</t>
  </si>
  <si>
    <t>Felberthal</t>
  </si>
  <si>
    <t>Mittersill Markt</t>
  </si>
  <si>
    <t>Mittersill Schloß</t>
  </si>
  <si>
    <t>Paßthurn</t>
  </si>
  <si>
    <t>Schattberg</t>
  </si>
  <si>
    <t>Spielbichl</t>
  </si>
  <si>
    <t>Rosenthal</t>
  </si>
  <si>
    <t>Jesdorf</t>
  </si>
  <si>
    <t>Lengdorf</t>
  </si>
  <si>
    <t>Aufhausen</t>
  </si>
  <si>
    <t>Humersdorf</t>
  </si>
  <si>
    <t>Bucheben</t>
  </si>
  <si>
    <t>Seidlwinkl</t>
  </si>
  <si>
    <t>Unterland</t>
  </si>
  <si>
    <t>Vorstandrevier</t>
  </si>
  <si>
    <t>Wörtherberg</t>
  </si>
  <si>
    <t>Hinterglemm</t>
  </si>
  <si>
    <t>Saalbach</t>
  </si>
  <si>
    <t>Farmach</t>
  </si>
  <si>
    <t>Gerling</t>
  </si>
  <si>
    <t>Hohlwegen</t>
  </si>
  <si>
    <t>Saalfelden</t>
  </si>
  <si>
    <t>Uttenhofen</t>
  </si>
  <si>
    <t>Obsthurn</t>
  </si>
  <si>
    <t>Wildenthal</t>
  </si>
  <si>
    <t>Wolfbachthal</t>
  </si>
  <si>
    <t>Gföll</t>
  </si>
  <si>
    <t>Stubach</t>
  </si>
  <si>
    <t>Tobersbach</t>
  </si>
  <si>
    <t>Hinterwaldberg</t>
  </si>
  <si>
    <t>Oberweißbach</t>
  </si>
  <si>
    <t>Unterweißbach</t>
  </si>
  <si>
    <t>Bruckberg</t>
  </si>
  <si>
    <t>Erlberg</t>
  </si>
  <si>
    <t>Schmitten</t>
  </si>
  <si>
    <t>Thumersbach</t>
  </si>
  <si>
    <t>Innere Stadt</t>
  </si>
  <si>
    <t>Geidorf</t>
  </si>
  <si>
    <t>Jakomini</t>
  </si>
  <si>
    <t>Algersdorf</t>
  </si>
  <si>
    <t>Andritz</t>
  </si>
  <si>
    <t>Graz Stadt-Fölling</t>
  </si>
  <si>
    <t>Graz Stadt-Messendorf</t>
  </si>
  <si>
    <t>Murfeld</t>
  </si>
  <si>
    <t>Graz Stadt-St. Veit ob Graz</t>
  </si>
  <si>
    <t>Stifting</t>
  </si>
  <si>
    <t>Straßgang</t>
  </si>
  <si>
    <t>Graz Stadt-Thondorf</t>
  </si>
  <si>
    <t>Webling</t>
  </si>
  <si>
    <t>Graz Stadt-Weinitzen</t>
  </si>
  <si>
    <t>Wenisbuch</t>
  </si>
  <si>
    <t>Freidorf an der Laßnitz</t>
  </si>
  <si>
    <t>Gleinz</t>
  </si>
  <si>
    <t>Laßnitz</t>
  </si>
  <si>
    <t>Schamberg</t>
  </si>
  <si>
    <t>Zeierling</t>
  </si>
  <si>
    <t>Blumegg</t>
  </si>
  <si>
    <t>Breitenbach</t>
  </si>
  <si>
    <t>Teipl</t>
  </si>
  <si>
    <t>Jagernigg</t>
  </si>
  <si>
    <t>Pölfing</t>
  </si>
  <si>
    <t>Tobis</t>
  </si>
  <si>
    <t>Wieselsdorf</t>
  </si>
  <si>
    <t>Oisnitz</t>
  </si>
  <si>
    <t>St. Josef (Weststeiermark)</t>
  </si>
  <si>
    <t>Tobisegg</t>
  </si>
  <si>
    <t>Freidorf im Sulmtal</t>
  </si>
  <si>
    <t>Korbin</t>
  </si>
  <si>
    <t>St. Peter im Sulmtal</t>
  </si>
  <si>
    <t>Lassenberg</t>
  </si>
  <si>
    <t>Schönaich</t>
  </si>
  <si>
    <t>Weniggleinz</t>
  </si>
  <si>
    <t>Wohlsdorf</t>
  </si>
  <si>
    <t>Zehndorf</t>
  </si>
  <si>
    <t>Bösenbach</t>
  </si>
  <si>
    <t>Burgegg</t>
  </si>
  <si>
    <t>Hinterleiten</t>
  </si>
  <si>
    <t>Hörbing</t>
  </si>
  <si>
    <t>Klosterwinkel</t>
  </si>
  <si>
    <t>Kruckenberg</t>
  </si>
  <si>
    <t>Leibenfeld</t>
  </si>
  <si>
    <t>Mitterspiel</t>
  </si>
  <si>
    <t>Oberlaufenegg</t>
  </si>
  <si>
    <t>Rettenbach-Kloster</t>
  </si>
  <si>
    <t>Rostock</t>
  </si>
  <si>
    <t>Trahütten</t>
  </si>
  <si>
    <t>Unterlaufenegg</t>
  </si>
  <si>
    <t>Warnblick</t>
  </si>
  <si>
    <t>Wildbach</t>
  </si>
  <si>
    <t>Wildbachdorf</t>
  </si>
  <si>
    <t>Bergegg</t>
  </si>
  <si>
    <t>Feldbaum</t>
  </si>
  <si>
    <t>Gams</t>
  </si>
  <si>
    <t>Gersdorf</t>
  </si>
  <si>
    <t>Greim</t>
  </si>
  <si>
    <t>Hohenfeld</t>
  </si>
  <si>
    <t>Müllegg</t>
  </si>
  <si>
    <t>Niedergams</t>
  </si>
  <si>
    <t>Sallegg</t>
  </si>
  <si>
    <t>Vochera am Weinberg</t>
  </si>
  <si>
    <t>Aibl</t>
  </si>
  <si>
    <t>Bachholz</t>
  </si>
  <si>
    <t>Bischofegg</t>
  </si>
  <si>
    <t>St. Oswald ob Eibiswald</t>
  </si>
  <si>
    <t>Feisternitz</t>
  </si>
  <si>
    <t>Hadernigg</t>
  </si>
  <si>
    <t>Hörmsdorf</t>
  </si>
  <si>
    <t>Kleinradl</t>
  </si>
  <si>
    <t>Kornriegl</t>
  </si>
  <si>
    <t>Laaken</t>
  </si>
  <si>
    <t>Mitterstraßen</t>
  </si>
  <si>
    <t>Oberlatein</t>
  </si>
  <si>
    <t>Pitschgau</t>
  </si>
  <si>
    <t>Pongratzen</t>
  </si>
  <si>
    <t>Rothwein</t>
  </si>
  <si>
    <t>Soboth</t>
  </si>
  <si>
    <t>Stammeregg</t>
  </si>
  <si>
    <t>Staritsch</t>
  </si>
  <si>
    <t>Sterglegg</t>
  </si>
  <si>
    <t>Wuggitz</t>
  </si>
  <si>
    <t>Groß St. Florian</t>
  </si>
  <si>
    <t>Gussendorf</t>
  </si>
  <si>
    <t>Hasreith</t>
  </si>
  <si>
    <t>Kraubath</t>
  </si>
  <si>
    <t>Michlgleinz</t>
  </si>
  <si>
    <t>Mönichgleinz</t>
  </si>
  <si>
    <t>Nassau</t>
  </si>
  <si>
    <t>Sulzhof</t>
  </si>
  <si>
    <t>Tanzelsdorf</t>
  </si>
  <si>
    <t>Unterbergla</t>
  </si>
  <si>
    <t>Vochera an der Laßnitz</t>
  </si>
  <si>
    <t>Dörfla</t>
  </si>
  <si>
    <t>Greith</t>
  </si>
  <si>
    <t>Gutenacker</t>
  </si>
  <si>
    <t>Otternitz</t>
  </si>
  <si>
    <t>Reitererberg</t>
  </si>
  <si>
    <t>Sulb</t>
  </si>
  <si>
    <t>Bergla</t>
  </si>
  <si>
    <t>Oberhart</t>
  </si>
  <si>
    <t>Gasselsdorf</t>
  </si>
  <si>
    <t>Kopreinigg</t>
  </si>
  <si>
    <t>Pitschgauegg</t>
  </si>
  <si>
    <t>Tombach</t>
  </si>
  <si>
    <t>Graschach</t>
  </si>
  <si>
    <t>Greisdorf</t>
  </si>
  <si>
    <t>Gruberg</t>
  </si>
  <si>
    <t>Gundersdorf</t>
  </si>
  <si>
    <t>Lemsitz</t>
  </si>
  <si>
    <t>Lichtenhof</t>
  </si>
  <si>
    <t>Pirkhof</t>
  </si>
  <si>
    <t>Zirknitz</t>
  </si>
  <si>
    <t>Steinreib</t>
  </si>
  <si>
    <t>Aichegg</t>
  </si>
  <si>
    <t>Bad Schwanberg</t>
  </si>
  <si>
    <t>Garanas</t>
  </si>
  <si>
    <t>Gressenberg</t>
  </si>
  <si>
    <t>Hohlbach</t>
  </si>
  <si>
    <t>Hollenegg</t>
  </si>
  <si>
    <t>Kresbach</t>
  </si>
  <si>
    <t>Mainsdorf</t>
  </si>
  <si>
    <t>Oberfresen</t>
  </si>
  <si>
    <t>Rettenbach-Hollenegg</t>
  </si>
  <si>
    <t>Trag</t>
  </si>
  <si>
    <t>Gamsgebirg</t>
  </si>
  <si>
    <t>Graggerer</t>
  </si>
  <si>
    <t>Graschuh</t>
  </si>
  <si>
    <t>Herbersdorf</t>
  </si>
  <si>
    <t>Kothvogl</t>
  </si>
  <si>
    <t>Lasselsdorf</t>
  </si>
  <si>
    <t>Mettersdorf</t>
  </si>
  <si>
    <t>Neurath</t>
  </si>
  <si>
    <t>Rassach</t>
  </si>
  <si>
    <t>Rossegg</t>
  </si>
  <si>
    <t>Sierling</t>
  </si>
  <si>
    <t>Stallhof</t>
  </si>
  <si>
    <t>Teufenbach</t>
  </si>
  <si>
    <t>Trog</t>
  </si>
  <si>
    <t>Aug</t>
  </si>
  <si>
    <t>Buchegg</t>
  </si>
  <si>
    <t>Buchenberg-Burgstall</t>
  </si>
  <si>
    <t>Etzendorf</t>
  </si>
  <si>
    <t>Gaißeregg</t>
  </si>
  <si>
    <t>Mitterlimberg</t>
  </si>
  <si>
    <t>Pörbach</t>
  </si>
  <si>
    <t>Unterfresen</t>
  </si>
  <si>
    <t>Vordersdorf</t>
  </si>
  <si>
    <t>Wiel St. Anna</t>
  </si>
  <si>
    <t>Wiel St. Oswald</t>
  </si>
  <si>
    <t>Lebern</t>
  </si>
  <si>
    <t>Wagnitz</t>
  </si>
  <si>
    <t>Thondorf</t>
  </si>
  <si>
    <t>Forstviertel</t>
  </si>
  <si>
    <t>Freßnitz</t>
  </si>
  <si>
    <t>Friesach-St. Stefan</t>
  </si>
  <si>
    <t>Kirchenviertel</t>
  </si>
  <si>
    <t>Gratkorn-St. Veit ob Graz</t>
  </si>
  <si>
    <t>Hart bei St. Peter</t>
  </si>
  <si>
    <t>Messendorf</t>
  </si>
  <si>
    <t>Haselsdorf</t>
  </si>
  <si>
    <t>Hönigthal</t>
  </si>
  <si>
    <t>Kainbach</t>
  </si>
  <si>
    <t>Schafthal</t>
  </si>
  <si>
    <t>Großsulz</t>
  </si>
  <si>
    <t>Kalsdorf</t>
  </si>
  <si>
    <t>Thalerhof</t>
  </si>
  <si>
    <t>Hofstätten</t>
  </si>
  <si>
    <t>Rabnitz</t>
  </si>
  <si>
    <t>Jaritzberg</t>
  </si>
  <si>
    <t>St. Bartholomä</t>
  </si>
  <si>
    <t>Plankenwarth</t>
  </si>
  <si>
    <t>St. Oswald bei Plankenwarth</t>
  </si>
  <si>
    <t>Rinnegg</t>
  </si>
  <si>
    <t>Schöckl</t>
  </si>
  <si>
    <t>Markterviertel</t>
  </si>
  <si>
    <t>Stattegg-St. Veit ob Graz</t>
  </si>
  <si>
    <t>Kleinthal</t>
  </si>
  <si>
    <t>Übelbach Land</t>
  </si>
  <si>
    <t>Übelbach Markt</t>
  </si>
  <si>
    <t>Breitenhilm</t>
  </si>
  <si>
    <t>Premstätten bei Vasoldsberg</t>
  </si>
  <si>
    <t>Wagersbach</t>
  </si>
  <si>
    <t>Fölling</t>
  </si>
  <si>
    <t>Niederschöckl</t>
  </si>
  <si>
    <t>Großstübing</t>
  </si>
  <si>
    <t>Kleinstübing</t>
  </si>
  <si>
    <t>Königgraben</t>
  </si>
  <si>
    <t>Prenning</t>
  </si>
  <si>
    <t>Stübinggraben</t>
  </si>
  <si>
    <t>Waldstein</t>
  </si>
  <si>
    <t>Dobl</t>
  </si>
  <si>
    <t>Muttendorf</t>
  </si>
  <si>
    <t>Zwaring</t>
  </si>
  <si>
    <t>Petzendorf</t>
  </si>
  <si>
    <t>Pöls</t>
  </si>
  <si>
    <t>Wuschan</t>
  </si>
  <si>
    <t>Affenberg</t>
  </si>
  <si>
    <t>Brodersdorf</t>
  </si>
  <si>
    <t>Edelsbach</t>
  </si>
  <si>
    <t>Hart bei Eggersdorf</t>
  </si>
  <si>
    <t>Präbach</t>
  </si>
  <si>
    <t>Gnaning</t>
  </si>
  <si>
    <t>Mellach</t>
  </si>
  <si>
    <t>Adriach</t>
  </si>
  <si>
    <t>Gamsgraben</t>
  </si>
  <si>
    <t>Laufnitzdorf</t>
  </si>
  <si>
    <t>Laufnitzgraben</t>
  </si>
  <si>
    <t>Mauritzen</t>
  </si>
  <si>
    <t>Pfannberg</t>
  </si>
  <si>
    <t>Rothleiten</t>
  </si>
  <si>
    <t>Röthelstein</t>
  </si>
  <si>
    <t>Wannersdorf</t>
  </si>
  <si>
    <t>Eisbach</t>
  </si>
  <si>
    <t>Gratwein</t>
  </si>
  <si>
    <t>Gschnaidt</t>
  </si>
  <si>
    <t>Hörgas</t>
  </si>
  <si>
    <t>Judendorf-Straßengel</t>
  </si>
  <si>
    <t>Kehr und Plesch</t>
  </si>
  <si>
    <t>Attendorf</t>
  </si>
  <si>
    <t>Mantscha</t>
  </si>
  <si>
    <t>Mayersdorf</t>
  </si>
  <si>
    <t>Michlbach</t>
  </si>
  <si>
    <t>Pirka-Söding</t>
  </si>
  <si>
    <t>Schadendorfberg</t>
  </si>
  <si>
    <t>Edelsgrub</t>
  </si>
  <si>
    <t>Mitterlaßnitz</t>
  </si>
  <si>
    <t>Nestelbach</t>
  </si>
  <si>
    <t>Grambach</t>
  </si>
  <si>
    <t>Raaba</t>
  </si>
  <si>
    <t>Petersdorf II</t>
  </si>
  <si>
    <t>Krumegg</t>
  </si>
  <si>
    <t>St. Marein am Pickelbach</t>
  </si>
  <si>
    <t>Pirka-Eggenberg</t>
  </si>
  <si>
    <t>Seiersberg</t>
  </si>
  <si>
    <t>Laa</t>
  </si>
  <si>
    <t>Oberpremstätten</t>
  </si>
  <si>
    <t>Unterpremstätten</t>
  </si>
  <si>
    <t>Zettling</t>
  </si>
  <si>
    <t>Feiting</t>
  </si>
  <si>
    <t>Maltschach</t>
  </si>
  <si>
    <t>Landscha</t>
  </si>
  <si>
    <t>Neudorf an der Mur</t>
  </si>
  <si>
    <t>Obergralla</t>
  </si>
  <si>
    <t>Untergralla</t>
  </si>
  <si>
    <t>Burgstall</t>
  </si>
  <si>
    <t>Goldes</t>
  </si>
  <si>
    <t>Mantrach</t>
  </si>
  <si>
    <t>Mattelsberg</t>
  </si>
  <si>
    <t>Nestelberg bei Großklein</t>
  </si>
  <si>
    <t>Oberfahrenbach</t>
  </si>
  <si>
    <t>Kittenberg</t>
  </si>
  <si>
    <t>Muggenau</t>
  </si>
  <si>
    <t>Nestelberg bei Heimschuh</t>
  </si>
  <si>
    <t>Unterfahrenbach</t>
  </si>
  <si>
    <t>Fliessing</t>
  </si>
  <si>
    <t>Komberg</t>
  </si>
  <si>
    <t>Kühberg</t>
  </si>
  <si>
    <t>Schrötten</t>
  </si>
  <si>
    <t>Brudersegg</t>
  </si>
  <si>
    <t>Fresing</t>
  </si>
  <si>
    <t>Gauitsch</t>
  </si>
  <si>
    <t>Steinriegel</t>
  </si>
  <si>
    <t>Göttling</t>
  </si>
  <si>
    <t>Jöss</t>
  </si>
  <si>
    <t>Langaberg</t>
  </si>
  <si>
    <t>Schirka</t>
  </si>
  <si>
    <t>Stangersdorf</t>
  </si>
  <si>
    <t>Lebring</t>
  </si>
  <si>
    <t>Altenbach</t>
  </si>
  <si>
    <t>Kitzelsdorf</t>
  </si>
  <si>
    <t>Krast</t>
  </si>
  <si>
    <t>Lieschen</t>
  </si>
  <si>
    <t>Obergreith</t>
  </si>
  <si>
    <t>Brünngraben</t>
  </si>
  <si>
    <t>Fantsch</t>
  </si>
  <si>
    <t>Neudorf im Sausal</t>
  </si>
  <si>
    <t>Rettenberg</t>
  </si>
  <si>
    <t>St. Andrä im Sausal</t>
  </si>
  <si>
    <t>Sausal-Kerschegg</t>
  </si>
  <si>
    <t>Eichberg-Arnfels</t>
  </si>
  <si>
    <t>Gündorf</t>
  </si>
  <si>
    <t>Praratheregg</t>
  </si>
  <si>
    <t>Radiga</t>
  </si>
  <si>
    <t>Saggau</t>
  </si>
  <si>
    <t>St. Johann im Saggautal</t>
  </si>
  <si>
    <t>Untergreith</t>
  </si>
  <si>
    <t>Flamberg</t>
  </si>
  <si>
    <t>Grötsch</t>
  </si>
  <si>
    <t>Lamperstätten</t>
  </si>
  <si>
    <t>Mollitsch</t>
  </si>
  <si>
    <t>Oberjahring</t>
  </si>
  <si>
    <t>Petzles</t>
  </si>
  <si>
    <t>St. Nikolai im Sausal</t>
  </si>
  <si>
    <t>Unterjahring</t>
  </si>
  <si>
    <t>Waldschach</t>
  </si>
  <si>
    <t>Maxlon</t>
  </si>
  <si>
    <t>Leitring</t>
  </si>
  <si>
    <t>Ehrenhausen</t>
  </si>
  <si>
    <t>Ehrenhausen an der Weinstraße</t>
  </si>
  <si>
    <t>Ewitsch</t>
  </si>
  <si>
    <t>Ratsch</t>
  </si>
  <si>
    <t>Retznei</t>
  </si>
  <si>
    <t>Unterlupitscheni</t>
  </si>
  <si>
    <t>Wielitsch</t>
  </si>
  <si>
    <t>Eckberg</t>
  </si>
  <si>
    <t>Grubthal</t>
  </si>
  <si>
    <t>Kranachberg</t>
  </si>
  <si>
    <t>Labitschberg</t>
  </si>
  <si>
    <t>Sernau</t>
  </si>
  <si>
    <t>Sulztal</t>
  </si>
  <si>
    <t>Dornach</t>
  </si>
  <si>
    <t>Mayerhof</t>
  </si>
  <si>
    <t>Pistorf</t>
  </si>
  <si>
    <t>Prarath</t>
  </si>
  <si>
    <t>Sausal bei Pistorf</t>
  </si>
  <si>
    <t>Felgitsch</t>
  </si>
  <si>
    <t>St. Ulrich am Waasen</t>
  </si>
  <si>
    <t>Wutschdorf</t>
  </si>
  <si>
    <t>Grottenhofen</t>
  </si>
  <si>
    <t>Kaindorf an der Sulm</t>
  </si>
  <si>
    <t>Kogelberg</t>
  </si>
  <si>
    <t>Oberlupitscheni</t>
  </si>
  <si>
    <t>Seggauberg</t>
  </si>
  <si>
    <t>Eichberg-Trautenburg</t>
  </si>
  <si>
    <t>Fötschach</t>
  </si>
  <si>
    <t>Glanz</t>
  </si>
  <si>
    <t>Großwalz</t>
  </si>
  <si>
    <t>Kranach</t>
  </si>
  <si>
    <t>Leutschach</t>
  </si>
  <si>
    <t>Pößnitz</t>
  </si>
  <si>
    <t>Remschnigg</t>
  </si>
  <si>
    <t>Schloßberg</t>
  </si>
  <si>
    <t>Lappach</t>
  </si>
  <si>
    <t>St. Georgen an der Stiefing</t>
  </si>
  <si>
    <t>Maggau</t>
  </si>
  <si>
    <t>Mitterlabill</t>
  </si>
  <si>
    <t>Unterlabill</t>
  </si>
  <si>
    <t>Hainsdorf</t>
  </si>
  <si>
    <t>Marchtring</t>
  </si>
  <si>
    <t>Kainach</t>
  </si>
  <si>
    <t>Stocking</t>
  </si>
  <si>
    <t>Sukdull</t>
  </si>
  <si>
    <t>Unterhaus</t>
  </si>
  <si>
    <t>Hütt</t>
  </si>
  <si>
    <t>Labuttendorf</t>
  </si>
  <si>
    <t>Lipsch</t>
  </si>
  <si>
    <t>Neutersdorf</t>
  </si>
  <si>
    <t>St. Nikolai ob Draßling</t>
  </si>
  <si>
    <t>St. Veit am Vogau</t>
  </si>
  <si>
    <t>Perbersdorf bei St. Veit</t>
  </si>
  <si>
    <t>Pichla</t>
  </si>
  <si>
    <t>Seibersdorf bei St. Veit</t>
  </si>
  <si>
    <t>Siebing</t>
  </si>
  <si>
    <t>Graßnitzberg</t>
  </si>
  <si>
    <t>Obegg</t>
  </si>
  <si>
    <t>Obervogau</t>
  </si>
  <si>
    <t>Spielfeld</t>
  </si>
  <si>
    <t>Untervogau</t>
  </si>
  <si>
    <t>Lichendorf</t>
  </si>
  <si>
    <t>Oberschwarza</t>
  </si>
  <si>
    <t>Unterschwarza</t>
  </si>
  <si>
    <t>Krumpental</t>
  </si>
  <si>
    <t>Münichthal</t>
  </si>
  <si>
    <t>Trofeng</t>
  </si>
  <si>
    <t>Pisching</t>
  </si>
  <si>
    <t>Dirnsdorf</t>
  </si>
  <si>
    <t>Leims</t>
  </si>
  <si>
    <t>Mötschendorf</t>
  </si>
  <si>
    <t>Kraubathgraben</t>
  </si>
  <si>
    <t>Donawitz</t>
  </si>
  <si>
    <t>Göß</t>
  </si>
  <si>
    <t>Gößgraben-Göß</t>
  </si>
  <si>
    <t>Leitendorf</t>
  </si>
  <si>
    <t>Prettach</t>
  </si>
  <si>
    <t>Schladnitzgraben</t>
  </si>
  <si>
    <t>Eselberg</t>
  </si>
  <si>
    <t>Liesingau</t>
  </si>
  <si>
    <t>Magdwiesen</t>
  </si>
  <si>
    <t>Rannach</t>
  </si>
  <si>
    <t>Reitingau</t>
  </si>
  <si>
    <t>Foirach</t>
  </si>
  <si>
    <t>Niklasdorfgraben</t>
  </si>
  <si>
    <t>Kletschach</t>
  </si>
  <si>
    <t>Köllach</t>
  </si>
  <si>
    <t>Prentgraben</t>
  </si>
  <si>
    <t>Radmer an der Hasel</t>
  </si>
  <si>
    <t>Radmer an der Stube</t>
  </si>
  <si>
    <t>Hinterlainsach</t>
  </si>
  <si>
    <t>Jassing</t>
  </si>
  <si>
    <t>Liesingthal</t>
  </si>
  <si>
    <t>St. Michael in Obersteiermark</t>
  </si>
  <si>
    <t>Vorderlainsach</t>
  </si>
  <si>
    <t>Hessenberg</t>
  </si>
  <si>
    <t>St. Peter-Freienstein</t>
  </si>
  <si>
    <t>Tollinggraben</t>
  </si>
  <si>
    <t>Traidersberg</t>
  </si>
  <si>
    <t>Kaisersberg</t>
  </si>
  <si>
    <t>Lichtensteinerberg</t>
  </si>
  <si>
    <t>Lobming</t>
  </si>
  <si>
    <t>Madstein</t>
  </si>
  <si>
    <t>Timmersdorf</t>
  </si>
  <si>
    <t>Melling</t>
  </si>
  <si>
    <t>Gai</t>
  </si>
  <si>
    <t>Gimplach</t>
  </si>
  <si>
    <t>Gößgraben-Freienstein</t>
  </si>
  <si>
    <t>Krumpen</t>
  </si>
  <si>
    <t>Laintal</t>
  </si>
  <si>
    <t>Rötz</t>
  </si>
  <si>
    <t>Schardorf</t>
  </si>
  <si>
    <t>Treffning</t>
  </si>
  <si>
    <t>Gatschen</t>
  </si>
  <si>
    <t>Ketten</t>
  </si>
  <si>
    <t>Lantschern</t>
  </si>
  <si>
    <t>Vorberg</t>
  </si>
  <si>
    <t>Lupitsch</t>
  </si>
  <si>
    <t>Essling</t>
  </si>
  <si>
    <t>Obertressen</t>
  </si>
  <si>
    <t>Straßen</t>
  </si>
  <si>
    <t>Ennsling</t>
  </si>
  <si>
    <t>Oberhaus</t>
  </si>
  <si>
    <t>Lassing Schattseite</t>
  </si>
  <si>
    <t>Lassing Sonnseite</t>
  </si>
  <si>
    <t>Johnsbach</t>
  </si>
  <si>
    <t>Krumau</t>
  </si>
  <si>
    <t>Oberhall</t>
  </si>
  <si>
    <t>Unterhall</t>
  </si>
  <si>
    <t>Gössenberg</t>
  </si>
  <si>
    <t>Krungl</t>
  </si>
  <si>
    <t>Klachau</t>
  </si>
  <si>
    <t>Tauplitz</t>
  </si>
  <si>
    <t>Gaishorn</t>
  </si>
  <si>
    <t>Treglwang</t>
  </si>
  <si>
    <t>Altirdning</t>
  </si>
  <si>
    <t>Donnersbach</t>
  </si>
  <si>
    <t>Donnersbachwald</t>
  </si>
  <si>
    <t>Erlsberg</t>
  </si>
  <si>
    <t>Irdning</t>
  </si>
  <si>
    <t>Raumberg</t>
  </si>
  <si>
    <t>Hieflau</t>
  </si>
  <si>
    <t>Jassingau</t>
  </si>
  <si>
    <t>Krippau</t>
  </si>
  <si>
    <t>Palfau</t>
  </si>
  <si>
    <t>Pyhrn</t>
  </si>
  <si>
    <t>Reithtal</t>
  </si>
  <si>
    <t>Weißenbach bei Liezen</t>
  </si>
  <si>
    <t>Michaelerberg</t>
  </si>
  <si>
    <t>Pruggern</t>
  </si>
  <si>
    <t>Diemlern</t>
  </si>
  <si>
    <t>Niederöblarn</t>
  </si>
  <si>
    <t>Büschendorf</t>
  </si>
  <si>
    <t>Edlach</t>
  </si>
  <si>
    <t>Oppenberg</t>
  </si>
  <si>
    <t>Singsdorf</t>
  </si>
  <si>
    <t>Bergerviertel</t>
  </si>
  <si>
    <t>Reiflingviertel</t>
  </si>
  <si>
    <t>St. Gallen</t>
  </si>
  <si>
    <t>Weißenbach an der Enns</t>
  </si>
  <si>
    <t>Wolfsbachau</t>
  </si>
  <si>
    <t>Preunegg</t>
  </si>
  <si>
    <t>Rohrmoos</t>
  </si>
  <si>
    <t>Untertal</t>
  </si>
  <si>
    <t>Großsölk</t>
  </si>
  <si>
    <t>Kleinsölk</t>
  </si>
  <si>
    <t>Pürgg</t>
  </si>
  <si>
    <t>Stainach</t>
  </si>
  <si>
    <t>Zlem</t>
  </si>
  <si>
    <t>Jakobsberg</t>
  </si>
  <si>
    <t>Noreia</t>
  </si>
  <si>
    <t>St. Peter am Kammersberg</t>
  </si>
  <si>
    <t>Kammersberg</t>
  </si>
  <si>
    <t>Mitterdorf</t>
  </si>
  <si>
    <t>Peterdorf</t>
  </si>
  <si>
    <t>Schöderberg</t>
  </si>
  <si>
    <t>Krakaudorf</t>
  </si>
  <si>
    <t>Krakauhintermühlen</t>
  </si>
  <si>
    <t>Krakauschatten</t>
  </si>
  <si>
    <t>Egidi</t>
  </si>
  <si>
    <t>Laßnitz-Lambrecht</t>
  </si>
  <si>
    <t>Laßnitz-Murau</t>
  </si>
  <si>
    <t>Stolzalpe</t>
  </si>
  <si>
    <t>Triebendorf</t>
  </si>
  <si>
    <t>Adendorf</t>
  </si>
  <si>
    <t>Perchau</t>
  </si>
  <si>
    <t>Zeutschach</t>
  </si>
  <si>
    <t>Hinterburg</t>
  </si>
  <si>
    <t>Raiming</t>
  </si>
  <si>
    <t>Salchau</t>
  </si>
  <si>
    <t>Schöttl</t>
  </si>
  <si>
    <t>Freiberg</t>
  </si>
  <si>
    <t>Rinegg</t>
  </si>
  <si>
    <t>Tratten</t>
  </si>
  <si>
    <t>Lutzmannsdorf</t>
  </si>
  <si>
    <t>St. Georgen ob Murau</t>
  </si>
  <si>
    <t>St. Blasen</t>
  </si>
  <si>
    <t>St. Lambrecht</t>
  </si>
  <si>
    <t>Feßnach</t>
  </si>
  <si>
    <t>Puchfeld</t>
  </si>
  <si>
    <t>Einach</t>
  </si>
  <si>
    <t>Predlitz</t>
  </si>
  <si>
    <t>Frojach</t>
  </si>
  <si>
    <t>Katsch</t>
  </si>
  <si>
    <t>Gaisfeld</t>
  </si>
  <si>
    <t>Gasselberg</t>
  </si>
  <si>
    <t>Grabenwarth</t>
  </si>
  <si>
    <t>Oberwald</t>
  </si>
  <si>
    <t>Fluttendorf</t>
  </si>
  <si>
    <t>Neudorf bei Mooskirchen</t>
  </si>
  <si>
    <t>Stögersdorf</t>
  </si>
  <si>
    <t>Gießenberg</t>
  </si>
  <si>
    <t>Großwöllmiß</t>
  </si>
  <si>
    <t>Kleinwöllmiß</t>
  </si>
  <si>
    <t>Kalchberg</t>
  </si>
  <si>
    <t>Muggauberg</t>
  </si>
  <si>
    <t>Raßberg</t>
  </si>
  <si>
    <t>Arnstein</t>
  </si>
  <si>
    <t>Kowald</t>
  </si>
  <si>
    <t>Lobmingberg</t>
  </si>
  <si>
    <t>Voitsberg Stadt</t>
  </si>
  <si>
    <t>Thallein</t>
  </si>
  <si>
    <t>Tregist</t>
  </si>
  <si>
    <t>Voitsberg Vorstadt</t>
  </si>
  <si>
    <t>Hochtregist</t>
  </si>
  <si>
    <t>Piberegg</t>
  </si>
  <si>
    <t>Modriach</t>
  </si>
  <si>
    <t>Eggartsberg</t>
  </si>
  <si>
    <t>Geistthal</t>
  </si>
  <si>
    <t>Kleinalpe</t>
  </si>
  <si>
    <t>Södingberg</t>
  </si>
  <si>
    <t>Hirschegg-Piber</t>
  </si>
  <si>
    <t>Hirschegg-Rein</t>
  </si>
  <si>
    <t>Pack</t>
  </si>
  <si>
    <t>Gallmannsegg</t>
  </si>
  <si>
    <t>Kohlschwarz</t>
  </si>
  <si>
    <t>Oswaldgraben</t>
  </si>
  <si>
    <t>Graden-Piber</t>
  </si>
  <si>
    <t>Gradenberg</t>
  </si>
  <si>
    <t>Gradenberg-Piber</t>
  </si>
  <si>
    <t>Piber</t>
  </si>
  <si>
    <t>Pichling bei Köflach</t>
  </si>
  <si>
    <t>Puchbach</t>
  </si>
  <si>
    <t>Gößnitz</t>
  </si>
  <si>
    <t>Kemetberg</t>
  </si>
  <si>
    <t>Lankowitz</t>
  </si>
  <si>
    <t>Salla</t>
  </si>
  <si>
    <t>Scherzberg</t>
  </si>
  <si>
    <t>Großsöding</t>
  </si>
  <si>
    <t>Hallersdorf</t>
  </si>
  <si>
    <t>Hausdorf</t>
  </si>
  <si>
    <t>Kleinsöding</t>
  </si>
  <si>
    <t>Köppling</t>
  </si>
  <si>
    <t>Moosing</t>
  </si>
  <si>
    <t>Neudorf bei St. Johann</t>
  </si>
  <si>
    <t>Pichling bei Mooskirchen</t>
  </si>
  <si>
    <t>St. Johann ob Hohenburg</t>
  </si>
  <si>
    <t>Albersdorf</t>
  </si>
  <si>
    <t>Postelgraben</t>
  </si>
  <si>
    <t>Prebuch</t>
  </si>
  <si>
    <t>Wollsdorferegg</t>
  </si>
  <si>
    <t>Völlegg</t>
  </si>
  <si>
    <t>Unterfeistritz</t>
  </si>
  <si>
    <t>Amassegg</t>
  </si>
  <si>
    <t>Mitterbach</t>
  </si>
  <si>
    <t>Sonnleitberg</t>
  </si>
  <si>
    <t>Hartmannsdorf</t>
  </si>
  <si>
    <t>Pöllau bei Gleisdorf</t>
  </si>
  <si>
    <t>Pirching</t>
  </si>
  <si>
    <t>Wetzawinkel</t>
  </si>
  <si>
    <t>Wünschendorf</t>
  </si>
  <si>
    <t>Flöcking</t>
  </si>
  <si>
    <t>Ludersdorf</t>
  </si>
  <si>
    <t>Pircha</t>
  </si>
  <si>
    <t>Weiglhof</t>
  </si>
  <si>
    <t>Hohenkogl</t>
  </si>
  <si>
    <t>Oberdorf bei Stadl</t>
  </si>
  <si>
    <t>Göttelsberg</t>
  </si>
  <si>
    <t>Leska</t>
  </si>
  <si>
    <t>Affenthal</t>
  </si>
  <si>
    <t>Birchbaum</t>
  </si>
  <si>
    <t>Dürnthal</t>
  </si>
  <si>
    <t>Gschaid bei Weiz</t>
  </si>
  <si>
    <t>Elz</t>
  </si>
  <si>
    <t>Harl</t>
  </si>
  <si>
    <t>Klettendorf</t>
  </si>
  <si>
    <t>Grubbauer</t>
  </si>
  <si>
    <t>Inneres Kaltenegg</t>
  </si>
  <si>
    <t>Landau</t>
  </si>
  <si>
    <t>St. Kathrein am Hauenstein</t>
  </si>
  <si>
    <t>Kathrein I. Viertel</t>
  </si>
  <si>
    <t>Kathrein II. Viertel</t>
  </si>
  <si>
    <t>Entschendorf</t>
  </si>
  <si>
    <t>St. Margarethen an der Raab</t>
  </si>
  <si>
    <t>Takern I</t>
  </si>
  <si>
    <t>Takern II</t>
  </si>
  <si>
    <t>Egelsdorf</t>
  </si>
  <si>
    <t>Frösauberg</t>
  </si>
  <si>
    <t>Frösaugraben</t>
  </si>
  <si>
    <t>Fünfing bei Gleisdorf</t>
  </si>
  <si>
    <t>Gnieß</t>
  </si>
  <si>
    <t>Nagl</t>
  </si>
  <si>
    <t>Obergroßau</t>
  </si>
  <si>
    <t>Untergroßau</t>
  </si>
  <si>
    <t>Unterrettenbach</t>
  </si>
  <si>
    <t>Ausseregg</t>
  </si>
  <si>
    <t>Pacher</t>
  </si>
  <si>
    <t>Oberdorf bei Thannhausen</t>
  </si>
  <si>
    <t>Peesen</t>
  </si>
  <si>
    <t>Ponigl</t>
  </si>
  <si>
    <t>Raas</t>
  </si>
  <si>
    <t>Trennstein</t>
  </si>
  <si>
    <t>Naintsch</t>
  </si>
  <si>
    <t>Oberfeistritz</t>
  </si>
  <si>
    <t>Offenegg</t>
  </si>
  <si>
    <t>Viertelfeistritz</t>
  </si>
  <si>
    <t>Gschaid bei Birkfeld</t>
  </si>
  <si>
    <t>Piregg</t>
  </si>
  <si>
    <t>Rabendorf</t>
  </si>
  <si>
    <t>Waisenegg</t>
  </si>
  <si>
    <t>Tulwitzdorf</t>
  </si>
  <si>
    <t>Tulwitzviertel</t>
  </si>
  <si>
    <t>Fladnitz an der Teichalpe</t>
  </si>
  <si>
    <t>Gschmaier</t>
  </si>
  <si>
    <t>Hartensdorf</t>
  </si>
  <si>
    <t>Oberrettenbach</t>
  </si>
  <si>
    <t>Arnwiesen</t>
  </si>
  <si>
    <t>Gamling</t>
  </si>
  <si>
    <t>Labuch</t>
  </si>
  <si>
    <t>Nitscha</t>
  </si>
  <si>
    <t>Ungerdorf</t>
  </si>
  <si>
    <t>Unterlaßnitz</t>
  </si>
  <si>
    <t>Urscha</t>
  </si>
  <si>
    <t>Garrach</t>
  </si>
  <si>
    <t>Kleinsemmering</t>
  </si>
  <si>
    <t>Stenzengreith</t>
  </si>
  <si>
    <t>Stockheim</t>
  </si>
  <si>
    <t>Großpesendorf</t>
  </si>
  <si>
    <t>Nitschaberg</t>
  </si>
  <si>
    <t>Prebensdorf</t>
  </si>
  <si>
    <t>Preßguts</t>
  </si>
  <si>
    <t>Wolfsgruben bei Gleisdorf</t>
  </si>
  <si>
    <t>Haufenreith</t>
  </si>
  <si>
    <t>Kramersdorf</t>
  </si>
  <si>
    <t>Neudorf bei Semriach</t>
  </si>
  <si>
    <t>Plenzengreith</t>
  </si>
  <si>
    <t>Tober</t>
  </si>
  <si>
    <t>Kulming</t>
  </si>
  <si>
    <t>Reichendorf</t>
  </si>
  <si>
    <t>Romatschachen</t>
  </si>
  <si>
    <t>Schachen</t>
  </si>
  <si>
    <t>Fünfing bei St. Ruprecht</t>
  </si>
  <si>
    <t>Kühwiesen</t>
  </si>
  <si>
    <t>Lohngraben</t>
  </si>
  <si>
    <t>Neudorf bei St. Ruprecht</t>
  </si>
  <si>
    <t>St. Ruprecht an der Raab</t>
  </si>
  <si>
    <t>Unterfladnitz</t>
  </si>
  <si>
    <t>Wolfsgruben bei St. Ruprecht</t>
  </si>
  <si>
    <t>Wollsdorf</t>
  </si>
  <si>
    <t>Büchel</t>
  </si>
  <si>
    <t>Farcha</t>
  </si>
  <si>
    <t>Nöstl</t>
  </si>
  <si>
    <t>Reggerstätten</t>
  </si>
  <si>
    <t>Aichdorf</t>
  </si>
  <si>
    <t>Hetzendorf</t>
  </si>
  <si>
    <t>Kumpitz</t>
  </si>
  <si>
    <t>Sillweg</t>
  </si>
  <si>
    <t>Graden</t>
  </si>
  <si>
    <t>Ingering II</t>
  </si>
  <si>
    <t>Puchschachen</t>
  </si>
  <si>
    <t>Farrach</t>
  </si>
  <si>
    <t>Raßnitz</t>
  </si>
  <si>
    <t>Pichlhofen</t>
  </si>
  <si>
    <t>Scheiben</t>
  </si>
  <si>
    <t>Wöll</t>
  </si>
  <si>
    <t>Feistritzgraben</t>
  </si>
  <si>
    <t>Möschitzgraben</t>
  </si>
  <si>
    <t>Rothenthurm</t>
  </si>
  <si>
    <t>Frauenburg</t>
  </si>
  <si>
    <t>Unzmarkt</t>
  </si>
  <si>
    <t>Großlobming</t>
  </si>
  <si>
    <t>Kleinlobming</t>
  </si>
  <si>
    <t>Mitterlobming</t>
  </si>
  <si>
    <t>Oberweg</t>
  </si>
  <si>
    <t>Ossach</t>
  </si>
  <si>
    <t>Reifling</t>
  </si>
  <si>
    <t>Apfelberg</t>
  </si>
  <si>
    <t>Granitzen</t>
  </si>
  <si>
    <t>Lavantegg</t>
  </si>
  <si>
    <t>Obdachegg</t>
  </si>
  <si>
    <t>Prethal</t>
  </si>
  <si>
    <t>Enzersdorf</t>
  </si>
  <si>
    <t>Oberkurzheim</t>
  </si>
  <si>
    <t>Unterzeiring</t>
  </si>
  <si>
    <t>Bretstein</t>
  </si>
  <si>
    <t>Möderbrugg</t>
  </si>
  <si>
    <t>Oberzeiring</t>
  </si>
  <si>
    <t>St. Johann Sonnseite</t>
  </si>
  <si>
    <t>St. Johann Schattseite</t>
  </si>
  <si>
    <t>Fressenberg</t>
  </si>
  <si>
    <t>Prank</t>
  </si>
  <si>
    <t>Wasserleith</t>
  </si>
  <si>
    <t>Glein</t>
  </si>
  <si>
    <t>Preg</t>
  </si>
  <si>
    <t>Rachau I</t>
  </si>
  <si>
    <t>Rachau II</t>
  </si>
  <si>
    <t>Einhörn</t>
  </si>
  <si>
    <t>Flatschach</t>
  </si>
  <si>
    <t>Ingering I</t>
  </si>
  <si>
    <t>Laing</t>
  </si>
  <si>
    <t>Maßweg</t>
  </si>
  <si>
    <t>Pausendorf</t>
  </si>
  <si>
    <t>Sachendorf</t>
  </si>
  <si>
    <t>Weyern</t>
  </si>
  <si>
    <t>Fisching</t>
  </si>
  <si>
    <t>Kothgraben</t>
  </si>
  <si>
    <t>Maria Buch</t>
  </si>
  <si>
    <t>Reisstraße</t>
  </si>
  <si>
    <t>Schoberegg</t>
  </si>
  <si>
    <t>Erhardstraße</t>
  </si>
  <si>
    <t>Lantsch</t>
  </si>
  <si>
    <t>Schlaggraben</t>
  </si>
  <si>
    <t>Sonnleiten-Pernegg</t>
  </si>
  <si>
    <t>Alpl</t>
  </si>
  <si>
    <t>Freßnitzgraben</t>
  </si>
  <si>
    <t>Krieglach-Schwöbing</t>
  </si>
  <si>
    <t>Malleisten</t>
  </si>
  <si>
    <t>Massing</t>
  </si>
  <si>
    <t>Sommer</t>
  </si>
  <si>
    <t>Feistritzberg</t>
  </si>
  <si>
    <t>Hönigsberg</t>
  </si>
  <si>
    <t>Langenwang-Schwöbing</t>
  </si>
  <si>
    <t>Lechen</t>
  </si>
  <si>
    <t>Pretul</t>
  </si>
  <si>
    <t>Traibach</t>
  </si>
  <si>
    <t>Gabraun</t>
  </si>
  <si>
    <t>Mixnitz</t>
  </si>
  <si>
    <t>Roßgraben</t>
  </si>
  <si>
    <t>Traföß</t>
  </si>
  <si>
    <t>Zlatten</t>
  </si>
  <si>
    <t>Pogusch</t>
  </si>
  <si>
    <t>Rumpelmühle</t>
  </si>
  <si>
    <t>St. Lorenzen im Mürztal</t>
  </si>
  <si>
    <t>Fröschnitz</t>
  </si>
  <si>
    <t>Schöneben-Spital</t>
  </si>
  <si>
    <t>Brandstattgraben</t>
  </si>
  <si>
    <t>Dickenbach</t>
  </si>
  <si>
    <t>Fochnitz</t>
  </si>
  <si>
    <t>Possegg</t>
  </si>
  <si>
    <t>Stanz</t>
  </si>
  <si>
    <t>Seewiesen</t>
  </si>
  <si>
    <t>Stübming</t>
  </si>
  <si>
    <t>Aflenz Kurort</t>
  </si>
  <si>
    <t>Dörflach</t>
  </si>
  <si>
    <t>Grassnitz</t>
  </si>
  <si>
    <t>Jauring</t>
  </si>
  <si>
    <t>Tutschach</t>
  </si>
  <si>
    <t>Forstwald</t>
  </si>
  <si>
    <t>Kaltbach</t>
  </si>
  <si>
    <t>Oberaich</t>
  </si>
  <si>
    <t>Oberdorf-Landskron</t>
  </si>
  <si>
    <t>Picheldorf</t>
  </si>
  <si>
    <t>Pischk</t>
  </si>
  <si>
    <t>Pischkberg</t>
  </si>
  <si>
    <t>Streitgarn</t>
  </si>
  <si>
    <t>Übelstein</t>
  </si>
  <si>
    <t>Wienervorstadt</t>
  </si>
  <si>
    <t>Deuchendorf</t>
  </si>
  <si>
    <t>Diemlach</t>
  </si>
  <si>
    <t>Parschlug</t>
  </si>
  <si>
    <t>Pötschach</t>
  </si>
  <si>
    <t>Pötschen</t>
  </si>
  <si>
    <t>Schörgendorf</t>
  </si>
  <si>
    <t>Stegg</t>
  </si>
  <si>
    <t>Edelsdorf</t>
  </si>
  <si>
    <t>Jaßnitztal</t>
  </si>
  <si>
    <t>Kindbergdörfl</t>
  </si>
  <si>
    <t>Kindthal</t>
  </si>
  <si>
    <t>Kindthalgraben</t>
  </si>
  <si>
    <t>Mürzhofen</t>
  </si>
  <si>
    <t>Sölsnitz</t>
  </si>
  <si>
    <t>Aschbach</t>
  </si>
  <si>
    <t>Halltal</t>
  </si>
  <si>
    <t>St. Sebastian</t>
  </si>
  <si>
    <t>Weichselboden</t>
  </si>
  <si>
    <t>Auersbach</t>
  </si>
  <si>
    <t>Eichhornthal</t>
  </si>
  <si>
    <t>Schöneben-Ganz</t>
  </si>
  <si>
    <t>Frein an der Mürz</t>
  </si>
  <si>
    <t>Kapellen</t>
  </si>
  <si>
    <t>Krampen</t>
  </si>
  <si>
    <t>Mürzsteg</t>
  </si>
  <si>
    <t>Veitsch Dorf</t>
  </si>
  <si>
    <t>Großveitsch</t>
  </si>
  <si>
    <t>Kleinveitsch</t>
  </si>
  <si>
    <t>Lutschaun</t>
  </si>
  <si>
    <t>Niederaigen</t>
  </si>
  <si>
    <t>Scheibsgraben</t>
  </si>
  <si>
    <t>Frauenberg</t>
  </si>
  <si>
    <t>Graschnitz</t>
  </si>
  <si>
    <t>St. Marein im Mürztal</t>
  </si>
  <si>
    <t>Etmißl</t>
  </si>
  <si>
    <t>Fölz</t>
  </si>
  <si>
    <t>Lonschitz</t>
  </si>
  <si>
    <t>Oisching</t>
  </si>
  <si>
    <t>Palbersdorf</t>
  </si>
  <si>
    <t>St. Ilgen</t>
  </si>
  <si>
    <t>Hüttengraben</t>
  </si>
  <si>
    <t>Oberdorf-Niederdorf</t>
  </si>
  <si>
    <t>Obertal</t>
  </si>
  <si>
    <t>Oberort</t>
  </si>
  <si>
    <t>Rastal</t>
  </si>
  <si>
    <t>St. Katharein an der Laming</t>
  </si>
  <si>
    <t>Kleinsteinbach</t>
  </si>
  <si>
    <t>Lindegg</t>
  </si>
  <si>
    <t>Loimeth</t>
  </si>
  <si>
    <t>Geiseldorf</t>
  </si>
  <si>
    <t>Hopfau</t>
  </si>
  <si>
    <t>Längenbach</t>
  </si>
  <si>
    <t>Lemberg</t>
  </si>
  <si>
    <t>Oberbuch</t>
  </si>
  <si>
    <t>Unterbuch</t>
  </si>
  <si>
    <t>Unterdombach</t>
  </si>
  <si>
    <t>Wagenbach</t>
  </si>
  <si>
    <t>Nörning</t>
  </si>
  <si>
    <t>Ehrenschachen</t>
  </si>
  <si>
    <t>Schweighof</t>
  </si>
  <si>
    <t>Staudach</t>
  </si>
  <si>
    <t>Wolfgrub</t>
  </si>
  <si>
    <t>Großhartmannsdorf</t>
  </si>
  <si>
    <t>Grazervorstadt</t>
  </si>
  <si>
    <t>Ring</t>
  </si>
  <si>
    <t>Safenau</t>
  </si>
  <si>
    <t>Ungarvorstadt</t>
  </si>
  <si>
    <t>Flattendorf</t>
  </si>
  <si>
    <t>Löffelbach</t>
  </si>
  <si>
    <t>Mitterdombach</t>
  </si>
  <si>
    <t>Schildbach</t>
  </si>
  <si>
    <t>Siebenbrunn</t>
  </si>
  <si>
    <t>Wenireith</t>
  </si>
  <si>
    <t>Oberlungitz</t>
  </si>
  <si>
    <t>Ziegenberg</t>
  </si>
  <si>
    <t>Haideggendorf</t>
  </si>
  <si>
    <t>Schaueregg</t>
  </si>
  <si>
    <t>Sparberegg</t>
  </si>
  <si>
    <t>Tanzegg</t>
  </si>
  <si>
    <t>Wiesenhöf</t>
  </si>
  <si>
    <t>Oberneuberg</t>
  </si>
  <si>
    <t>Unterneuberg</t>
  </si>
  <si>
    <t>Zeil-Pöllau</t>
  </si>
  <si>
    <t>Äußeres Kaltenegg</t>
  </si>
  <si>
    <t>Kirchenviertl</t>
  </si>
  <si>
    <t>Steinhöf</t>
  </si>
  <si>
    <t>St. Johann in der Haide</t>
  </si>
  <si>
    <t>Schölbing</t>
  </si>
  <si>
    <t>Unterlungitz</t>
  </si>
  <si>
    <t>Köppel</t>
  </si>
  <si>
    <t>St. Lorenzen am Wechsel</t>
  </si>
  <si>
    <t>Elsenau</t>
  </si>
  <si>
    <t>Knolln</t>
  </si>
  <si>
    <t>Kohlgraben</t>
  </si>
  <si>
    <t>Ruppersdorf</t>
  </si>
  <si>
    <t>Freienberg</t>
  </si>
  <si>
    <t>Vockenberg</t>
  </si>
  <si>
    <t>Zeil-Stubenberg</t>
  </si>
  <si>
    <t>Kandlbauer</t>
  </si>
  <si>
    <t>Pittermannviertl</t>
  </si>
  <si>
    <t>Sichart</t>
  </si>
  <si>
    <t>Sommersgut</t>
  </si>
  <si>
    <t>Hohenbrugg</t>
  </si>
  <si>
    <t>Leitersdorf</t>
  </si>
  <si>
    <t>Oberlimbach</t>
  </si>
  <si>
    <t>Rohrbach bei Waltersdorf</t>
  </si>
  <si>
    <t>Sebersdorf</t>
  </si>
  <si>
    <t>Wagerberg</t>
  </si>
  <si>
    <t>Blaindorf</t>
  </si>
  <si>
    <t>Kaibing</t>
  </si>
  <si>
    <t>St. Johann bei Herberstein</t>
  </si>
  <si>
    <t>Hirnsdorf</t>
  </si>
  <si>
    <t>Altenmarkt bei Fürstenfeld</t>
  </si>
  <si>
    <t>Rittschein</t>
  </si>
  <si>
    <t>Speltenbach</t>
  </si>
  <si>
    <t>Stadtbergen</t>
  </si>
  <si>
    <t>Übersbach</t>
  </si>
  <si>
    <t>Erdwegen</t>
  </si>
  <si>
    <t>Gräflerviertl</t>
  </si>
  <si>
    <t>Obersafen</t>
  </si>
  <si>
    <t>Stambach</t>
  </si>
  <si>
    <t>Hainersdorf</t>
  </si>
  <si>
    <t>Herrnberg</t>
  </si>
  <si>
    <t>Maierhofen</t>
  </si>
  <si>
    <t>Obgrün</t>
  </si>
  <si>
    <t>Radersdorf</t>
  </si>
  <si>
    <t>Hochenegg</t>
  </si>
  <si>
    <t>Kleegraben</t>
  </si>
  <si>
    <t>Mutzenfeld</t>
  </si>
  <si>
    <t>Reigersberg</t>
  </si>
  <si>
    <t>Dienersdorf</t>
  </si>
  <si>
    <t>Bad Loipersdorf</t>
  </si>
  <si>
    <t>Gillersdorf</t>
  </si>
  <si>
    <t>Unterlimbach</t>
  </si>
  <si>
    <t>Hinteregg</t>
  </si>
  <si>
    <t>Köppelreith</t>
  </si>
  <si>
    <t>Obersaifen</t>
  </si>
  <si>
    <t>Prätis</t>
  </si>
  <si>
    <t>Rabenwald</t>
  </si>
  <si>
    <t>Oberrohr</t>
  </si>
  <si>
    <t>Unterrohr</t>
  </si>
  <si>
    <t>Rohrbach-Schlag</t>
  </si>
  <si>
    <t>Kleinschlag</t>
  </si>
  <si>
    <t>Schnöllerviertl</t>
  </si>
  <si>
    <t>Puchegg</t>
  </si>
  <si>
    <t>Reinberg</t>
  </si>
  <si>
    <t>Riegersbach</t>
  </si>
  <si>
    <t>Vornholz</t>
  </si>
  <si>
    <t>Karnerviertl</t>
  </si>
  <si>
    <t>Rieglerviertl</t>
  </si>
  <si>
    <t>Schmiedviertl</t>
  </si>
  <si>
    <t>Schrimpf</t>
  </si>
  <si>
    <t>Kaag</t>
  </si>
  <si>
    <t>Erbersdorf</t>
  </si>
  <si>
    <t>Mitterfladnitz</t>
  </si>
  <si>
    <t>Dietzen</t>
  </si>
  <si>
    <t>Donnersdorf</t>
  </si>
  <si>
    <t>Drauchen</t>
  </si>
  <si>
    <t>Hürth</t>
  </si>
  <si>
    <t>Leitersdorf II</t>
  </si>
  <si>
    <t>Oberpurkla</t>
  </si>
  <si>
    <t>Sögersdorf</t>
  </si>
  <si>
    <t>Unterpurkla</t>
  </si>
  <si>
    <t>Hamet</t>
  </si>
  <si>
    <t>Jahrbach</t>
  </si>
  <si>
    <t>Lugitsch</t>
  </si>
  <si>
    <t>Unterzirknitz</t>
  </si>
  <si>
    <t>Gutendorf</t>
  </si>
  <si>
    <t>Kölldorf</t>
  </si>
  <si>
    <t>Mahrensdorf</t>
  </si>
  <si>
    <t>Neustift bei Kapfenstein</t>
  </si>
  <si>
    <t>Deutsch Haseldorf</t>
  </si>
  <si>
    <t>Gruisla</t>
  </si>
  <si>
    <t>Pölten</t>
  </si>
  <si>
    <t>Klöchberg</t>
  </si>
  <si>
    <t>Landorf</t>
  </si>
  <si>
    <t>Zehensdorf</t>
  </si>
  <si>
    <t>Grössing</t>
  </si>
  <si>
    <t>Jörgen</t>
  </si>
  <si>
    <t>Laasen</t>
  </si>
  <si>
    <t>Patzen</t>
  </si>
  <si>
    <t>Pichla bei Radkersburg</t>
  </si>
  <si>
    <t>Magland</t>
  </si>
  <si>
    <t>Oberlamm</t>
  </si>
  <si>
    <t>Bairisch Kölldorf</t>
  </si>
  <si>
    <t>Gleichenberg Dorf</t>
  </si>
  <si>
    <t>Waldsberg</t>
  </si>
  <si>
    <t>Altneudörfl</t>
  </si>
  <si>
    <t>Dedenitz</t>
  </si>
  <si>
    <t>Goritz bei Radkersburg</t>
  </si>
  <si>
    <t>Hummersdorf</t>
  </si>
  <si>
    <t>Kellerdorf</t>
  </si>
  <si>
    <t>Laafeld</t>
  </si>
  <si>
    <t>Leitersdorf I</t>
  </si>
  <si>
    <t>Pfarrsdorf</t>
  </si>
  <si>
    <t>Pridahof</t>
  </si>
  <si>
    <t>Radkersburg</t>
  </si>
  <si>
    <t>Sicheldorf</t>
  </si>
  <si>
    <t>Zelting</t>
  </si>
  <si>
    <t>Krobathen</t>
  </si>
  <si>
    <t>Oberspitz</t>
  </si>
  <si>
    <t>Ratschendorf</t>
  </si>
  <si>
    <t>Salsach</t>
  </si>
  <si>
    <t>Unterspitz</t>
  </si>
  <si>
    <t>Weixelbaum</t>
  </si>
  <si>
    <t>Burgfeld</t>
  </si>
  <si>
    <t>Habegg</t>
  </si>
  <si>
    <t>Hatzendorf</t>
  </si>
  <si>
    <t>Höflach</t>
  </si>
  <si>
    <t>Johnsdorf</t>
  </si>
  <si>
    <t>Oedgraben</t>
  </si>
  <si>
    <t>Pertlstein</t>
  </si>
  <si>
    <t>Petersdorf I</t>
  </si>
  <si>
    <t>Schiefer</t>
  </si>
  <si>
    <t>Gniebing</t>
  </si>
  <si>
    <t>Gossendorf</t>
  </si>
  <si>
    <t>Oedt</t>
  </si>
  <si>
    <t>Raabau</t>
  </si>
  <si>
    <t>Fischa</t>
  </si>
  <si>
    <t>Grabersdorf</t>
  </si>
  <si>
    <t>Hirsdorf</t>
  </si>
  <si>
    <t>Maierdorf</t>
  </si>
  <si>
    <t>Obergnas</t>
  </si>
  <si>
    <t>Raning</t>
  </si>
  <si>
    <t>Kohlberg II</t>
  </si>
  <si>
    <t>Aug-Radisch</t>
  </si>
  <si>
    <t>Unterauersbach</t>
  </si>
  <si>
    <t>Trössing</t>
  </si>
  <si>
    <t>Kirchbach in Steiermark</t>
  </si>
  <si>
    <t>Zerlach</t>
  </si>
  <si>
    <t>Ziprein</t>
  </si>
  <si>
    <t>Fladnitz im Raabtal</t>
  </si>
  <si>
    <t>Oberstorcha</t>
  </si>
  <si>
    <t>Studenzen</t>
  </si>
  <si>
    <t>Tiefernitz</t>
  </si>
  <si>
    <t>Gosdorf</t>
  </si>
  <si>
    <t>Oberrakitsch</t>
  </si>
  <si>
    <t>Eichfeld</t>
  </si>
  <si>
    <t>Axbach</t>
  </si>
  <si>
    <t>Kohlberg I</t>
  </si>
  <si>
    <t>Perlsdorf</t>
  </si>
  <si>
    <t>Saaz</t>
  </si>
  <si>
    <t>Unterstorcha</t>
  </si>
  <si>
    <t>Edelstauden</t>
  </si>
  <si>
    <t>Frannach</t>
  </si>
  <si>
    <t>Altenmarkt bei Riegersburg</t>
  </si>
  <si>
    <t>Grub I</t>
  </si>
  <si>
    <t>Krennach</t>
  </si>
  <si>
    <t>Lembach bei Riegersburg</t>
  </si>
  <si>
    <t>Lödersdorf</t>
  </si>
  <si>
    <t>Neustift bei Breitenfeld</t>
  </si>
  <si>
    <t>St. Kind</t>
  </si>
  <si>
    <t>Schweinz</t>
  </si>
  <si>
    <t>Frutten</t>
  </si>
  <si>
    <t>Gießelsdorf</t>
  </si>
  <si>
    <t>Hochstraden</t>
  </si>
  <si>
    <t>Jamm</t>
  </si>
  <si>
    <t>Klapping</t>
  </si>
  <si>
    <t>Plesch</t>
  </si>
  <si>
    <t>Risola</t>
  </si>
  <si>
    <t>Waltra</t>
  </si>
  <si>
    <t>Perbersdorf bei St. Peter</t>
  </si>
  <si>
    <t>St. Peter am Ottersbach</t>
  </si>
  <si>
    <t>Wiersdorf</t>
  </si>
  <si>
    <t>Wittmannsdorf</t>
  </si>
  <si>
    <t>Glojach</t>
  </si>
  <si>
    <t>St. Stefan im Rosental</t>
  </si>
  <si>
    <t>Trössengraben</t>
  </si>
  <si>
    <t>Dirnbach</t>
  </si>
  <si>
    <t>Grub II</t>
  </si>
  <si>
    <t>Karbach</t>
  </si>
  <si>
    <t>Krusdorf</t>
  </si>
  <si>
    <t>Stainz bei Straden</t>
  </si>
  <si>
    <t>Hart bei Straden</t>
  </si>
  <si>
    <t>Kronnersdorf</t>
  </si>
  <si>
    <t>Nägelsdorf</t>
  </si>
  <si>
    <t>Schwabau</t>
  </si>
  <si>
    <t>Waasen am Berg</t>
  </si>
  <si>
    <t>Wieden-Klausen</t>
  </si>
  <si>
    <t>Hof bei Straden</t>
  </si>
  <si>
    <t>Neusetz</t>
  </si>
  <si>
    <t>Oberkarla</t>
  </si>
  <si>
    <t>Radochen</t>
  </si>
  <si>
    <t>Unterkarla</t>
  </si>
  <si>
    <t>Amras</t>
  </si>
  <si>
    <t>Arzl</t>
  </si>
  <si>
    <t>Hötting</t>
  </si>
  <si>
    <t>Igls</t>
  </si>
  <si>
    <t>Mühlau</t>
  </si>
  <si>
    <t>Pradl</t>
  </si>
  <si>
    <t>Vill</t>
  </si>
  <si>
    <t>Wilten</t>
  </si>
  <si>
    <t>Ötz</t>
  </si>
  <si>
    <t>Pitztal</t>
  </si>
  <si>
    <t>St. Leonhard im Pitztal</t>
  </si>
  <si>
    <t>Ampaß</t>
  </si>
  <si>
    <t>Kolsaßberg</t>
  </si>
  <si>
    <t>Kreith</t>
  </si>
  <si>
    <t>Oberperfuß</t>
  </si>
  <si>
    <t>St. Sigmund</t>
  </si>
  <si>
    <t>St. Sigmund im Sellrain</t>
  </si>
  <si>
    <t>Hall</t>
  </si>
  <si>
    <t>Heiligkreuz I</t>
  </si>
  <si>
    <t>Heiligkreuz II</t>
  </si>
  <si>
    <t>Steinach</t>
  </si>
  <si>
    <t>Telfes</t>
  </si>
  <si>
    <t>Thaur I</t>
  </si>
  <si>
    <t>Thaur II</t>
  </si>
  <si>
    <t>Unterperfuß</t>
  </si>
  <si>
    <t>Großvolderberg</t>
  </si>
  <si>
    <t>Kleinvolderberg</t>
  </si>
  <si>
    <t>Vögelsberg</t>
  </si>
  <si>
    <t>Mühlbachl</t>
  </si>
  <si>
    <t>Pfons</t>
  </si>
  <si>
    <t>Going</t>
  </si>
  <si>
    <t>Hopfgarten Land</t>
  </si>
  <si>
    <t>Hopfgarten Markt</t>
  </si>
  <si>
    <t>Kitzbühel Land</t>
  </si>
  <si>
    <t>Kitzbühel Stadt</t>
  </si>
  <si>
    <t>St. Jakob in Haus</t>
  </si>
  <si>
    <t>St. Johann in Tirol</t>
  </si>
  <si>
    <t>St. Ulrich am Pillersee</t>
  </si>
  <si>
    <t>Häring</t>
  </si>
  <si>
    <t>Zimmermoos</t>
  </si>
  <si>
    <t>Voldöpp</t>
  </si>
  <si>
    <t>Thierberg</t>
  </si>
  <si>
    <t>Morsbach</t>
  </si>
  <si>
    <t>Liesfeld</t>
  </si>
  <si>
    <t>Hygna</t>
  </si>
  <si>
    <t>Scheffach</t>
  </si>
  <si>
    <t>Rettenschöß</t>
  </si>
  <si>
    <t>Unterangerberg</t>
  </si>
  <si>
    <t>Auffach</t>
  </si>
  <si>
    <t>Niederau</t>
  </si>
  <si>
    <t>Oberau</t>
  </si>
  <si>
    <t>Thierbach</t>
  </si>
  <si>
    <t>Wörgl-Kufstein</t>
  </si>
  <si>
    <t>Wörgl-Rattenberg</t>
  </si>
  <si>
    <t>Nauders I</t>
  </si>
  <si>
    <t>Nauders II-Noggels</t>
  </si>
  <si>
    <t>Pettneu</t>
  </si>
  <si>
    <t>St. Anton am Arlberg</t>
  </si>
  <si>
    <t>Zamserberg</t>
  </si>
  <si>
    <t>Alkus</t>
  </si>
  <si>
    <t>Gwabl</t>
  </si>
  <si>
    <t>Asch mit Winkl</t>
  </si>
  <si>
    <t>Ried in Anras</t>
  </si>
  <si>
    <t>Bannberg</t>
  </si>
  <si>
    <t>Burg-Vergein</t>
  </si>
  <si>
    <t>Kosten</t>
  </si>
  <si>
    <t>Oberassling</t>
  </si>
  <si>
    <t>Schrottendorf</t>
  </si>
  <si>
    <t>Unterassling</t>
  </si>
  <si>
    <t>Görtschach-Gödnach</t>
  </si>
  <si>
    <t>Stribach</t>
  </si>
  <si>
    <t>Obergaimberg</t>
  </si>
  <si>
    <t>Untergaimberg</t>
  </si>
  <si>
    <t>Iselsberg</t>
  </si>
  <si>
    <t>Stronach</t>
  </si>
  <si>
    <t>Hollbruck</t>
  </si>
  <si>
    <t>Patriasdorf</t>
  </si>
  <si>
    <t>Matrei in Osttirol Land</t>
  </si>
  <si>
    <t>Matrei in Osttirol Markt</t>
  </si>
  <si>
    <t>Lengberg</t>
  </si>
  <si>
    <t>Nörsach</t>
  </si>
  <si>
    <t>Obernußdorf</t>
  </si>
  <si>
    <t>Unternußdorf</t>
  </si>
  <si>
    <t>Oberdrum</t>
  </si>
  <si>
    <t>St. Jakob in Defereggen</t>
  </si>
  <si>
    <t>St. Johann im Walde</t>
  </si>
  <si>
    <t>St. Veit in Defereggen</t>
  </si>
  <si>
    <t>Arnbach</t>
  </si>
  <si>
    <t>Sillianberg</t>
  </si>
  <si>
    <t>Panzendorf</t>
  </si>
  <si>
    <t>Tessenberg</t>
  </si>
  <si>
    <t>Bichlbächle</t>
  </si>
  <si>
    <t>Rinnen</t>
  </si>
  <si>
    <t>Frauensee</t>
  </si>
  <si>
    <t>Oberletzen</t>
  </si>
  <si>
    <t>Unterletzen</t>
  </si>
  <si>
    <t>Oberpinswang</t>
  </si>
  <si>
    <t>Unterpinswang</t>
  </si>
  <si>
    <t>Hinterbichl</t>
  </si>
  <si>
    <t>Achental</t>
  </si>
  <si>
    <t>Distelberg</t>
  </si>
  <si>
    <t>Laimach</t>
  </si>
  <si>
    <t>Schwendberg</t>
  </si>
  <si>
    <t>Ramsberg</t>
  </si>
  <si>
    <t>St. Anton</t>
  </si>
  <si>
    <t>St. Anton im Montafon</t>
  </si>
  <si>
    <t>St. Gallenkirch</t>
  </si>
  <si>
    <t>St. Gerold</t>
  </si>
  <si>
    <t>Fluh</t>
  </si>
  <si>
    <t>Rieden</t>
  </si>
  <si>
    <t>Fussach</t>
  </si>
  <si>
    <t>Gaissau</t>
  </si>
  <si>
    <t>Bolgenach</t>
  </si>
  <si>
    <t>Langen</t>
  </si>
  <si>
    <t>Oberlangenegg</t>
  </si>
  <si>
    <t>Unterlangenegg</t>
  </si>
  <si>
    <t>Ebnit I</t>
  </si>
  <si>
    <t>Ebnit II</t>
  </si>
  <si>
    <t>Altenstadt</t>
  </si>
  <si>
    <t>Nofels</t>
  </si>
  <si>
    <t>Tisis</t>
  </si>
  <si>
    <t>Tosters</t>
  </si>
  <si>
    <t>Frastanz I</t>
  </si>
  <si>
    <t>Frastanz II, III</t>
  </si>
  <si>
    <t>Leopoldstadt</t>
  </si>
  <si>
    <t>Landstraße</t>
  </si>
  <si>
    <t>Mariahilf</t>
  </si>
  <si>
    <t>Josefstadt</t>
  </si>
  <si>
    <t>Alsergrund</t>
  </si>
  <si>
    <t>Favoriten</t>
  </si>
  <si>
    <t>Inzersdorf Stadt</t>
  </si>
  <si>
    <t>Oberlaa Land</t>
  </si>
  <si>
    <t>Oberlaa Stadt</t>
  </si>
  <si>
    <t>Rothneusiedl</t>
  </si>
  <si>
    <t>Unterlaa</t>
  </si>
  <si>
    <t>Kaiserebersdorf</t>
  </si>
  <si>
    <t>Simmering</t>
  </si>
  <si>
    <t>Gaudenzdorf</t>
  </si>
  <si>
    <t>Auhof</t>
  </si>
  <si>
    <t>Hacking</t>
  </si>
  <si>
    <t>Hietzing</t>
  </si>
  <si>
    <t>Lainz</t>
  </si>
  <si>
    <t>Ober St. Veit</t>
  </si>
  <si>
    <t>Rosenberg</t>
  </si>
  <si>
    <t>Schönbrunn</t>
  </si>
  <si>
    <t>Speising</t>
  </si>
  <si>
    <t>Unter St. Veit</t>
  </si>
  <si>
    <t>Oberbaumgarten</t>
  </si>
  <si>
    <t>Unterbaumgarten</t>
  </si>
  <si>
    <t>Weidlingau</t>
  </si>
  <si>
    <t>Fünfhaus</t>
  </si>
  <si>
    <t>Rudolfsheim</t>
  </si>
  <si>
    <t>Sechshaus</t>
  </si>
  <si>
    <t>Neulerchenfeld</t>
  </si>
  <si>
    <t>Ottakring</t>
  </si>
  <si>
    <t>Hernals</t>
  </si>
  <si>
    <t>Neuwaldegg</t>
  </si>
  <si>
    <t>Gersthof</t>
  </si>
  <si>
    <t>Pötzleinsdorf</t>
  </si>
  <si>
    <t>Währing</t>
  </si>
  <si>
    <t>Weinhaus</t>
  </si>
  <si>
    <t>Grinzing</t>
  </si>
  <si>
    <t>Kahlenbergerdorf</t>
  </si>
  <si>
    <t>Neustift am Walde</t>
  </si>
  <si>
    <t>Oberdöbling</t>
  </si>
  <si>
    <t>Obersievering</t>
  </si>
  <si>
    <t>Unterdöbling</t>
  </si>
  <si>
    <t>Untersievering</t>
  </si>
  <si>
    <t>Brigittenau</t>
  </si>
  <si>
    <t>Donaufeld</t>
  </si>
  <si>
    <t>Floridsdorf</t>
  </si>
  <si>
    <t>Großjedlersdorf I</t>
  </si>
  <si>
    <t>Großjedlersdorf II</t>
  </si>
  <si>
    <t>Jedlesee</t>
  </si>
  <si>
    <t>Leopoldau</t>
  </si>
  <si>
    <t>Schwarze Lackenau</t>
  </si>
  <si>
    <t>Stammersdorf</t>
  </si>
  <si>
    <t>Aspern</t>
  </si>
  <si>
    <t>Breitenlee</t>
  </si>
  <si>
    <t>Eßling</t>
  </si>
  <si>
    <t>Hirschstetten</t>
  </si>
  <si>
    <t>Kagran</t>
  </si>
  <si>
    <t>Kaiserebersdorf Herrschaft</t>
  </si>
  <si>
    <t>Landjägermeisteramt</t>
  </si>
  <si>
    <t>Stadlau</t>
  </si>
  <si>
    <t>Süssenbrunn</t>
  </si>
  <si>
    <t>Kaisermühlen</t>
  </si>
  <si>
    <t>Atzgersdorf</t>
  </si>
  <si>
    <t>Erlaa</t>
  </si>
  <si>
    <t>Inzersdorf</t>
  </si>
  <si>
    <t>Kalksburg</t>
  </si>
  <si>
    <t>Rodaun</t>
  </si>
  <si>
    <t>Dauersiedlungsraum</t>
  </si>
  <si>
    <t>SUM_Shape_Area</t>
  </si>
  <si>
    <t>$B$14</t>
  </si>
  <si>
    <t>OÖ</t>
  </si>
  <si>
    <t>NÖ</t>
  </si>
  <si>
    <t>Fahne (nicht umformatieren!)</t>
  </si>
  <si>
    <t>Definitionen</t>
  </si>
  <si>
    <t>* Die Kategorie Siedlungsflächen ausserhalb der Baulandwidmung können derzeit noch – je nach Bundesland - Ver- und Entsorgungsanlagen (z. B. Kläranlagen, Umspannwerke, Abbauflächen etc.) sowie Freizeit- und Erholungsflächen (z. B. Sport-, Camping-, Golfplätze etc.) enthalten. Diese können erst im Jahr 2023 im Zuge der Bearbeitung in die Kategorie „Ver- und Entsorgungsanlagen“ übertragen werden.</t>
  </si>
  <si>
    <t>Quellen:</t>
  </si>
  <si>
    <t>Statistik Austria</t>
  </si>
  <si>
    <t>Klassen</t>
  </si>
  <si>
    <t>Name</t>
  </si>
  <si>
    <t>Kurzbeschreibung</t>
  </si>
  <si>
    <t>Hauptdatenquellen + Aktualität</t>
  </si>
  <si>
    <t>Überlagerung der GIP-Verkehrsachsen (aktiv und ohne BRUNNELS) mit DKM-Verkehrsflächen (Straßen- und Schienenanlagen) bzw. Pufferung von GIP-Achsen mit Breite/Standardbreite. Ergänzung durch ruhenden Verkehr (DLM und DKM) ausserhalb Bauland-Widmung. Ausschluss von INVEKOS-Flächen bzw. Waldflächen im ländlichen Wegenetz (Kompensation nicht perfekter Forststraßenklassifizierung)</t>
  </si>
  <si>
    <t>GIP 2022-06;
DKM Verkehrsflächen 2022-04
DLM Parkflächen 2022-04
INVEKOS Schläge 2022-07
BFW Wald 2017-2019</t>
  </si>
  <si>
    <t>Autobahn und Schnellstraße</t>
  </si>
  <si>
    <t>Kategorisierung anhand der GIP ASFINAG-Subnetze (13001-13004)</t>
  </si>
  <si>
    <t>GIP 2022-06</t>
  </si>
  <si>
    <t>Landesstraße B+L</t>
  </si>
  <si>
    <t>Kategorisierung anhand der länderspezifischen GIP-Subnetze auf Basis der Abfrage durch GIP-Koordinatoren</t>
  </si>
  <si>
    <t>Kategorisierung anhand der länderspezifischen GIP-Subnetze auf Basis der Abfrage durch GIP-Koordinatoren. Ausschluss der Forst- und Almstraßen durch geeignete Wahl der GIP-Subnetze.</t>
  </si>
  <si>
    <t>Schiene</t>
  </si>
  <si>
    <t>Kategorisierung anhand der GIP ÖBB-Subnetze (12001 und 12002) sowie der sonstigen Schienenanlygen (FRC 20-24)</t>
  </si>
  <si>
    <t>Siedlung</t>
  </si>
  <si>
    <t>Unter den Siedlungsflächen werden Gebäude und Freiflächen für die unterschiedlichen Nutzungen wie Wohnen, Arbeiten, Bildung und Verwaltung sowie Betriebsflächen für Gewerbe, Industrie, Logistik etc. verstanden. Inkludiert bebaute Grundstücke und unbebaute Grundstücke, solange sie nicht land- oder forstwirtschaftlich genutzt sind. Inkludiert versiegelte und unversiegelte Flächen.</t>
  </si>
  <si>
    <t>Grundstücke 2022-04
GSTKV 2022-04</t>
  </si>
  <si>
    <t>Siedlung innerhalb BL-FläWi</t>
  </si>
  <si>
    <t>Kategorie #1 der Bauland-Flächenwidmung, differenziert in bebaut bzw. unbebaute GSTK</t>
  </si>
  <si>
    <t>BL-FläWi 2022-06</t>
  </si>
  <si>
    <t>Kategorie #2 der Bauland-Flächenwidmung, differenziert in bebaut bzw. unbebaute GSTK</t>
  </si>
  <si>
    <t>Kategorie #3 der Bauland-Flächenwidmung, differenziert in bebaut bzw. unbebaute GSTK</t>
  </si>
  <si>
    <t>Kategorie #4 der Bauland-Flächenwidmung, differenziert in bebaut bzw. unbebaute GSTK</t>
  </si>
  <si>
    <t>Landwirtschaft (INVEKOS) innerhalb BL-FläWi</t>
  </si>
  <si>
    <t>Landwirtschaftsfläche nach INVEKOS für bebaute Grundstücke (INVEKOS-Schläge) bzw. unbebaute Grundstücke (INVEKOS-Referenzen)</t>
  </si>
  <si>
    <t>INVEKOS Schläge 2022-07
INVEKOS-Referenzen 2022-07</t>
  </si>
  <si>
    <t>Wald innerhalb BL-FläWi</t>
  </si>
  <si>
    <t>Wald innerhalb BL-FläWi entsprechend ÖWI-Waldlayer (BFW)</t>
  </si>
  <si>
    <t>BFW-Wald 2017-2019</t>
  </si>
  <si>
    <t>Siedlung außerhalb BL-FläWi</t>
  </si>
  <si>
    <t>Gebäude (&gt;50m2 exklusive Glashäuser), deren funktional zugehörige Flächen (Gebäudeumschwung mit 11m Puffer und/oder DKM-Gebäudenebenfläche bzw. direkt angrenzender DKM-Garten) sowie DKM-Betriebsflächen; Reduktion um INVEKOS-Referenzen, Wald- und Gewässerflächen, nur Flächen außerhalb Verkehr und BL-FläWi</t>
  </si>
  <si>
    <t>INVEKOS Referenzen 2022-07
BFW Wald 2017-2019
DLM-Bodenbedeckung fließende Gewässer 2022-04
Gesamtgewässernetz Ö stehende Gewässere v16 (2021-Herbst)</t>
  </si>
  <si>
    <t>Gebäude (DLM)</t>
  </si>
  <si>
    <t>Gebäude (&gt;50m2 exklusive Glashäuser) außerhalb Verkehr und außerhalb Bauland-Widmung</t>
  </si>
  <si>
    <t>DLM-Gebäude 2022-04 (2013-2020)</t>
  </si>
  <si>
    <t>DKM-Gebäudenebenfläche</t>
  </si>
  <si>
    <t>DKM-Gartenflächen, die direkt an DLM-Gebäude grenzen und gleiche EZ aufweisen</t>
  </si>
  <si>
    <t>DKM-Garten 2022-04</t>
  </si>
  <si>
    <t>DKM-Betriebsflächen außerhalb Verkehr bzw. BL-Flächenwidmung</t>
  </si>
  <si>
    <t>DKM-Betriebsflächen 2022-04</t>
  </si>
  <si>
    <t>11m-Pufferfläche</t>
  </si>
  <si>
    <t>11m-Puffer rund um DLM-Gebäude (reduziert um INVEKOS und Waldflächen, sowie DKM-Betriebsflächen, DKM-Gebäudenebenflächen und DKM-Gärten)</t>
  </si>
  <si>
    <t>Freizeit- und Erholung</t>
  </si>
  <si>
    <t xml:space="preserve">Zu den Freizeit- und Erholungsflächen zählen, Flächen für intensive Freizeit- und Erholungsnutzungen wie z.B. Park- und Sportanlagen, Golfplätze, Campingplätze, etc. </t>
  </si>
  <si>
    <t>Ver- und Entsorgung</t>
  </si>
  <si>
    <t>Einwohner</t>
  </si>
  <si>
    <t>Anteil Siedlungs- und Verkehrsfläche am Dauersiedlungsraum</t>
  </si>
  <si>
    <t>Auswertungskategorien</t>
  </si>
  <si>
    <t>Siedlungsfläche außerhalb Baulandwidmung</t>
  </si>
  <si>
    <t>Siedlungsfläche innerhalb Baulandwidmung</t>
  </si>
  <si>
    <t xml:space="preserve"> </t>
  </si>
  <si>
    <t>Indikator</t>
  </si>
  <si>
    <t>m² pro EW</t>
  </si>
  <si>
    <t>Ö</t>
  </si>
  <si>
    <t>Detailanalyse Baulandwidmung und Siedlungsfläche</t>
  </si>
  <si>
    <t>Summe Flächeninanspruchnahme</t>
  </si>
  <si>
    <t>BL_KUERZEL</t>
  </si>
  <si>
    <t>% des Dauersiedlungsraums</t>
  </si>
  <si>
    <t>Bezirke pro Bundesland</t>
  </si>
  <si>
    <t>Gebäudeflächen</t>
  </si>
  <si>
    <t>Eisenstadt (Stadt)</t>
  </si>
  <si>
    <t>Rust (Stadt)</t>
  </si>
  <si>
    <t>Krems an der Donau (Stadt)</t>
  </si>
  <si>
    <t>Krems (Land)</t>
  </si>
  <si>
    <t>Sankt Pölten (Land)</t>
  </si>
  <si>
    <t>Sankt Pölten (Stadt)</t>
  </si>
  <si>
    <t>Waidhofen an der Ybbs (Stadt)</t>
  </si>
  <si>
    <t>Wiener Neustadt (Land)</t>
  </si>
  <si>
    <t>Wiener Neustadt (Stadt)</t>
  </si>
  <si>
    <t>Salzburg (Stadt)</t>
  </si>
  <si>
    <t>Graz (Stadt)</t>
  </si>
  <si>
    <t>Bezugsgröße:</t>
  </si>
  <si>
    <t>Erläuterungen</t>
  </si>
  <si>
    <r>
      <t xml:space="preserve">Inanspruchnahme durch Verkehrsflächen. </t>
    </r>
    <r>
      <rPr>
        <sz val="14"/>
        <color theme="9" tint="-0.249977111117893"/>
        <rFont val="Calibri"/>
        <family val="2"/>
        <scheme val="minor"/>
      </rPr>
      <t>Optionale Darstellung als Anteil an der gesamten Flächeninanspruchnahme durch Siedlung- und Verkehr.</t>
    </r>
  </si>
  <si>
    <r>
      <t xml:space="preserve">Inanspruchnahme durch Siedlungsflächen innerhalb der Baulandwidmung: Für das „gewidmete Bauland“ erfolgte durch die Bundesländer eine Zuordnung der Widmungsarten in vier aggregierte Widmungskategorien , in denen laut Raumordnungsgesetzen überwiegend bauliche Nutzungsformen möglich sind. Die landwirtschaftliche genutzten Flächen innerhalb der Baulandwidmung sind nicht Teil der Flächeninanspruchnahme, daher unterwscheidet sich die Siedlungsfläche innerhalb der Baulandwidmung von der gesamten als Bauland gewidmeten Fläche.  </t>
    </r>
    <r>
      <rPr>
        <sz val="14"/>
        <color theme="9" tint="-0.249977111117893"/>
        <rFont val="Calibri"/>
        <family val="2"/>
        <scheme val="minor"/>
      </rPr>
      <t>Optionale Darstellung als Anteil an der gesamten Flächeninanspruchnahme durch Siedlung- und Verkehr.</t>
    </r>
  </si>
  <si>
    <r>
      <t xml:space="preserve">Inanspruchnahme durch Siedlungsflächen außerhalb der Baulandwimdung: Gebäude (&gt;50m2 ohne Glashäuser) außerhalb der Baulandwidmung sowie deren funktional zugehörige Flächen (Gebäudenebenfläche, direkt angrenzende Gärten, DKM-Betriebsflächen, 11m-Puffer).  </t>
    </r>
    <r>
      <rPr>
        <sz val="14"/>
        <color theme="9" tint="-0.249977111117893"/>
        <rFont val="Calibri"/>
        <family val="2"/>
        <scheme val="minor"/>
      </rPr>
      <t>Optionale Darstellung als Anteil an der gesamten Flächeninanspruchnahme durch Siedlung- und Verkehr.</t>
    </r>
  </si>
  <si>
    <t xml:space="preserve">Flächeninanspruchnahme durch Siedlungs- und Verkehrsfläche pro Einwohner:in (Einwohner:innenstand 2022)
</t>
  </si>
  <si>
    <t>Summe aller Gebäudeflächen, sowohl der Gebäude die im Modell als Teil der Flächeninanspruchnahme berücksichtig werden (Gebäude &gt;50m2, aber keine Glashäuser), als auch aller Gebäude &lt;50m2 (ohne Glashäuser) sowohl innerhalb als auch außerhalb der Baulandwidmung. (Datenquelle DLM-Gebäude)</t>
  </si>
  <si>
    <t>Gesamtfläche der aggregierten Widmungskategorien, in denen überwiegend bauliche Nutzungsformen möglich sind, reduziert umd die Verkehrsfläche.</t>
  </si>
  <si>
    <t>Bevölkerung mit Stand 1.1.2022 (Quelle Statistik Austria)</t>
  </si>
  <si>
    <t>Abgrenzung gem. ÖROK-Atlas / Statistik Austria mit Stand Oktober 2011</t>
  </si>
  <si>
    <t>Detailkategorien der Auswertung zu Verkehrsflächen</t>
  </si>
  <si>
    <t>Wohnnutzung entspricht Widmungsarten, in denen überwiegend Wohnnutzungen möglich sind.</t>
  </si>
  <si>
    <t>gemischte Nutzung entspricht Widmungsarten, in denen überwiegend gemischte bauliche Nutzungsformen möglich sind</t>
  </si>
  <si>
    <t>Industrie- und Gewerbenutzung entspricht Widmungsarten, in denen überwiegend betriebliche Nutzungsformen möglich sind</t>
  </si>
  <si>
    <t>sonstige Nutzung entspricht sonstige Widmungsarten, in denen überwiegend bauliche Nutzungsformen möglich sind</t>
  </si>
  <si>
    <t>siehe oben</t>
  </si>
  <si>
    <t>Flächeninanspruchnahme</t>
  </si>
  <si>
    <t>Metadaten</t>
  </si>
  <si>
    <t>File:</t>
  </si>
  <si>
    <t>Datum:</t>
  </si>
  <si>
    <t>readme</t>
  </si>
  <si>
    <t>Detailergebnisse Bundesländer + Bezirke</t>
  </si>
  <si>
    <t>Methodik und Quellen</t>
  </si>
  <si>
    <t>Tabellenblätter</t>
  </si>
  <si>
    <t>Inhalt:</t>
  </si>
  <si>
    <t>Auftrag:</t>
  </si>
  <si>
    <t>Bedienungshinweis Datenblätter</t>
  </si>
  <si>
    <t>Spalte B-E</t>
  </si>
  <si>
    <t>Umschaltmöglichkeiten mit Steuerelementen</t>
  </si>
  <si>
    <t xml:space="preserve">   * Flächenangaben in HEKTAR oder km2</t>
  </si>
  <si>
    <t xml:space="preserve">   * relative oder absolute Angaben</t>
  </si>
  <si>
    <t xml:space="preserve">   * Flächenangaben pro Einwohner:in bzw. Dauersiedlungsraum</t>
  </si>
  <si>
    <t>Rohdaten</t>
  </si>
  <si>
    <t>ausgeblendetes Tabellenblatt mit Rohdaten auf Bezirksebene (re-Maustaste …einblenden)</t>
  </si>
  <si>
    <t>Hinweis:</t>
  </si>
  <si>
    <t>Berechnung</t>
  </si>
  <si>
    <t>= 10x</t>
  </si>
  <si>
    <t>= 211 + 212 +213 + 214</t>
  </si>
  <si>
    <t>= 22x</t>
  </si>
  <si>
    <t>= 211 + 212 + 213 +214 +215 +216</t>
  </si>
  <si>
    <t>Anteil versiegelter Fläche am Dauersiedlungsraum</t>
  </si>
  <si>
    <t>Detailanalysen Baulandwidmung und Siedlungsfläche</t>
  </si>
  <si>
    <t>Versiegelung</t>
  </si>
  <si>
    <t>Indikatoren zur Bodenstrategie (Baseline 2022)</t>
  </si>
  <si>
    <t>landwirtschaftlich genutzte oder bewaldete Flächen innerhalb der Baulandwidmung</t>
  </si>
  <si>
    <t>Baulandwidmung 
(ohne Verkehrsflächen)</t>
  </si>
  <si>
    <t>Baulandreserve 
(unbebaute Grundstücke innerhalb der Baulandwidmung)</t>
  </si>
  <si>
    <t>B_Bezirksnummern</t>
  </si>
  <si>
    <t>K_Bezirksnummern</t>
  </si>
  <si>
    <t>NÖ_Bezirksnummern</t>
  </si>
  <si>
    <t>OÖ_Bezirksnummern</t>
  </si>
  <si>
    <t>S_Bezirksnummern</t>
  </si>
  <si>
    <t>St_Bezirksnummern</t>
  </si>
  <si>
    <t>T_Bezirksnummern</t>
  </si>
  <si>
    <t>V_Bezirksnummern</t>
  </si>
  <si>
    <t>W_Bezirksnummern</t>
  </si>
  <si>
    <t>Beschreibung der Metadaten</t>
  </si>
  <si>
    <t>Ö Hauptergebnisse</t>
  </si>
  <si>
    <t>Gesamtergebnis Österreich FI + Versiegelung und Differenzierung nach Bundesländern</t>
  </si>
  <si>
    <t>Ö Details</t>
  </si>
  <si>
    <r>
      <t xml:space="preserve">Tabellenblätter - </t>
    </r>
    <r>
      <rPr>
        <b/>
        <sz val="11"/>
        <color theme="1"/>
        <rFont val="Calibri"/>
        <family val="2"/>
        <scheme val="minor"/>
      </rPr>
      <t>ausgeblendet</t>
    </r>
  </si>
  <si>
    <t>BL-Template</t>
  </si>
  <si>
    <t>Vorlage für BL-Ergebnisse</t>
  </si>
  <si>
    <t>Konstanten</t>
  </si>
  <si>
    <t>temporäres Arbeitsblatt für Berechnungen</t>
  </si>
  <si>
    <t>Tabelle direkt aus DLM-Auswertung für Gebäudefläche</t>
  </si>
  <si>
    <t>Bevölkerung_DSR</t>
  </si>
  <si>
    <t>Tabelle mit Referenz Bevökkerung + DSR</t>
  </si>
  <si>
    <t>Pivots</t>
  </si>
  <si>
    <t>pivotierte Rohdaten</t>
  </si>
  <si>
    <t>Um Verkehrsflächen reduzierte aggregierte Bauland-Flächenwidmung in 4 Kategorien und Bestimmung der Bebbauung pro GSTK durch DLM-Gebäude (&gt;50m2) in Ergänzung um AGWR ohne Glashäuser;</t>
  </si>
  <si>
    <t>BL-FläWi 2022-06
DLM-Gebäude 2022-04 (2013-2020)
AGWR_II 2022-06
OSM-Glashäuser 2022-06</t>
  </si>
  <si>
    <t>Fläche bzw. Anteil der unbebauten Grundstücke innerhalb der Baulandwidmung</t>
  </si>
  <si>
    <t>Anteil der landwirtschaftlich genutzten Grundstücke (gemäß INVEKOS Daten)  bzw. Grundstücksteile mit Wald (gemäß BFW-Waldlayer) innerhalb der Baulandwidmung. Die INVEKOS- bzw Wald- Flächen können sowohl auf gänzlich unbebauten Grundstücken als auch auf Teilen von bebauten Grundstücken vorkommen.</t>
  </si>
  <si>
    <t>= (215+216) / ( 211 + 212 + 213 +214 +215 +216)</t>
  </si>
  <si>
    <t>GIS Berechnung der Polygonfläche aus DLM-Gebäude</t>
  </si>
  <si>
    <r>
      <t xml:space="preserve">= [(211 + 212 + 213 +214 +215 +216) mit </t>
    </r>
    <r>
      <rPr>
        <sz val="14"/>
        <color rgb="FFFF0000"/>
        <rFont val="Calibri"/>
        <family val="2"/>
        <scheme val="minor"/>
      </rPr>
      <t>Bebbaung =  0</t>
    </r>
    <r>
      <rPr>
        <sz val="14"/>
        <color theme="1"/>
        <rFont val="Calibri"/>
        <family val="2"/>
        <scheme val="minor"/>
      </rPr>
      <t>]  / [211 + 212 + 213 +214 +215 +216]</t>
    </r>
  </si>
  <si>
    <t>beschreibende Tabellenblätter sind schreibgeschützt (ohne Passwort)</t>
  </si>
  <si>
    <t>Daten-Tabellenblätte OHNE Passwortschutz, da sonst die Funktionen nicht verwendet werden könnten (Umschaltbutton ha/km2 bzw. pro EW/ pro DSR)</t>
  </si>
  <si>
    <t>Zu den Ver- und Entsorgungsanlagen zählen intensiv genutzte Betriebsflächen von Ver- und Entsorgungsinfrastruktur, wie Kläranlagen, Umspannwerke, Kraftwerke, sowie Deponien und Abbauflächen (soweit sie nicht in den Siedlungsflächen miterfasst sind).  Ausgenommen FreiflächenPV und Windkraft-Anlagen (siehe eigene Kategorie 500).</t>
  </si>
  <si>
    <t>B, K, NÖ, OÖ, S, St, V, T, W</t>
  </si>
  <si>
    <t>m²/EW</t>
  </si>
  <si>
    <t>versiegelte Fläche pro Einwohner:in</t>
  </si>
  <si>
    <t>Flächeninanspruchnahme gesamt</t>
  </si>
  <si>
    <t>Versiegelung gesamt</t>
  </si>
  <si>
    <t>Flächeneinheit</t>
  </si>
  <si>
    <t>Freizeitflächen</t>
  </si>
  <si>
    <t>Ver- und Entsorgungsflächen</t>
  </si>
  <si>
    <t>Flächeninanspruchnahme pro Einwohner:in</t>
  </si>
  <si>
    <t>Umrechnungsfaktor 2:</t>
  </si>
  <si>
    <t>Versiegelung gesamt:</t>
  </si>
  <si>
    <t>FI gesamt:</t>
  </si>
  <si>
    <t>FI</t>
  </si>
  <si>
    <t>davon VS</t>
  </si>
  <si>
    <t>davon nicht VS</t>
  </si>
  <si>
    <t>davon außerdem versiegelt</t>
  </si>
  <si>
    <t>der gesamten Flächeninanspruchnahme</t>
  </si>
  <si>
    <t>Freizeit &amp; Erholungsfläche</t>
  </si>
  <si>
    <t>Hauptergebnisse</t>
  </si>
  <si>
    <t>Standardteiler:</t>
  </si>
  <si>
    <t>Fakt_3:</t>
  </si>
  <si>
    <t>Summe A bis E</t>
  </si>
  <si>
    <t>Flächeninanspruchnahme: für "Siedlungsflächen innerhalb der Baulandwidmung", "Siedlungsflächen außerhalb der Baulandwidmung" und "Verkehrsflächen". Die Daten zur Flächeninanspruchnahme beruhen auf einem für Gesamtösterreich neu entwickelten Modell. Die Ergebnisse können aufgrund unterschiedlicher Methodiken von jenen einzelner Bundesländer abweichen. Die Kategorie "Siedlungsfläche innerhalb Baulandwidmung" umfasst das gewidmete Bauland abzüglich Flächen die aktiv landwirtschaftlich genutzt werden oder bewaldet sind.</t>
  </si>
  <si>
    <r>
      <t>A </t>
    </r>
    <r>
      <rPr>
        <b/>
        <sz val="10"/>
        <color theme="1"/>
        <rFont val="Webdings"/>
        <family val="1"/>
        <charset val="2"/>
      </rPr>
      <t>4</t>
    </r>
  </si>
  <si>
    <r>
      <t>B </t>
    </r>
    <r>
      <rPr>
        <b/>
        <sz val="10"/>
        <color theme="1"/>
        <rFont val="Webdings"/>
        <family val="1"/>
        <charset val="2"/>
      </rPr>
      <t>4</t>
    </r>
  </si>
  <si>
    <r>
      <t>C </t>
    </r>
    <r>
      <rPr>
        <b/>
        <sz val="10"/>
        <color theme="1"/>
        <rFont val="Webdings"/>
        <family val="1"/>
        <charset val="2"/>
      </rPr>
      <t>4</t>
    </r>
  </si>
  <si>
    <r>
      <t>D </t>
    </r>
    <r>
      <rPr>
        <b/>
        <sz val="10"/>
        <color theme="1"/>
        <rFont val="Webdings"/>
        <family val="1"/>
        <charset val="2"/>
      </rPr>
      <t>4</t>
    </r>
  </si>
  <si>
    <r>
      <t>E </t>
    </r>
    <r>
      <rPr>
        <b/>
        <sz val="10"/>
        <color theme="1"/>
        <rFont val="Webdings"/>
        <family val="1"/>
        <charset val="2"/>
      </rPr>
      <t>4</t>
    </r>
  </si>
  <si>
    <t>Einstellungen</t>
  </si>
  <si>
    <t>Total</t>
  </si>
  <si>
    <t>Detailanalysen (Baseline 2022)</t>
  </si>
  <si>
    <t>Detailanalysen Bauland und Widmungsfläche</t>
  </si>
  <si>
    <t>Fak_1:</t>
  </si>
  <si>
    <t>Baulandwidmung:</t>
  </si>
  <si>
    <t>in Prozent der Baulandwidmung:</t>
  </si>
  <si>
    <t>Einwohner:innen</t>
  </si>
  <si>
    <t>Baulandreserve (unbebaute Grundstücke innerhalb der Baulandwidmung)</t>
  </si>
  <si>
    <t>Freizeit- und Erholungsflächen</t>
  </si>
  <si>
    <t>Anteil Flächeninanspruchnahme am Dauersiedlungsraum</t>
  </si>
  <si>
    <t>Siehe Details</t>
  </si>
  <si>
    <t>Gebäude in Freizeit (DLM)</t>
  </si>
  <si>
    <t>DLM-Bauwerke 2022-04</t>
  </si>
  <si>
    <t>DLM-Gebietsnutzung: Freizeit</t>
  </si>
  <si>
    <t>DLM-Gebietsnutzung 2022-04
3200</t>
  </si>
  <si>
    <t>DKM-Freizeitflächen</t>
  </si>
  <si>
    <t>DKM - Freizeit 2022-04</t>
  </si>
  <si>
    <t>FläWi-Kat 5: Freizeit/Erholung</t>
  </si>
  <si>
    <t>generalisierte FläWi-Kat. #5 2022-06</t>
  </si>
  <si>
    <t>keine FI</t>
  </si>
  <si>
    <t>Landwirtschaft (INVEKOS) innerhalb F&amp;E</t>
  </si>
  <si>
    <t xml:space="preserve">
INVEKOS-Referenzen 2022-07</t>
  </si>
  <si>
    <t>Wald innerhalb F&amp;E</t>
  </si>
  <si>
    <t>siehe Details</t>
  </si>
  <si>
    <t>Gebäude in V&amp;E (DLM)</t>
  </si>
  <si>
    <t>DLM-Ver/Entsorgung</t>
  </si>
  <si>
    <t>DLM-Gebietsnutzung 2022-04
3400</t>
  </si>
  <si>
    <t>DKM Abbaufläche (nur 2022)</t>
  </si>
  <si>
    <t>DKM - Abbau/Deponien 2022-04</t>
  </si>
  <si>
    <t>DKM Betrieb/Kraftwerk (nur 2022)</t>
  </si>
  <si>
    <t>FLäWi-Kat 6: Ver/Entsorgung</t>
  </si>
  <si>
    <t>generalisierte FläWi-Kat. #6; 2022-06</t>
  </si>
  <si>
    <t>FLäWi-Kat 7: Abbauflächen</t>
  </si>
  <si>
    <t>generalisierte FläWi-Kat. #7; 2022-06</t>
  </si>
  <si>
    <t>Landwirtschaft (INVEKOS) innerhalb V&amp;E</t>
  </si>
  <si>
    <t>Wald innerhalb V&amp;E</t>
  </si>
  <si>
    <t>Flächeninanspruchnahme  gesamt</t>
  </si>
  <si>
    <t>Gesamte Flächeninanspruchnahme durch Verkehrsflächen, Siedlungsflächen innerhalb der Baulandwidmung,  Siedlungsflächen außerhalb der Baulandwidmung, Freizeit- und Erholungsflächen sowie Ver- und Entsorgungsflächen</t>
  </si>
  <si>
    <t>= 10x + 211 + 212 +213 + 214 + 22x+3xx+4xx, ausgn. 395, 396, 495, 496</t>
  </si>
  <si>
    <t xml:space="preserve"> Verkehrsfläche</t>
  </si>
  <si>
    <t xml:space="preserve"> Siedlungsfläche innerhalb Baulandwidmung</t>
  </si>
  <si>
    <t xml:space="preserve"> Siedlungsfläche(*) außerhalb Baulandwidmung</t>
  </si>
  <si>
    <t>Inanspruchnahme durch Freizeit- und Erholungsflächen (Freiezeit- und Sportanlagen, Golfplätze, Schwimmbäder, Campingplätze, Friedhöfe, etc.)</t>
  </si>
  <si>
    <t>=3xx, ausgn. 395, 396</t>
  </si>
  <si>
    <t>Inanspruchnahme durch Ver- und Entsorgungsflächen (Kraftwerke, Kläranlagen, Abbauflächen, Deponien, etc.)</t>
  </si>
  <si>
    <t>=4xx, ausgn. 495, 496</t>
  </si>
  <si>
    <t>= (10x + 211 + 212 +213 + 214 + 22x+3xx+4xx, ausgn. 395, 396, 495, 496) / EW</t>
  </si>
  <si>
    <t>Anteil Flächeninanspruchnameam Dauersiedlungsraum</t>
  </si>
  <si>
    <t xml:space="preserve">Anteil der Flächeninanspruchnahme am Dauersiedlungsraum (Abgrenzung gem. ÖROK-Atlas / Statistik Austria) 
</t>
  </si>
  <si>
    <t>= (10x + 211 + 212 +213 + 214 + 22x+3xx+4xx; ausgn. 395, 396, 495, 496 ) / DSR</t>
  </si>
  <si>
    <t>Flächeninanspruchnahme: für "Siedlungsflächen innerhalb der Baulandwidmung", "Siedlungsflächen außerhalb der Baulandwidmung",  "Verkehrsflächen", "Freizeit- und Erholungsflächen" sowie "Ver- und Entsorgungsflächen". Die Daten zur Flächeninanspruchnahme beruhen auf einem für Gesamtösterreich neu entwickelten Modell. Die Ergebnisse können aufgrund unterschiedlicher Methodiken von jenen einzelner Bundesländer abweichen. Die Kategorie "Siedlungsfläche innerhalb Baulandwidmung" umfasst das gewidmete Bauland abzüglich Flächen die aktiv landwirtschaftlich genutzt werden oder bewaldet sind.</t>
  </si>
  <si>
    <r>
      <t xml:space="preserve">Flächeninanspruchnahme bzw. Versigelung </t>
    </r>
    <r>
      <rPr>
        <b/>
        <sz val="20"/>
        <color rgb="FFFF0000"/>
        <rFont val="Calibri"/>
        <family val="2"/>
        <scheme val="minor"/>
      </rPr>
      <t>(getrennte Tabellen)</t>
    </r>
  </si>
  <si>
    <t>3xx</t>
  </si>
  <si>
    <t>4xx</t>
  </si>
  <si>
    <t>textliche Beschreibung der Inhalte der Tabellennlätter und Indikatoren (inkl. Angabe der Berechnungsformel)</t>
  </si>
  <si>
    <t>Ergebnisse Baseline 2022 Flächeninanspruchnahme für alle Module - v 4.3</t>
  </si>
  <si>
    <t>Summe Versiegelung</t>
  </si>
  <si>
    <t>Umrechnungsfaktor 1</t>
  </si>
  <si>
    <t>Fak_1</t>
  </si>
  <si>
    <t>Indikatoren zu Flächeninanspruchnahme und Versiegelung: Stand 2022 (Baseline)</t>
  </si>
  <si>
    <t>Erläuterungen: Indikatoren zu Flächeninanspruchnahme und Versiegelung: Stand 2022 (Baseline)</t>
  </si>
  <si>
    <t>ÖROK - Monitoring Flächeninanspruchnahme, Bearbeitung: Umweltbundesamt</t>
  </si>
  <si>
    <t>FI_Vers_Statistik_Baseline_2022_v4_3_Stand_01_Dez_2023_Veröffentlichung.xlsx</t>
  </si>
  <si>
    <t>tabellarische Kurzbeschreibung der Datenquellen und Auswertungskategorien</t>
  </si>
  <si>
    <t>Autoren:</t>
  </si>
  <si>
    <t>Gebhard Banko, Michael Weiß, Karin Wannemacher, Ivo Offenthaler, Martin Neuwirth</t>
  </si>
  <si>
    <t>Projektleitung:</t>
  </si>
  <si>
    <t>Barbara Birli</t>
  </si>
  <si>
    <r>
      <t xml:space="preserve">Hauptergebnisse - </t>
    </r>
    <r>
      <rPr>
        <b/>
        <sz val="24"/>
        <color rgb="FFFF0000"/>
        <rFont val="Calibri"/>
        <family val="2"/>
        <scheme val="minor"/>
      </rPr>
      <t>getrennt</t>
    </r>
    <r>
      <rPr>
        <b/>
        <sz val="24"/>
        <color theme="3"/>
        <rFont val="Calibri"/>
        <family val="2"/>
        <scheme val="minor"/>
      </rPr>
      <t xml:space="preserve"> für Flächeninanspruchnahme und Versiegelung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</si>
</sst>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1 : &quot;#.#"/>
    <numFmt numFmtId="165" formatCode="#,##0_ ;\-#,##0\ "/>
    <numFmt numFmtId="166" formatCode="#,##0.0"/>
    <numFmt numFmtId="167" formatCode="0.0%"/>
    <numFmt numFmtId="168" formatCode="[$-C07]d/mmmm\ yyyy;@"/>
  </numFmts>
  <fonts count="81" x14ac:knownFonts="1">
    <font>
      <sz val="11"/>
      <color theme="1"/>
      <name val="Calibri"/>
      <family val="2"/>
      <scheme val="minor"/>
    </font>
    <font>
      <b/>
      <sz val="15"/>
      <color theme="3"/>
      <name val="Calibri"/>
      <family val="2"/>
      <scheme val="minor"/>
    </font>
    <font>
      <sz val="18"/>
      <color theme="3"/>
      <name val="Calibri Light"/>
      <family val="2"/>
      <scheme val="major"/>
    </font>
    <font>
      <sz val="11"/>
      <color rgb="FF9C6500"/>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sz val="11"/>
      <color rgb="FF9C0006"/>
      <name val="Calibri"/>
      <family val="2"/>
      <scheme val="minor"/>
    </font>
    <font>
      <sz val="11"/>
      <color theme="0" tint="-0.499984740745262"/>
      <name val="Calibri"/>
      <family val="2"/>
      <scheme val="minor"/>
    </font>
    <font>
      <sz val="14"/>
      <color theme="0"/>
      <name val="Calibri"/>
      <family val="2"/>
      <scheme val="minor"/>
    </font>
    <font>
      <sz val="11"/>
      <color rgb="FFFF0000"/>
      <name val="Calibri"/>
      <family val="2"/>
      <scheme val="minor"/>
    </font>
    <font>
      <sz val="14"/>
      <color rgb="FFFF0000"/>
      <name val="Calibri"/>
      <family val="2"/>
      <scheme val="minor"/>
    </font>
    <font>
      <sz val="11"/>
      <name val="Calibri"/>
      <family val="2"/>
      <scheme val="minor"/>
    </font>
    <font>
      <b/>
      <sz val="11"/>
      <color theme="3"/>
      <name val="Calibri"/>
      <family val="2"/>
      <scheme val="minor"/>
    </font>
    <font>
      <sz val="11"/>
      <color theme="1" tint="0.34998626667073579"/>
      <name val="Calibri"/>
      <family val="2"/>
      <scheme val="minor"/>
    </font>
    <font>
      <sz val="11"/>
      <color theme="0" tint="-0.34998626667073579"/>
      <name val="Calibri"/>
      <family val="2"/>
      <scheme val="minor"/>
    </font>
    <font>
      <sz val="12"/>
      <color theme="1"/>
      <name val="Calibri"/>
      <family val="2"/>
      <scheme val="minor"/>
    </font>
    <font>
      <sz val="11"/>
      <color theme="0"/>
      <name val="Calibri"/>
      <family val="2"/>
      <scheme val="minor"/>
    </font>
    <font>
      <sz val="18"/>
      <name val="Calibri"/>
      <family val="2"/>
      <scheme val="minor"/>
    </font>
    <font>
      <sz val="12"/>
      <color theme="0"/>
      <name val="Calibri"/>
      <family val="2"/>
      <scheme val="minor"/>
    </font>
    <font>
      <sz val="20"/>
      <color theme="1"/>
      <name val="Calibri"/>
      <family val="2"/>
      <scheme val="minor"/>
    </font>
    <font>
      <sz val="20"/>
      <color theme="2" tint="-0.749992370372631"/>
      <name val="Calibri"/>
      <family val="2"/>
      <scheme val="minor"/>
    </font>
    <font>
      <sz val="18"/>
      <color theme="1"/>
      <name val="Calibri"/>
      <family val="2"/>
      <scheme val="minor"/>
    </font>
    <font>
      <sz val="20"/>
      <name val="Calibri"/>
      <family val="2"/>
      <scheme val="minor"/>
    </font>
    <font>
      <sz val="14"/>
      <name val="Calibri"/>
      <family val="2"/>
      <scheme val="minor"/>
    </font>
    <font>
      <sz val="9"/>
      <name val="Arial Narrow"/>
      <family val="2"/>
    </font>
    <font>
      <b/>
      <sz val="14"/>
      <name val="Calibri"/>
      <family val="2"/>
      <scheme val="minor"/>
    </font>
    <font>
      <b/>
      <sz val="28"/>
      <name val="Calibri Light"/>
      <family val="2"/>
      <scheme val="major"/>
    </font>
    <font>
      <b/>
      <sz val="11"/>
      <name val="Calibri"/>
      <family val="2"/>
      <scheme val="minor"/>
    </font>
    <font>
      <b/>
      <sz val="24"/>
      <color theme="3"/>
      <name val="Calibri"/>
      <family val="2"/>
      <scheme val="minor"/>
    </font>
    <font>
      <b/>
      <sz val="20"/>
      <name val="Calibri"/>
      <family val="2"/>
      <scheme val="minor"/>
    </font>
    <font>
      <b/>
      <sz val="14"/>
      <color theme="2" tint="-0.749992370372631"/>
      <name val="Calibri"/>
      <family val="2"/>
      <scheme val="minor"/>
    </font>
    <font>
      <sz val="14"/>
      <color theme="9" tint="-0.249977111117893"/>
      <name val="Calibri"/>
      <family val="2"/>
      <scheme val="minor"/>
    </font>
    <font>
      <b/>
      <sz val="48"/>
      <color theme="1"/>
      <name val="Calibri"/>
      <family val="2"/>
      <scheme val="minor"/>
    </font>
    <font>
      <b/>
      <sz val="11"/>
      <color theme="0" tint="-0.499984740745262"/>
      <name val="Calibri"/>
      <family val="2"/>
      <scheme val="minor"/>
    </font>
    <font>
      <b/>
      <sz val="24"/>
      <color rgb="FFFF0000"/>
      <name val="Calibri"/>
      <family val="2"/>
      <scheme val="minor"/>
    </font>
    <font>
      <b/>
      <sz val="20"/>
      <color rgb="FFFF0000"/>
      <name val="Calibri"/>
      <family val="2"/>
      <scheme val="minor"/>
    </font>
    <font>
      <sz val="48"/>
      <color theme="1"/>
      <name val="Open Sans"/>
      <family val="2"/>
    </font>
    <font>
      <sz val="14"/>
      <color theme="1"/>
      <name val="Open Sans"/>
      <family val="2"/>
    </font>
    <font>
      <b/>
      <sz val="48"/>
      <color theme="1"/>
      <name val="Open Sans"/>
      <family val="2"/>
    </font>
    <font>
      <sz val="16"/>
      <color theme="0" tint="-0.499984740745262"/>
      <name val="Open Sans"/>
      <family val="2"/>
    </font>
    <font>
      <sz val="9"/>
      <name val="Open Sans"/>
      <family val="2"/>
    </font>
    <font>
      <sz val="18"/>
      <name val="Open Sans"/>
      <family val="2"/>
    </font>
    <font>
      <sz val="11"/>
      <name val="Open Sans"/>
      <family val="2"/>
    </font>
    <font>
      <sz val="11"/>
      <color theme="1"/>
      <name val="Open Sans"/>
      <family val="2"/>
    </font>
    <font>
      <b/>
      <sz val="18"/>
      <color theme="1"/>
      <name val="Open Sans"/>
      <family val="2"/>
    </font>
    <font>
      <sz val="10"/>
      <color theme="1"/>
      <name val="Open Sans"/>
      <family val="2"/>
    </font>
    <font>
      <sz val="10"/>
      <name val="Open Sans"/>
      <family val="2"/>
    </font>
    <font>
      <b/>
      <sz val="10"/>
      <color theme="1"/>
      <name val="Open Sans"/>
      <family val="2"/>
    </font>
    <font>
      <b/>
      <sz val="10"/>
      <name val="Open Sans"/>
      <family val="2"/>
    </font>
    <font>
      <i/>
      <sz val="10"/>
      <color theme="1"/>
      <name val="Open Sans"/>
      <family val="2"/>
    </font>
    <font>
      <i/>
      <sz val="10"/>
      <color theme="0"/>
      <name val="Open Sans"/>
      <family val="2"/>
    </font>
    <font>
      <sz val="10"/>
      <color theme="0" tint="-0.499984740745262"/>
      <name val="Open Sans"/>
      <family val="2"/>
    </font>
    <font>
      <b/>
      <sz val="10"/>
      <color theme="0"/>
      <name val="Open Sans"/>
      <family val="2"/>
    </font>
    <font>
      <b/>
      <sz val="14"/>
      <color theme="1"/>
      <name val="Open Sans"/>
      <family val="2"/>
    </font>
    <font>
      <b/>
      <sz val="14"/>
      <name val="Open Sans"/>
      <family val="2"/>
    </font>
    <font>
      <b/>
      <sz val="12"/>
      <color theme="1"/>
      <name val="Open Sans"/>
      <family val="2"/>
    </font>
    <font>
      <sz val="7"/>
      <name val="Open Sans"/>
      <family val="2"/>
    </font>
    <font>
      <b/>
      <sz val="14"/>
      <color theme="0"/>
      <name val="Open Sans"/>
      <family val="2"/>
    </font>
    <font>
      <sz val="7"/>
      <color theme="0" tint="-0.249977111117893"/>
      <name val="Open Sans"/>
      <family val="2"/>
    </font>
    <font>
      <sz val="11"/>
      <color theme="0" tint="-0.249977111117893"/>
      <name val="Open Sans"/>
      <family val="2"/>
    </font>
    <font>
      <b/>
      <sz val="16"/>
      <color theme="1"/>
      <name val="Open Sans"/>
      <family val="2"/>
    </font>
    <font>
      <sz val="12"/>
      <color theme="1"/>
      <name val="Open Sans"/>
      <family val="2"/>
    </font>
    <font>
      <i/>
      <sz val="10"/>
      <name val="Open Sans"/>
      <family val="2"/>
    </font>
    <font>
      <sz val="10"/>
      <color theme="0" tint="-0.34998626667073579"/>
      <name val="Open Sans"/>
      <family val="2"/>
    </font>
    <font>
      <b/>
      <i/>
      <sz val="10"/>
      <color theme="1"/>
      <name val="Open Sans"/>
      <family val="2"/>
    </font>
    <font>
      <b/>
      <sz val="10"/>
      <color theme="1"/>
      <name val="Webdings"/>
      <family val="1"/>
      <charset val="2"/>
    </font>
    <font>
      <b/>
      <sz val="24"/>
      <color theme="1"/>
      <name val="Open Sans"/>
      <family val="2"/>
    </font>
    <font>
      <sz val="24"/>
      <color theme="0"/>
      <name val="Open Sans"/>
      <family val="2"/>
    </font>
    <font>
      <b/>
      <sz val="11"/>
      <color theme="1"/>
      <name val="Open Sans"/>
      <family val="2"/>
    </font>
    <font>
      <b/>
      <sz val="11"/>
      <name val="Open Sans"/>
      <family val="2"/>
    </font>
    <font>
      <i/>
      <sz val="10"/>
      <color rgb="FFFF0000"/>
      <name val="Open Sans"/>
      <family val="2"/>
    </font>
    <font>
      <b/>
      <sz val="12"/>
      <name val="Open Sans"/>
      <family val="2"/>
    </font>
    <font>
      <sz val="36"/>
      <color theme="1"/>
      <name val="Open Sans"/>
      <family val="2"/>
    </font>
    <font>
      <sz val="36"/>
      <name val="Open Sans"/>
      <family val="2"/>
    </font>
    <font>
      <sz val="48"/>
      <color rgb="FFFFFFFF"/>
      <name val="Open Sans"/>
      <family val="2"/>
    </font>
    <font>
      <sz val="11"/>
      <color rgb="FFFFFFFF"/>
      <name val="Open Sans"/>
      <family val="2"/>
    </font>
    <font>
      <sz val="10"/>
      <color rgb="FFFFFFFF"/>
      <name val="Open Sans"/>
      <family val="2"/>
    </font>
    <font>
      <b/>
      <sz val="14"/>
      <color rgb="FFFFFFFF"/>
      <name val="Open Sans"/>
      <family val="2"/>
    </font>
  </fonts>
  <fills count="18">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4" tint="-0.499984740745262"/>
        <bgColor indexed="64"/>
      </patternFill>
    </fill>
  </fills>
  <borders count="24">
    <border>
      <left/>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theme="4" tint="0.39997558519241921"/>
      </bottom>
      <diagonal/>
    </border>
    <border>
      <left/>
      <right/>
      <top/>
      <bottom style="hair">
        <color auto="1"/>
      </bottom>
      <diagonal/>
    </border>
    <border>
      <left/>
      <right/>
      <top style="double">
        <color theme="0" tint="-4.9989318521683403E-2"/>
      </top>
      <bottom/>
      <diagonal/>
    </border>
    <border>
      <left/>
      <right/>
      <top style="medium">
        <color auto="1"/>
      </top>
      <bottom/>
      <diagonal/>
    </border>
    <border>
      <left style="thick">
        <color theme="0"/>
      </left>
      <right style="thick">
        <color theme="0"/>
      </right>
      <top style="thick">
        <color theme="0"/>
      </top>
      <bottom style="thick">
        <color theme="0"/>
      </bottom>
      <diagonal/>
    </border>
    <border>
      <left/>
      <right style="thin">
        <color indexed="64"/>
      </right>
      <top/>
      <bottom/>
      <diagonal/>
    </border>
    <border>
      <left/>
      <right style="thick">
        <color theme="0"/>
      </right>
      <top/>
      <bottom/>
      <diagonal/>
    </border>
    <border>
      <left/>
      <right/>
      <top style="hair">
        <color auto="1"/>
      </top>
      <bottom style="hair">
        <color auto="1"/>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11">
    <xf numFmtId="0" fontId="0" fillId="0" borderId="0"/>
    <xf numFmtId="0" fontId="1" fillId="0" borderId="1" applyNumberFormat="0" applyFill="0" applyAlignment="0" applyProtection="0"/>
    <xf numFmtId="0" fontId="2" fillId="0" borderId="0" applyNumberFormat="0" applyFill="0" applyBorder="0" applyAlignment="0" applyProtection="0"/>
    <xf numFmtId="0" fontId="3" fillId="3" borderId="0" applyNumberFormat="0" applyBorder="0" applyAlignment="0" applyProtection="0"/>
    <xf numFmtId="0" fontId="4" fillId="4" borderId="2" applyNumberFormat="0" applyFont="0" applyAlignment="0" applyProtection="0"/>
    <xf numFmtId="43" fontId="4" fillId="0" borderId="0" applyFont="0" applyFill="0" applyBorder="0" applyAlignment="0" applyProtection="0"/>
    <xf numFmtId="0" fontId="9" fillId="6" borderId="0" applyNumberFormat="0" applyBorder="0" applyAlignment="0" applyProtection="0"/>
    <xf numFmtId="0" fontId="15" fillId="0" borderId="10" applyNumberFormat="0" applyFill="0" applyAlignment="0" applyProtection="0"/>
    <xf numFmtId="0" fontId="22" fillId="2" borderId="0">
      <alignment horizontal="center"/>
    </xf>
    <xf numFmtId="0" fontId="23" fillId="5" borderId="12">
      <alignment horizontal="right" vertical="center" wrapText="1"/>
    </xf>
    <xf numFmtId="9" fontId="4" fillId="0" borderId="0" applyFont="0" applyFill="0" applyBorder="0" applyAlignment="0" applyProtection="0"/>
  </cellStyleXfs>
  <cellXfs count="418">
    <xf numFmtId="0" fontId="0" fillId="0" borderId="0" xfId="0"/>
    <xf numFmtId="0" fontId="0" fillId="2" borderId="0" xfId="0" applyFill="1"/>
    <xf numFmtId="0" fontId="0" fillId="2" borderId="0" xfId="0" applyFill="1" applyAlignment="1">
      <alignment horizontal="right"/>
    </xf>
    <xf numFmtId="0" fontId="1" fillId="2" borderId="1" xfId="1" applyFill="1"/>
    <xf numFmtId="4" fontId="0" fillId="0" borderId="0" xfId="0" applyNumberFormat="1"/>
    <xf numFmtId="0" fontId="5" fillId="0" borderId="0" xfId="0" applyFont="1"/>
    <xf numFmtId="0" fontId="0" fillId="2" borderId="0" xfId="0" applyFill="1" applyAlignment="1">
      <alignment horizontal="left" vertical="center"/>
    </xf>
    <xf numFmtId="0" fontId="6" fillId="2" borderId="0" xfId="0" applyFont="1" applyFill="1"/>
    <xf numFmtId="0" fontId="0" fillId="2" borderId="0" xfId="0" applyFill="1" applyAlignment="1">
      <alignment horizontal="right" vertical="center"/>
    </xf>
    <xf numFmtId="0" fontId="0" fillId="2" borderId="3" xfId="0" applyFill="1" applyBorder="1"/>
    <xf numFmtId="0" fontId="0" fillId="2" borderId="3" xfId="0" applyFill="1" applyBorder="1" applyAlignment="1">
      <alignment vertical="top"/>
    </xf>
    <xf numFmtId="0" fontId="0" fillId="2" borderId="0" xfId="0" applyFill="1" applyAlignment="1">
      <alignment vertical="center"/>
    </xf>
    <xf numFmtId="0" fontId="0" fillId="2" borderId="4" xfId="0" applyFill="1" applyBorder="1" applyAlignment="1">
      <alignment horizontal="center" vertical="center" wrapText="1"/>
    </xf>
    <xf numFmtId="0" fontId="0" fillId="2" borderId="4" xfId="0" applyFill="1" applyBorder="1" applyAlignment="1">
      <alignment horizontal="left" vertical="center" wrapText="1"/>
    </xf>
    <xf numFmtId="0" fontId="12" fillId="7" borderId="0" xfId="0" applyFont="1" applyFill="1"/>
    <xf numFmtId="0" fontId="0" fillId="9" borderId="8" xfId="0" applyFill="1" applyBorder="1" applyAlignment="1">
      <alignment vertical="center"/>
    </xf>
    <xf numFmtId="0" fontId="0" fillId="9" borderId="8" xfId="0" applyFill="1" applyBorder="1" applyAlignment="1">
      <alignment vertical="center" wrapText="1"/>
    </xf>
    <xf numFmtId="0" fontId="0" fillId="9" borderId="8" xfId="0" applyFill="1" applyBorder="1" applyAlignment="1">
      <alignment horizontal="left" vertical="top" wrapText="1"/>
    </xf>
    <xf numFmtId="0" fontId="5" fillId="10" borderId="8" xfId="0" applyFont="1" applyFill="1" applyBorder="1" applyAlignment="1">
      <alignment horizontal="center" vertical="center"/>
    </xf>
    <xf numFmtId="0" fontId="0" fillId="10" borderId="8" xfId="0" applyFill="1" applyBorder="1" applyAlignment="1">
      <alignment horizontal="left" vertical="top"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8" xfId="0" applyBorder="1" applyAlignment="1">
      <alignment vertical="center" wrapText="1"/>
    </xf>
    <xf numFmtId="0" fontId="0" fillId="0" borderId="8" xfId="0" applyBorder="1" applyAlignment="1">
      <alignment horizontal="left" vertical="top" wrapText="1"/>
    </xf>
    <xf numFmtId="0" fontId="5" fillId="7" borderId="8" xfId="0" applyFont="1" applyFill="1" applyBorder="1" applyAlignment="1">
      <alignment horizontal="center" vertical="center"/>
    </xf>
    <xf numFmtId="0" fontId="0" fillId="7" borderId="8" xfId="0" applyFill="1" applyBorder="1" applyAlignment="1">
      <alignment horizontal="left" vertical="top" wrapText="1"/>
    </xf>
    <xf numFmtId="0" fontId="0" fillId="11" borderId="8" xfId="0" applyFill="1" applyBorder="1" applyAlignment="1">
      <alignment horizontal="center" vertical="center"/>
    </xf>
    <xf numFmtId="0" fontId="0" fillId="11" borderId="8" xfId="0" applyFill="1" applyBorder="1" applyAlignment="1">
      <alignment vertical="center"/>
    </xf>
    <xf numFmtId="0" fontId="0" fillId="11" borderId="8" xfId="0" applyFill="1" applyBorder="1" applyAlignment="1">
      <alignment vertical="center" wrapText="1"/>
    </xf>
    <xf numFmtId="0" fontId="0" fillId="11" borderId="8" xfId="0" applyFill="1" applyBorder="1" applyAlignment="1">
      <alignment horizontal="left" vertical="top" wrapText="1"/>
    </xf>
    <xf numFmtId="0" fontId="0" fillId="8" borderId="8" xfId="0" applyFill="1" applyBorder="1" applyAlignment="1">
      <alignment horizontal="center" vertical="center"/>
    </xf>
    <xf numFmtId="0" fontId="0" fillId="8" borderId="8" xfId="0" applyFill="1" applyBorder="1" applyAlignment="1">
      <alignment vertical="center"/>
    </xf>
    <xf numFmtId="0" fontId="0" fillId="8" borderId="8" xfId="0" applyFill="1" applyBorder="1" applyAlignment="1">
      <alignment vertical="center" wrapText="1"/>
    </xf>
    <xf numFmtId="0" fontId="0" fillId="8" borderId="8" xfId="0" applyFill="1" applyBorder="1" applyAlignment="1">
      <alignment horizontal="left" vertical="top" wrapText="1"/>
    </xf>
    <xf numFmtId="0" fontId="0" fillId="12" borderId="8" xfId="0" applyFill="1" applyBorder="1" applyAlignment="1">
      <alignment vertical="center"/>
    </xf>
    <xf numFmtId="0" fontId="0" fillId="12" borderId="8" xfId="0" applyFill="1" applyBorder="1" applyAlignment="1">
      <alignment horizontal="left" vertical="top" wrapText="1"/>
    </xf>
    <xf numFmtId="0" fontId="0" fillId="13" borderId="8" xfId="0" applyFill="1" applyBorder="1" applyAlignment="1">
      <alignment vertical="center"/>
    </xf>
    <xf numFmtId="0" fontId="0" fillId="13" borderId="8" xfId="0" applyFill="1" applyBorder="1" applyAlignment="1">
      <alignment horizontal="left" vertical="top" wrapText="1"/>
    </xf>
    <xf numFmtId="0" fontId="6" fillId="2" borderId="0" xfId="0" applyFont="1" applyFill="1" applyAlignment="1">
      <alignment horizontal="right" vertical="center"/>
    </xf>
    <xf numFmtId="0" fontId="3" fillId="2" borderId="0" xfId="3" applyFill="1" applyBorder="1" applyAlignment="1">
      <alignment vertical="center"/>
    </xf>
    <xf numFmtId="0" fontId="13" fillId="2" borderId="0" xfId="0" applyFont="1" applyFill="1" applyAlignment="1">
      <alignment horizontal="right" vertical="top" wrapText="1"/>
    </xf>
    <xf numFmtId="0" fontId="6" fillId="2" borderId="0" xfId="0" applyFont="1" applyFill="1" applyAlignment="1">
      <alignment horizontal="right" vertical="top" wrapText="1"/>
    </xf>
    <xf numFmtId="0" fontId="13" fillId="2" borderId="0" xfId="0" applyFont="1" applyFill="1" applyAlignment="1">
      <alignment vertical="center" wrapText="1"/>
    </xf>
    <xf numFmtId="0" fontId="16" fillId="2" borderId="0" xfId="0" applyFont="1" applyFill="1"/>
    <xf numFmtId="0" fontId="6" fillId="2" borderId="0" xfId="0" applyFont="1" applyFill="1" applyAlignment="1">
      <alignment horizontal="right" wrapText="1"/>
    </xf>
    <xf numFmtId="0" fontId="3" fillId="2" borderId="0" xfId="3" applyFill="1" applyBorder="1" applyAlignment="1"/>
    <xf numFmtId="0" fontId="17" fillId="2" borderId="3" xfId="0" applyFont="1" applyFill="1" applyBorder="1"/>
    <xf numFmtId="0" fontId="17" fillId="2" borderId="0" xfId="0" applyFont="1" applyFill="1" applyAlignment="1">
      <alignment vertical="center"/>
    </xf>
    <xf numFmtId="0" fontId="17" fillId="2" borderId="3" xfId="0" applyFont="1" applyFill="1" applyBorder="1" applyAlignment="1">
      <alignment vertical="top"/>
    </xf>
    <xf numFmtId="0" fontId="17" fillId="2" borderId="0" xfId="0" applyFont="1" applyFill="1" applyAlignment="1">
      <alignment horizontal="right" vertical="center"/>
    </xf>
    <xf numFmtId="0" fontId="17" fillId="2" borderId="4" xfId="0" applyFont="1" applyFill="1" applyBorder="1" applyAlignment="1">
      <alignment horizontal="right" vertical="center"/>
    </xf>
    <xf numFmtId="0" fontId="19" fillId="2" borderId="0" xfId="0" applyFont="1" applyFill="1"/>
    <xf numFmtId="0" fontId="18" fillId="2" borderId="5" xfId="0" applyFont="1" applyFill="1" applyBorder="1"/>
    <xf numFmtId="0" fontId="21" fillId="2" borderId="5" xfId="0" applyFont="1" applyFill="1" applyBorder="1"/>
    <xf numFmtId="3" fontId="7" fillId="2" borderId="5" xfId="0" applyNumberFormat="1" applyFont="1" applyFill="1" applyBorder="1" applyAlignment="1">
      <alignment vertical="center"/>
    </xf>
    <xf numFmtId="0" fontId="0" fillId="2" borderId="4" xfId="0" applyFill="1" applyBorder="1" applyAlignment="1">
      <alignment horizontal="left" vertical="top" wrapText="1"/>
    </xf>
    <xf numFmtId="0" fontId="1" fillId="2" borderId="0" xfId="1" applyFill="1" applyBorder="1"/>
    <xf numFmtId="164" fontId="6" fillId="2" borderId="0" xfId="0" applyNumberFormat="1" applyFont="1" applyFill="1" applyAlignment="1">
      <alignment vertical="center" wrapText="1"/>
    </xf>
    <xf numFmtId="0" fontId="14" fillId="2" borderId="0" xfId="0" applyFont="1" applyFill="1"/>
    <xf numFmtId="0" fontId="0" fillId="2" borderId="13" xfId="0" applyFill="1" applyBorder="1" applyAlignment="1">
      <alignment horizontal="left" vertical="center"/>
    </xf>
    <xf numFmtId="0" fontId="17" fillId="2" borderId="0" xfId="0" applyFont="1" applyFill="1"/>
    <xf numFmtId="0" fontId="17" fillId="2" borderId="13" xfId="0" applyFont="1" applyFill="1" applyBorder="1" applyAlignment="1">
      <alignment vertical="center"/>
    </xf>
    <xf numFmtId="0" fontId="11" fillId="2" borderId="0" xfId="4" applyFont="1" applyFill="1" applyBorder="1"/>
    <xf numFmtId="0" fontId="24" fillId="2" borderId="0" xfId="4" applyFont="1" applyFill="1" applyBorder="1" applyAlignment="1">
      <alignment horizontal="right" indent="2"/>
    </xf>
    <xf numFmtId="0" fontId="24" fillId="2" borderId="0" xfId="4" applyFont="1" applyFill="1" applyBorder="1" applyAlignment="1">
      <alignment horizontal="right"/>
    </xf>
    <xf numFmtId="0" fontId="0" fillId="2" borderId="0" xfId="4" applyFont="1" applyFill="1" applyBorder="1"/>
    <xf numFmtId="0" fontId="24" fillId="2" borderId="0" xfId="4" applyFont="1" applyFill="1" applyBorder="1" applyAlignment="1">
      <alignment horizontal="left" indent="3"/>
    </xf>
    <xf numFmtId="0" fontId="14" fillId="2" borderId="0" xfId="0" applyFont="1" applyFill="1" applyAlignment="1">
      <alignment horizontal="right"/>
    </xf>
    <xf numFmtId="0" fontId="22" fillId="2" borderId="0" xfId="0" applyFont="1" applyFill="1"/>
    <xf numFmtId="0" fontId="25" fillId="2" borderId="0" xfId="0" applyFont="1" applyFill="1" applyAlignment="1">
      <alignment horizontal="right"/>
    </xf>
    <xf numFmtId="0" fontId="25" fillId="2" borderId="0" xfId="0" applyFont="1" applyFill="1"/>
    <xf numFmtId="0" fontId="14" fillId="2" borderId="0" xfId="0" applyFont="1" applyFill="1" applyAlignment="1">
      <alignment vertical="center"/>
    </xf>
    <xf numFmtId="0" fontId="26" fillId="2" borderId="0" xfId="0" applyFont="1" applyFill="1"/>
    <xf numFmtId="0" fontId="27" fillId="2" borderId="0" xfId="2" applyFont="1" applyFill="1" applyAlignment="1">
      <alignment horizontal="left" vertical="center" wrapText="1"/>
    </xf>
    <xf numFmtId="0" fontId="26" fillId="2" borderId="0" xfId="0" applyFont="1" applyFill="1" applyAlignment="1">
      <alignment horizontal="right"/>
    </xf>
    <xf numFmtId="0" fontId="14" fillId="2" borderId="0" xfId="0" applyFont="1" applyFill="1" applyAlignment="1">
      <alignment vertical="top"/>
    </xf>
    <xf numFmtId="0" fontId="14" fillId="2" borderId="0" xfId="4" applyFont="1" applyFill="1" applyBorder="1" applyAlignment="1">
      <alignment vertical="top"/>
    </xf>
    <xf numFmtId="0" fontId="20" fillId="2" borderId="0" xfId="4" applyFont="1" applyFill="1" applyBorder="1" applyAlignment="1">
      <alignment vertical="top"/>
    </xf>
    <xf numFmtId="0" fontId="29" fillId="2" borderId="0" xfId="2" applyFont="1" applyFill="1"/>
    <xf numFmtId="0" fontId="31" fillId="2" borderId="1" xfId="1" applyFont="1" applyFill="1"/>
    <xf numFmtId="0" fontId="14" fillId="2" borderId="0" xfId="0" applyFont="1" applyFill="1" applyAlignment="1">
      <alignment horizontal="right" vertical="center"/>
    </xf>
    <xf numFmtId="0" fontId="32" fillId="2" borderId="10" xfId="7" applyFont="1" applyFill="1"/>
    <xf numFmtId="0" fontId="27" fillId="2" borderId="0" xfId="2" applyFont="1" applyFill="1" applyAlignment="1">
      <alignment horizontal="left" vertical="top" wrapText="1"/>
    </xf>
    <xf numFmtId="0" fontId="1" fillId="2" borderId="1" xfId="1" applyFill="1" applyAlignment="1">
      <alignment horizontal="right"/>
    </xf>
    <xf numFmtId="0" fontId="30" fillId="2" borderId="0" xfId="0" applyFont="1" applyFill="1" applyAlignment="1">
      <alignment horizontal="right"/>
    </xf>
    <xf numFmtId="0" fontId="8" fillId="2" borderId="0" xfId="0" applyFont="1" applyFill="1"/>
    <xf numFmtId="0" fontId="0" fillId="9" borderId="0" xfId="0" applyFill="1"/>
    <xf numFmtId="0" fontId="13" fillId="2" borderId="11" xfId="0" applyFont="1" applyFill="1" applyBorder="1" applyAlignment="1">
      <alignment vertical="center" wrapText="1"/>
    </xf>
    <xf numFmtId="0" fontId="6" fillId="2" borderId="11" xfId="0" applyFont="1" applyFill="1" applyBorder="1"/>
    <xf numFmtId="0" fontId="6" fillId="2" borderId="11" xfId="0" applyFont="1" applyFill="1" applyBorder="1" applyAlignment="1">
      <alignment horizontal="right" vertical="top" wrapText="1"/>
    </xf>
    <xf numFmtId="0" fontId="3" fillId="2" borderId="11" xfId="3" applyFill="1" applyBorder="1" applyAlignment="1">
      <alignment vertical="center"/>
    </xf>
    <xf numFmtId="0" fontId="0" fillId="14" borderId="0" xfId="0" applyFill="1"/>
    <xf numFmtId="0" fontId="1" fillId="14" borderId="1" xfId="1" applyFill="1"/>
    <xf numFmtId="0" fontId="28" fillId="2" borderId="8" xfId="0" applyFont="1" applyFill="1" applyBorder="1" applyAlignment="1">
      <alignment horizontal="right" vertical="center"/>
    </xf>
    <xf numFmtId="0" fontId="0" fillId="14" borderId="9" xfId="0" applyFill="1" applyBorder="1"/>
    <xf numFmtId="0" fontId="6" fillId="14" borderId="6" xfId="0" applyFont="1" applyFill="1" applyBorder="1" applyAlignment="1">
      <alignment horizontal="left" vertical="top" wrapText="1"/>
    </xf>
    <xf numFmtId="0" fontId="6" fillId="2" borderId="8" xfId="0" applyFont="1" applyFill="1" applyBorder="1" applyAlignment="1">
      <alignment horizontal="right" vertical="center"/>
    </xf>
    <xf numFmtId="0" fontId="6" fillId="14" borderId="6" xfId="0" applyFont="1" applyFill="1" applyBorder="1" applyAlignment="1">
      <alignment wrapText="1"/>
    </xf>
    <xf numFmtId="0" fontId="6" fillId="2" borderId="8" xfId="0" applyFont="1" applyFill="1" applyBorder="1" applyAlignment="1">
      <alignment vertical="center" wrapText="1"/>
    </xf>
    <xf numFmtId="0" fontId="6" fillId="2" borderId="0" xfId="0" applyFont="1" applyFill="1" applyAlignment="1">
      <alignment vertical="center" wrapText="1"/>
    </xf>
    <xf numFmtId="0" fontId="6" fillId="14" borderId="0" xfId="0" applyFont="1" applyFill="1"/>
    <xf numFmtId="0" fontId="6" fillId="14" borderId="0" xfId="0" applyFont="1" applyFill="1" applyAlignment="1">
      <alignment vertical="top" wrapText="1"/>
    </xf>
    <xf numFmtId="0" fontId="6" fillId="2" borderId="3" xfId="0" applyFont="1" applyFill="1" applyBorder="1" applyAlignment="1">
      <alignment vertical="top" wrapText="1"/>
    </xf>
    <xf numFmtId="3" fontId="6" fillId="14" borderId="5" xfId="0" applyNumberFormat="1" applyFont="1" applyFill="1" applyBorder="1" applyAlignment="1">
      <alignment vertical="center" wrapText="1"/>
    </xf>
    <xf numFmtId="0" fontId="0" fillId="0" borderId="0" xfId="0" applyAlignment="1">
      <alignment horizontal="right"/>
    </xf>
    <xf numFmtId="0" fontId="0" fillId="2" borderId="11" xfId="0" applyFill="1" applyBorder="1"/>
    <xf numFmtId="0" fontId="6" fillId="14" borderId="11" xfId="0" applyFont="1" applyFill="1" applyBorder="1" applyAlignment="1">
      <alignment wrapText="1"/>
    </xf>
    <xf numFmtId="0" fontId="6" fillId="0" borderId="11" xfId="0" applyFont="1" applyBorder="1" applyAlignment="1">
      <alignment vertical="top" wrapText="1"/>
    </xf>
    <xf numFmtId="0" fontId="5" fillId="2" borderId="0" xfId="0" applyFont="1" applyFill="1"/>
    <xf numFmtId="0" fontId="1" fillId="14" borderId="1" xfId="1" applyFill="1" applyAlignment="1">
      <alignment vertical="center"/>
    </xf>
    <xf numFmtId="0" fontId="6" fillId="14" borderId="8" xfId="0" quotePrefix="1" applyFont="1" applyFill="1" applyBorder="1" applyAlignment="1">
      <alignment horizontal="left" vertical="center" wrapText="1"/>
    </xf>
    <xf numFmtId="0" fontId="6" fillId="14" borderId="8" xfId="0" quotePrefix="1" applyFont="1" applyFill="1" applyBorder="1" applyAlignment="1">
      <alignment vertical="center" wrapText="1"/>
    </xf>
    <xf numFmtId="0" fontId="0" fillId="2" borderId="15" xfId="0" applyFill="1" applyBorder="1" applyAlignment="1">
      <alignment vertical="center"/>
    </xf>
    <xf numFmtId="0" fontId="6" fillId="14" borderId="11" xfId="0" quotePrefix="1" applyFont="1" applyFill="1" applyBorder="1" applyAlignment="1">
      <alignment vertical="center" wrapText="1"/>
    </xf>
    <xf numFmtId="0" fontId="6" fillId="2" borderId="0" xfId="0" applyFont="1" applyFill="1" applyAlignment="1">
      <alignment vertical="center"/>
    </xf>
    <xf numFmtId="0" fontId="6" fillId="2" borderId="11" xfId="0" applyFont="1" applyFill="1" applyBorder="1" applyAlignment="1">
      <alignment vertical="center"/>
    </xf>
    <xf numFmtId="0" fontId="0" fillId="0" borderId="0" xfId="0" applyAlignment="1">
      <alignment vertical="center"/>
    </xf>
    <xf numFmtId="0" fontId="6" fillId="14" borderId="0" xfId="0" quotePrefix="1" applyFont="1" applyFill="1" applyAlignment="1">
      <alignment vertical="center" wrapText="1"/>
    </xf>
    <xf numFmtId="0" fontId="6" fillId="0" borderId="11" xfId="0" applyFont="1" applyBorder="1" applyAlignment="1">
      <alignment vertical="center" wrapText="1"/>
    </xf>
    <xf numFmtId="0" fontId="6" fillId="14" borderId="0" xfId="0" applyFont="1" applyFill="1" applyAlignment="1">
      <alignment vertical="center"/>
    </xf>
    <xf numFmtId="0" fontId="6" fillId="2" borderId="3" xfId="0" applyFont="1" applyFill="1" applyBorder="1" applyAlignment="1">
      <alignment vertical="center" wrapText="1"/>
    </xf>
    <xf numFmtId="0" fontId="12" fillId="2" borderId="0" xfId="0" applyFont="1" applyFill="1"/>
    <xf numFmtId="0" fontId="10" fillId="2" borderId="0" xfId="0" applyFont="1" applyFill="1"/>
    <xf numFmtId="0" fontId="0" fillId="8" borderId="0" xfId="0" applyFill="1"/>
    <xf numFmtId="168" fontId="0" fillId="2" borderId="0" xfId="0" applyNumberFormat="1" applyFill="1" applyAlignment="1">
      <alignment horizontal="left"/>
    </xf>
    <xf numFmtId="0" fontId="0" fillId="13" borderId="0" xfId="0" applyFill="1"/>
    <xf numFmtId="0" fontId="0" fillId="15" borderId="0" xfId="0" applyFill="1"/>
    <xf numFmtId="0" fontId="36" fillId="2" borderId="0" xfId="0" applyFont="1" applyFill="1"/>
    <xf numFmtId="0" fontId="33" fillId="2" borderId="0" xfId="9" applyFont="1" applyFill="1" applyBorder="1">
      <alignment horizontal="right" vertical="center" wrapText="1"/>
    </xf>
    <xf numFmtId="0" fontId="33" fillId="2" borderId="11" xfId="9" applyFont="1" applyFill="1" applyBorder="1" applyAlignment="1">
      <alignment vertical="center" wrapText="1"/>
    </xf>
    <xf numFmtId="0" fontId="39" fillId="2" borderId="0" xfId="0" applyFont="1" applyFill="1"/>
    <xf numFmtId="0" fontId="40" fillId="2" borderId="0" xfId="0" applyFont="1" applyFill="1" applyAlignment="1">
      <alignment horizontal="right" vertical="center"/>
    </xf>
    <xf numFmtId="0" fontId="39" fillId="2" borderId="0" xfId="0" applyFont="1" applyFill="1" applyAlignment="1">
      <alignment horizontal="center"/>
    </xf>
    <xf numFmtId="0" fontId="42" fillId="2" borderId="0" xfId="0" applyFont="1" applyFill="1" applyAlignment="1">
      <alignment horizontal="center" vertical="center"/>
    </xf>
    <xf numFmtId="0" fontId="43" fillId="2" borderId="0" xfId="2" applyFont="1" applyFill="1" applyAlignment="1">
      <alignment horizontal="left" vertical="top" wrapText="1"/>
    </xf>
    <xf numFmtId="0" fontId="44" fillId="2" borderId="0" xfId="2" applyFont="1" applyFill="1" applyAlignment="1">
      <alignment vertical="top" wrapText="1"/>
    </xf>
    <xf numFmtId="0" fontId="45" fillId="2" borderId="0" xfId="0" applyFont="1" applyFill="1" applyAlignment="1">
      <alignment horizontal="center"/>
    </xf>
    <xf numFmtId="0" fontId="45" fillId="2" borderId="0" xfId="0" applyFont="1" applyFill="1"/>
    <xf numFmtId="0" fontId="46" fillId="2" borderId="0" xfId="0" applyFont="1" applyFill="1"/>
    <xf numFmtId="0" fontId="47" fillId="2" borderId="0" xfId="0" applyFont="1" applyFill="1" applyAlignment="1">
      <alignment horizontal="center" vertical="center"/>
    </xf>
    <xf numFmtId="0" fontId="39" fillId="2" borderId="0" xfId="0" applyFont="1" applyFill="1" applyAlignment="1">
      <alignment horizontal="center" vertical="center" wrapText="1"/>
    </xf>
    <xf numFmtId="0" fontId="43" fillId="2" borderId="0" xfId="2" applyFont="1" applyFill="1" applyAlignment="1">
      <alignment horizontal="left" vertical="center" wrapText="1"/>
    </xf>
    <xf numFmtId="0" fontId="43" fillId="2" borderId="0" xfId="4" applyFont="1" applyFill="1" applyBorder="1" applyAlignment="1">
      <alignment horizontal="left" vertical="center" wrapText="1"/>
    </xf>
    <xf numFmtId="0" fontId="44" fillId="2" borderId="0" xfId="2" applyFont="1" applyFill="1" applyAlignment="1">
      <alignment vertical="center" wrapText="1"/>
    </xf>
    <xf numFmtId="0" fontId="46" fillId="2" borderId="0" xfId="0" applyFont="1" applyFill="1" applyAlignment="1">
      <alignmen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48" fillId="2" borderId="0" xfId="0" applyFont="1" applyFill="1"/>
    <xf numFmtId="0" fontId="48" fillId="2" borderId="0" xfId="0" applyFont="1" applyFill="1" applyAlignment="1">
      <alignment horizontal="right" vertical="center"/>
    </xf>
    <xf numFmtId="0" fontId="49" fillId="2" borderId="0" xfId="0" applyFont="1" applyFill="1"/>
    <xf numFmtId="0" fontId="49" fillId="2" borderId="0" xfId="0" applyFont="1" applyFill="1" applyAlignment="1">
      <alignment horizontal="right"/>
    </xf>
    <xf numFmtId="0" fontId="48" fillId="2" borderId="0" xfId="0" applyFont="1" applyFill="1" applyAlignment="1">
      <alignment horizontal="center"/>
    </xf>
    <xf numFmtId="0" fontId="48" fillId="2" borderId="0" xfId="0" applyFont="1" applyFill="1" applyAlignment="1">
      <alignment horizontal="right"/>
    </xf>
    <xf numFmtId="0" fontId="50" fillId="2" borderId="0" xfId="8" applyFont="1">
      <alignment horizontal="center"/>
    </xf>
    <xf numFmtId="0" fontId="49" fillId="2" borderId="0" xfId="0" applyFont="1" applyFill="1" applyAlignment="1">
      <alignment horizontal="right" indent="2"/>
    </xf>
    <xf numFmtId="0" fontId="50" fillId="2" borderId="0" xfId="8" applyFont="1" applyAlignment="1">
      <alignment wrapText="1"/>
    </xf>
    <xf numFmtId="0" fontId="48" fillId="2" borderId="0" xfId="0" applyFont="1" applyFill="1" applyAlignment="1">
      <alignment vertical="top"/>
    </xf>
    <xf numFmtId="0" fontId="49" fillId="2" borderId="0" xfId="0" applyFont="1" applyFill="1" applyAlignment="1">
      <alignment vertical="top"/>
    </xf>
    <xf numFmtId="0" fontId="51" fillId="2" borderId="0" xfId="0" applyFont="1" applyFill="1" applyAlignment="1">
      <alignment horizontal="right" vertical="center"/>
    </xf>
    <xf numFmtId="4" fontId="52" fillId="2" borderId="0" xfId="0" applyNumberFormat="1" applyFont="1" applyFill="1" applyAlignment="1">
      <alignment horizontal="left" vertical="center"/>
    </xf>
    <xf numFmtId="4" fontId="53" fillId="2" borderId="0" xfId="0" applyNumberFormat="1" applyFont="1" applyFill="1" applyAlignment="1">
      <alignment horizontal="left" vertical="center"/>
    </xf>
    <xf numFmtId="9" fontId="50" fillId="2" borderId="15" xfId="5" applyNumberFormat="1" applyFont="1" applyFill="1" applyBorder="1" applyAlignment="1">
      <alignment horizontal="right"/>
    </xf>
    <xf numFmtId="0" fontId="50" fillId="2" borderId="0" xfId="8" applyFont="1" applyAlignment="1">
      <alignment horizontal="left" vertical="center" wrapText="1"/>
    </xf>
    <xf numFmtId="9" fontId="50" fillId="2" borderId="0" xfId="10" applyFont="1" applyFill="1"/>
    <xf numFmtId="4" fontId="48" fillId="2" borderId="0" xfId="0" applyNumberFormat="1" applyFont="1" applyFill="1" applyAlignment="1">
      <alignment vertical="top"/>
    </xf>
    <xf numFmtId="3" fontId="48" fillId="2" borderId="0" xfId="0" applyNumberFormat="1" applyFont="1" applyFill="1" applyAlignment="1">
      <alignment horizontal="center" vertical="center"/>
    </xf>
    <xf numFmtId="3" fontId="50" fillId="2" borderId="14" xfId="0" applyNumberFormat="1" applyFont="1" applyFill="1" applyBorder="1" applyAlignment="1">
      <alignment horizontal="center"/>
    </xf>
    <xf numFmtId="0" fontId="54" fillId="2" borderId="0" xfId="0" applyFont="1" applyFill="1" applyAlignment="1">
      <alignment horizontal="center" vertical="center"/>
    </xf>
    <xf numFmtId="4" fontId="48" fillId="2" borderId="0" xfId="0" applyNumberFormat="1" applyFont="1" applyFill="1" applyAlignment="1">
      <alignment horizontal="center"/>
    </xf>
    <xf numFmtId="3" fontId="50" fillId="2" borderId="0" xfId="0" applyNumberFormat="1" applyFont="1" applyFill="1" applyAlignment="1">
      <alignment horizontal="center"/>
    </xf>
    <xf numFmtId="3" fontId="55" fillId="2" borderId="0" xfId="0" applyNumberFormat="1" applyFont="1" applyFill="1" applyAlignment="1">
      <alignment horizontal="center"/>
    </xf>
    <xf numFmtId="4" fontId="52" fillId="2" borderId="0" xfId="0" applyNumberFormat="1" applyFont="1" applyFill="1" applyAlignment="1">
      <alignment horizontal="left" vertical="top"/>
    </xf>
    <xf numFmtId="4" fontId="52" fillId="2" borderId="0" xfId="0" applyNumberFormat="1" applyFont="1" applyFill="1" applyAlignment="1">
      <alignment horizontal="left"/>
    </xf>
    <xf numFmtId="3" fontId="48" fillId="2" borderId="0" xfId="5" applyNumberFormat="1" applyFont="1" applyFill="1" applyBorder="1" applyAlignment="1">
      <alignment horizontal="center" vertical="top"/>
    </xf>
    <xf numFmtId="4" fontId="48" fillId="2" borderId="0" xfId="5" applyNumberFormat="1" applyFont="1" applyFill="1" applyBorder="1" applyAlignment="1">
      <alignment horizontal="center" vertical="top"/>
    </xf>
    <xf numFmtId="164" fontId="40" fillId="2" borderId="0" xfId="0" applyNumberFormat="1" applyFont="1" applyFill="1" applyAlignment="1">
      <alignment horizontal="left" vertical="center" wrapText="1"/>
    </xf>
    <xf numFmtId="0" fontId="39" fillId="2" borderId="0" xfId="0" applyFont="1" applyFill="1" applyAlignment="1">
      <alignment vertical="center" wrapText="1"/>
    </xf>
    <xf numFmtId="0" fontId="46" fillId="2" borderId="0" xfId="0" applyFont="1" applyFill="1" applyAlignment="1">
      <alignment horizontal="right"/>
    </xf>
    <xf numFmtId="0" fontId="45" fillId="2" borderId="0" xfId="0" applyFont="1" applyFill="1" applyAlignment="1">
      <alignment horizontal="right"/>
    </xf>
    <xf numFmtId="0" fontId="59" fillId="2" borderId="0" xfId="0" applyFont="1" applyFill="1" applyAlignment="1">
      <alignment horizontal="right"/>
    </xf>
    <xf numFmtId="0" fontId="45" fillId="2" borderId="0" xfId="0" applyFont="1" applyFill="1" applyAlignment="1">
      <alignment horizontal="right" indent="2"/>
    </xf>
    <xf numFmtId="0" fontId="46" fillId="0" borderId="0" xfId="0" applyFont="1"/>
    <xf numFmtId="0" fontId="46" fillId="2" borderId="0" xfId="0" applyFont="1" applyFill="1" applyAlignment="1">
      <alignment horizontal="right" indent="2"/>
    </xf>
    <xf numFmtId="0" fontId="56" fillId="2" borderId="0" xfId="0" applyFont="1" applyFill="1" applyAlignment="1">
      <alignment horizontal="right" vertical="center"/>
    </xf>
    <xf numFmtId="0" fontId="61" fillId="2" borderId="0" xfId="0" applyFont="1" applyFill="1" applyAlignment="1">
      <alignment horizontal="right"/>
    </xf>
    <xf numFmtId="0" fontId="62" fillId="2" borderId="0" xfId="0" applyFont="1" applyFill="1" applyAlignment="1">
      <alignment horizontal="right"/>
    </xf>
    <xf numFmtId="0" fontId="46" fillId="2" borderId="0" xfId="0" applyFont="1" applyFill="1" applyAlignment="1">
      <alignment horizontal="center"/>
    </xf>
    <xf numFmtId="0" fontId="63" fillId="2" borderId="0" xfId="0" applyFont="1" applyFill="1" applyAlignment="1">
      <alignment vertical="center" wrapText="1"/>
    </xf>
    <xf numFmtId="0" fontId="63" fillId="2" borderId="0" xfId="0" applyFont="1" applyFill="1" applyAlignment="1">
      <alignment vertical="center"/>
    </xf>
    <xf numFmtId="167" fontId="48" fillId="2" borderId="0" xfId="10" applyNumberFormat="1" applyFont="1" applyFill="1" applyBorder="1"/>
    <xf numFmtId="166" fontId="48" fillId="2" borderId="0" xfId="0" applyNumberFormat="1" applyFont="1" applyFill="1" applyAlignment="1">
      <alignment horizontal="center" vertical="center"/>
    </xf>
    <xf numFmtId="4" fontId="48" fillId="2" borderId="0" xfId="0" applyNumberFormat="1" applyFont="1" applyFill="1" applyAlignment="1">
      <alignment horizontal="center" vertical="center"/>
    </xf>
    <xf numFmtId="0" fontId="51" fillId="2" borderId="0" xfId="0" applyFont="1" applyFill="1" applyAlignment="1">
      <alignment horizontal="right"/>
    </xf>
    <xf numFmtId="3" fontId="49" fillId="2" borderId="0" xfId="0" applyNumberFormat="1" applyFont="1" applyFill="1" applyAlignment="1">
      <alignment horizontal="right" indent="1"/>
    </xf>
    <xf numFmtId="0" fontId="65" fillId="2" borderId="0" xfId="0" applyFont="1" applyFill="1"/>
    <xf numFmtId="0" fontId="49" fillId="2" borderId="0" xfId="0" applyFont="1" applyFill="1" applyAlignment="1">
      <alignment horizontal="center"/>
    </xf>
    <xf numFmtId="0" fontId="66" fillId="2" borderId="0" xfId="0" applyFont="1" applyFill="1" applyAlignment="1">
      <alignment vertical="center"/>
    </xf>
    <xf numFmtId="0" fontId="66" fillId="2" borderId="0" xfId="0" applyFont="1" applyFill="1" applyAlignment="1">
      <alignment horizontal="right" vertical="center"/>
    </xf>
    <xf numFmtId="0" fontId="48" fillId="2" borderId="0" xfId="0" applyFont="1" applyFill="1" applyAlignment="1">
      <alignment horizontal="left" vertical="center" wrapText="1"/>
    </xf>
    <xf numFmtId="0" fontId="66" fillId="2" borderId="11" xfId="0" applyFont="1" applyFill="1" applyBorder="1" applyAlignment="1">
      <alignment horizontal="right" vertical="center"/>
    </xf>
    <xf numFmtId="0" fontId="48" fillId="2" borderId="11" xfId="0" applyFont="1" applyFill="1" applyBorder="1" applyAlignment="1">
      <alignment horizontal="left" vertical="center" wrapText="1"/>
    </xf>
    <xf numFmtId="3" fontId="50" fillId="2" borderId="0" xfId="0" applyNumberFormat="1" applyFont="1" applyFill="1" applyAlignment="1">
      <alignment vertical="center"/>
    </xf>
    <xf numFmtId="0" fontId="50" fillId="2" borderId="0" xfId="0" applyFont="1" applyFill="1" applyAlignment="1">
      <alignment vertical="center"/>
    </xf>
    <xf numFmtId="0" fontId="55" fillId="2" borderId="0" xfId="0" applyFont="1" applyFill="1" applyAlignment="1">
      <alignment vertical="center"/>
    </xf>
    <xf numFmtId="3" fontId="50" fillId="2" borderId="0" xfId="0" applyNumberFormat="1" applyFont="1" applyFill="1" applyAlignment="1">
      <alignment horizontal="right" vertical="center"/>
    </xf>
    <xf numFmtId="4" fontId="50" fillId="2" borderId="0" xfId="0" applyNumberFormat="1" applyFont="1" applyFill="1" applyAlignment="1">
      <alignment vertical="center"/>
    </xf>
    <xf numFmtId="0" fontId="67" fillId="2" borderId="0" xfId="0" applyFont="1" applyFill="1" applyAlignment="1">
      <alignment horizontal="left" vertical="center"/>
    </xf>
    <xf numFmtId="0" fontId="50" fillId="2" borderId="0" xfId="0" applyFont="1" applyFill="1" applyAlignment="1">
      <alignment horizontal="center" vertical="center"/>
    </xf>
    <xf numFmtId="0" fontId="56" fillId="2" borderId="0" xfId="0" applyFont="1" applyFill="1" applyAlignment="1">
      <alignment vertical="center"/>
    </xf>
    <xf numFmtId="4" fontId="56" fillId="2" borderId="0" xfId="0" applyNumberFormat="1" applyFont="1" applyFill="1" applyAlignment="1">
      <alignment vertical="center"/>
    </xf>
    <xf numFmtId="0" fontId="48" fillId="2" borderId="0" xfId="0" applyFont="1" applyFill="1" applyAlignment="1">
      <alignment vertical="center"/>
    </xf>
    <xf numFmtId="0" fontId="48" fillId="2" borderId="0" xfId="0" applyFont="1" applyFill="1" applyAlignment="1">
      <alignment horizontal="left" vertical="center"/>
    </xf>
    <xf numFmtId="4" fontId="48" fillId="2" borderId="0" xfId="0" applyNumberFormat="1" applyFont="1" applyFill="1" applyAlignment="1">
      <alignment vertical="center"/>
    </xf>
    <xf numFmtId="0" fontId="52" fillId="2" borderId="0" xfId="0" applyFont="1" applyFill="1" applyAlignment="1">
      <alignment horizontal="left" vertical="center"/>
    </xf>
    <xf numFmtId="4" fontId="46" fillId="2" borderId="0" xfId="0" applyNumberFormat="1" applyFont="1" applyFill="1" applyAlignment="1">
      <alignment vertical="center"/>
    </xf>
    <xf numFmtId="0" fontId="66" fillId="2" borderId="11" xfId="0" applyFont="1" applyFill="1" applyBorder="1" applyAlignment="1">
      <alignment vertical="center"/>
    </xf>
    <xf numFmtId="0" fontId="48" fillId="2" borderId="11" xfId="0" applyFont="1" applyFill="1" applyBorder="1" applyAlignment="1">
      <alignment vertical="center"/>
    </xf>
    <xf numFmtId="0" fontId="50" fillId="2" borderId="11" xfId="0" applyFont="1" applyFill="1" applyBorder="1" applyAlignment="1">
      <alignment horizontal="right" vertical="center"/>
    </xf>
    <xf numFmtId="4" fontId="50" fillId="2" borderId="11" xfId="0" applyNumberFormat="1" applyFont="1" applyFill="1" applyBorder="1" applyAlignment="1">
      <alignment vertical="center"/>
    </xf>
    <xf numFmtId="0" fontId="48" fillId="2" borderId="0" xfId="0" applyFont="1" applyFill="1" applyAlignment="1">
      <alignment horizontal="center" vertical="center"/>
    </xf>
    <xf numFmtId="9" fontId="48" fillId="2" borderId="0" xfId="0" applyNumberFormat="1" applyFont="1" applyFill="1" applyAlignment="1">
      <alignment horizontal="right" vertical="center" indent="1"/>
    </xf>
    <xf numFmtId="3" fontId="50" fillId="2" borderId="14" xfId="0" applyNumberFormat="1" applyFont="1" applyFill="1" applyBorder="1" applyAlignment="1">
      <alignment horizontal="center" vertical="center"/>
    </xf>
    <xf numFmtId="0" fontId="40" fillId="2" borderId="0" xfId="0" applyFont="1" applyFill="1" applyAlignment="1">
      <alignment vertical="center"/>
    </xf>
    <xf numFmtId="3" fontId="50" fillId="2" borderId="0" xfId="0" applyNumberFormat="1" applyFont="1" applyFill="1" applyAlignment="1">
      <alignment horizontal="center" vertical="center"/>
    </xf>
    <xf numFmtId="0" fontId="52" fillId="2" borderId="0" xfId="0" applyFont="1" applyFill="1" applyAlignment="1">
      <alignment vertical="center"/>
    </xf>
    <xf numFmtId="3" fontId="48" fillId="2" borderId="0" xfId="0" applyNumberFormat="1" applyFont="1" applyFill="1" applyAlignment="1">
      <alignment horizontal="center"/>
    </xf>
    <xf numFmtId="0" fontId="69" fillId="2" borderId="0" xfId="0" applyFont="1" applyFill="1" applyAlignment="1">
      <alignment vertical="center"/>
    </xf>
    <xf numFmtId="0" fontId="64" fillId="5" borderId="0" xfId="0" applyFont="1" applyFill="1" applyAlignment="1">
      <alignment horizontal="right" vertical="center"/>
    </xf>
    <xf numFmtId="0" fontId="64" fillId="5" borderId="0" xfId="0" applyFont="1" applyFill="1" applyAlignment="1">
      <alignment horizontal="left" vertical="center"/>
    </xf>
    <xf numFmtId="0" fontId="40" fillId="5" borderId="0" xfId="0" applyFont="1" applyFill="1" applyAlignment="1">
      <alignment horizontal="right" vertical="center"/>
    </xf>
    <xf numFmtId="0" fontId="58" fillId="5" borderId="0" xfId="0" applyFont="1" applyFill="1" applyAlignment="1">
      <alignment horizontal="left" vertical="center"/>
    </xf>
    <xf numFmtId="0" fontId="47" fillId="5" borderId="0" xfId="0" applyFont="1" applyFill="1" applyAlignment="1">
      <alignment horizontal="center" vertical="center"/>
    </xf>
    <xf numFmtId="0" fontId="64" fillId="5" borderId="0" xfId="0" applyFont="1" applyFill="1"/>
    <xf numFmtId="0" fontId="64" fillId="5" borderId="0" xfId="0" applyFont="1" applyFill="1" applyAlignment="1">
      <alignment horizontal="left"/>
    </xf>
    <xf numFmtId="0" fontId="48" fillId="5" borderId="0" xfId="0" applyFont="1" applyFill="1"/>
    <xf numFmtId="0" fontId="48" fillId="5" borderId="0" xfId="0" applyFont="1" applyFill="1" applyAlignment="1">
      <alignment horizontal="right" vertical="center"/>
    </xf>
    <xf numFmtId="0" fontId="64" fillId="5" borderId="0" xfId="0" applyFont="1" applyFill="1" applyAlignment="1">
      <alignment vertical="top"/>
    </xf>
    <xf numFmtId="0" fontId="64" fillId="5" borderId="0" xfId="0" applyFont="1" applyFill="1" applyAlignment="1">
      <alignment horizontal="left" vertical="top"/>
    </xf>
    <xf numFmtId="0" fontId="48" fillId="5" borderId="0" xfId="0" applyFont="1" applyFill="1" applyAlignment="1">
      <alignment vertical="top"/>
    </xf>
    <xf numFmtId="0" fontId="46" fillId="5" borderId="0" xfId="0" applyFont="1" applyFill="1"/>
    <xf numFmtId="0" fontId="58" fillId="5" borderId="0" xfId="0" applyFont="1" applyFill="1" applyAlignment="1">
      <alignment horizontal="right" vertical="center"/>
    </xf>
    <xf numFmtId="0" fontId="56" fillId="5" borderId="0" xfId="0" applyFont="1" applyFill="1" applyAlignment="1">
      <alignment horizontal="right" vertical="center"/>
    </xf>
    <xf numFmtId="0" fontId="58" fillId="4" borderId="2" xfId="4" applyFont="1" applyAlignment="1">
      <alignment horizontal="left" vertical="center"/>
    </xf>
    <xf numFmtId="0" fontId="70" fillId="5" borderId="0" xfId="0" applyFont="1" applyFill="1" applyAlignment="1">
      <alignment horizontal="center" vertical="center"/>
    </xf>
    <xf numFmtId="0" fontId="69" fillId="2" borderId="0" xfId="0" applyFont="1" applyFill="1"/>
    <xf numFmtId="0" fontId="48" fillId="2" borderId="0" xfId="0" applyFont="1" applyFill="1" applyAlignment="1">
      <alignment vertical="center" wrapText="1"/>
    </xf>
    <xf numFmtId="0" fontId="58" fillId="2" borderId="3" xfId="8" applyFont="1" applyBorder="1" applyAlignment="1">
      <alignment horizontal="right" vertical="center"/>
    </xf>
    <xf numFmtId="0" fontId="64" fillId="5" borderId="0" xfId="0" applyFont="1" applyFill="1" applyAlignment="1">
      <alignment horizontal="right"/>
    </xf>
    <xf numFmtId="0" fontId="40" fillId="5" borderId="0" xfId="0" applyFont="1" applyFill="1" applyAlignment="1">
      <alignment horizontal="right"/>
    </xf>
    <xf numFmtId="0" fontId="40" fillId="2" borderId="0" xfId="0" applyFont="1" applyFill="1" applyAlignment="1">
      <alignment horizontal="right"/>
    </xf>
    <xf numFmtId="0" fontId="66" fillId="2" borderId="0" xfId="0" applyFont="1" applyFill="1"/>
    <xf numFmtId="0" fontId="56" fillId="2" borderId="3" xfId="8" applyFont="1" applyBorder="1" applyAlignment="1">
      <alignment horizontal="right"/>
    </xf>
    <xf numFmtId="0" fontId="48" fillId="2" borderId="0" xfId="0" applyFont="1" applyFill="1" applyAlignment="1">
      <alignment horizontal="left"/>
    </xf>
    <xf numFmtId="3" fontId="51" fillId="2" borderId="0" xfId="0" applyNumberFormat="1" applyFont="1" applyFill="1" applyAlignment="1">
      <alignment horizontal="center" vertical="center"/>
    </xf>
    <xf numFmtId="0" fontId="57" fillId="2" borderId="3" xfId="8" applyFont="1" applyBorder="1" applyAlignment="1">
      <alignment horizontal="center" vertical="center"/>
    </xf>
    <xf numFmtId="0" fontId="56" fillId="2" borderId="3" xfId="8" applyFont="1" applyBorder="1" applyAlignment="1">
      <alignment horizontal="center" vertical="center"/>
    </xf>
    <xf numFmtId="0" fontId="44" fillId="5" borderId="0" xfId="2" applyFont="1" applyFill="1" applyAlignment="1">
      <alignment vertical="top" wrapText="1"/>
    </xf>
    <xf numFmtId="0" fontId="45" fillId="5" borderId="0" xfId="0" applyFont="1" applyFill="1" applyAlignment="1">
      <alignment horizontal="center"/>
    </xf>
    <xf numFmtId="0" fontId="45" fillId="5" borderId="0" xfId="0" applyFont="1" applyFill="1"/>
    <xf numFmtId="0" fontId="61" fillId="5" borderId="0" xfId="0" applyFont="1" applyFill="1" applyAlignment="1">
      <alignment horizontal="right"/>
    </xf>
    <xf numFmtId="0" fontId="62" fillId="5" borderId="0" xfId="0" applyFont="1" applyFill="1" applyAlignment="1">
      <alignment horizontal="right"/>
    </xf>
    <xf numFmtId="0" fontId="46" fillId="5" borderId="0" xfId="0" applyFont="1" applyFill="1" applyAlignment="1">
      <alignment horizontal="center"/>
    </xf>
    <xf numFmtId="3" fontId="60" fillId="16" borderId="0" xfId="0" applyNumberFormat="1" applyFont="1" applyFill="1" applyAlignment="1">
      <alignment horizontal="center" vertical="center"/>
    </xf>
    <xf numFmtId="3" fontId="51" fillId="2" borderId="0" xfId="0" applyNumberFormat="1" applyFont="1" applyFill="1" applyAlignment="1">
      <alignment horizontal="center"/>
    </xf>
    <xf numFmtId="3" fontId="60" fillId="10" borderId="0" xfId="0" applyNumberFormat="1" applyFont="1" applyFill="1" applyAlignment="1">
      <alignment horizontal="center"/>
    </xf>
    <xf numFmtId="0" fontId="48" fillId="2" borderId="0" xfId="0" applyFont="1" applyFill="1" applyAlignment="1">
      <alignment vertical="top" wrapText="1"/>
    </xf>
    <xf numFmtId="4" fontId="48" fillId="2" borderId="0" xfId="0" applyNumberFormat="1" applyFont="1" applyFill="1"/>
    <xf numFmtId="166" fontId="48" fillId="2" borderId="0" xfId="0" applyNumberFormat="1" applyFont="1" applyFill="1" applyAlignment="1">
      <alignment vertical="center"/>
    </xf>
    <xf numFmtId="166" fontId="50" fillId="2" borderId="11" xfId="0" applyNumberFormat="1" applyFont="1" applyFill="1" applyBorder="1" applyAlignment="1">
      <alignment vertical="center"/>
    </xf>
    <xf numFmtId="166" fontId="50" fillId="2" borderId="0" xfId="0" applyNumberFormat="1" applyFont="1" applyFill="1" applyAlignment="1">
      <alignment vertical="center"/>
    </xf>
    <xf numFmtId="0" fontId="46" fillId="2" borderId="0" xfId="0" applyFont="1" applyFill="1" applyAlignment="1">
      <alignment textRotation="30" wrapText="1"/>
    </xf>
    <xf numFmtId="0" fontId="46" fillId="5" borderId="0" xfId="0" applyFont="1" applyFill="1" applyAlignment="1">
      <alignment textRotation="30" wrapText="1"/>
    </xf>
    <xf numFmtId="0" fontId="46" fillId="5" borderId="0" xfId="0" applyFont="1" applyFill="1" applyAlignment="1">
      <alignment horizontal="left" textRotation="30" wrapText="1"/>
    </xf>
    <xf numFmtId="0" fontId="46" fillId="2" borderId="0" xfId="0" applyFont="1" applyFill="1" applyAlignment="1">
      <alignment horizontal="right" textRotation="30" wrapText="1"/>
    </xf>
    <xf numFmtId="0" fontId="46" fillId="2" borderId="0" xfId="0" applyFont="1" applyFill="1" applyAlignment="1">
      <alignment horizontal="left" textRotation="30" wrapText="1"/>
    </xf>
    <xf numFmtId="0" fontId="45" fillId="2" borderId="0" xfId="0" applyFont="1" applyFill="1" applyAlignment="1">
      <alignment horizontal="left" textRotation="30" wrapText="1"/>
    </xf>
    <xf numFmtId="0" fontId="71" fillId="2" borderId="0" xfId="8" applyFont="1" applyAlignment="1">
      <alignment horizontal="left" textRotation="30" wrapText="1"/>
    </xf>
    <xf numFmtId="0" fontId="57" fillId="2" borderId="3" xfId="8" applyFont="1" applyBorder="1" applyAlignment="1">
      <alignment horizontal="center" wrapText="1"/>
    </xf>
    <xf numFmtId="0" fontId="72" fillId="2" borderId="3" xfId="8" applyFont="1" applyBorder="1" applyAlignment="1">
      <alignment horizontal="right" textRotation="30" wrapText="1"/>
    </xf>
    <xf numFmtId="0" fontId="57" fillId="2" borderId="3" xfId="8" applyFont="1" applyBorder="1" applyAlignment="1">
      <alignment horizontal="right" wrapText="1"/>
    </xf>
    <xf numFmtId="166" fontId="51" fillId="2" borderId="0" xfId="0" applyNumberFormat="1" applyFont="1" applyFill="1" applyAlignment="1">
      <alignment horizontal="right" vertical="center"/>
    </xf>
    <xf numFmtId="3" fontId="60" fillId="16" borderId="0" xfId="0" applyNumberFormat="1" applyFont="1" applyFill="1" applyAlignment="1">
      <alignment horizontal="right" vertical="center"/>
    </xf>
    <xf numFmtId="166" fontId="48" fillId="2" borderId="0" xfId="0" applyNumberFormat="1" applyFont="1" applyFill="1" applyAlignment="1">
      <alignment horizontal="right" vertical="center"/>
    </xf>
    <xf numFmtId="3" fontId="50" fillId="2" borderId="14" xfId="0" applyNumberFormat="1" applyFont="1" applyFill="1" applyBorder="1" applyAlignment="1">
      <alignment horizontal="right" vertical="center"/>
    </xf>
    <xf numFmtId="3" fontId="48" fillId="2" borderId="0" xfId="0" applyNumberFormat="1" applyFont="1" applyFill="1" applyAlignment="1">
      <alignment horizontal="right" vertical="center"/>
    </xf>
    <xf numFmtId="4" fontId="48" fillId="2" borderId="0" xfId="0" applyNumberFormat="1" applyFont="1" applyFill="1" applyAlignment="1">
      <alignment horizontal="right" vertical="center"/>
    </xf>
    <xf numFmtId="166" fontId="51" fillId="2" borderId="0" xfId="0" applyNumberFormat="1" applyFont="1" applyFill="1" applyAlignment="1">
      <alignment horizontal="right"/>
    </xf>
    <xf numFmtId="3" fontId="60" fillId="10" borderId="0" xfId="0" applyNumberFormat="1" applyFont="1" applyFill="1" applyAlignment="1">
      <alignment horizontal="right"/>
    </xf>
    <xf numFmtId="166" fontId="48" fillId="2" borderId="0" xfId="0" applyNumberFormat="1" applyFont="1" applyFill="1" applyAlignment="1">
      <alignment horizontal="right"/>
    </xf>
    <xf numFmtId="3" fontId="50" fillId="2" borderId="14" xfId="0" applyNumberFormat="1" applyFont="1" applyFill="1" applyBorder="1" applyAlignment="1">
      <alignment horizontal="right"/>
    </xf>
    <xf numFmtId="3" fontId="50" fillId="2" borderId="0" xfId="0" applyNumberFormat="1" applyFont="1" applyFill="1" applyAlignment="1">
      <alignment horizontal="right"/>
    </xf>
    <xf numFmtId="0" fontId="43" fillId="2" borderId="0" xfId="2" applyFont="1" applyFill="1" applyAlignment="1">
      <alignment horizontal="right" vertical="center" wrapText="1"/>
    </xf>
    <xf numFmtId="4" fontId="40" fillId="2" borderId="0" xfId="0" applyNumberFormat="1" applyFont="1" applyFill="1" applyAlignment="1">
      <alignment horizontal="right" vertical="center"/>
    </xf>
    <xf numFmtId="9" fontId="50" fillId="2" borderId="0" xfId="5" applyNumberFormat="1" applyFont="1" applyFill="1" applyBorder="1" applyAlignment="1">
      <alignment horizontal="right"/>
    </xf>
    <xf numFmtId="4" fontId="53" fillId="2" borderId="0" xfId="0" applyNumberFormat="1" applyFont="1" applyFill="1" applyAlignment="1">
      <alignment horizontal="left" vertical="top"/>
    </xf>
    <xf numFmtId="9" fontId="50" fillId="2" borderId="0" xfId="5" applyNumberFormat="1" applyFont="1" applyFill="1" applyBorder="1" applyAlignment="1">
      <alignment horizontal="right" vertical="top"/>
    </xf>
    <xf numFmtId="9" fontId="50" fillId="2" borderId="0" xfId="10" applyFont="1" applyFill="1" applyAlignment="1">
      <alignment vertical="top"/>
    </xf>
    <xf numFmtId="3" fontId="55" fillId="2" borderId="0" xfId="0" applyNumberFormat="1" applyFont="1" applyFill="1"/>
    <xf numFmtId="0" fontId="64" fillId="5" borderId="0" xfId="0" applyFont="1" applyFill="1" applyAlignment="1">
      <alignment horizontal="center"/>
    </xf>
    <xf numFmtId="0" fontId="48" fillId="5" borderId="0" xfId="0" applyFont="1" applyFill="1" applyAlignment="1">
      <alignment horizontal="center"/>
    </xf>
    <xf numFmtId="0" fontId="50" fillId="2" borderId="0" xfId="8" applyFont="1" applyAlignment="1">
      <alignment horizontal="center" wrapText="1"/>
    </xf>
    <xf numFmtId="0" fontId="64" fillId="5" borderId="0" xfId="0" applyFont="1" applyFill="1" applyAlignment="1">
      <alignment vertical="center"/>
    </xf>
    <xf numFmtId="0" fontId="48" fillId="5" borderId="0" xfId="0" applyFont="1" applyFill="1" applyAlignment="1">
      <alignment vertical="center"/>
    </xf>
    <xf numFmtId="0" fontId="49" fillId="2" borderId="0" xfId="0" applyFont="1" applyFill="1" applyAlignment="1">
      <alignment vertical="center"/>
    </xf>
    <xf numFmtId="4" fontId="73" fillId="2" borderId="0" xfId="0" applyNumberFormat="1" applyFont="1" applyFill="1" applyAlignment="1">
      <alignment horizontal="left" vertical="center"/>
    </xf>
    <xf numFmtId="9" fontId="50" fillId="2" borderId="0" xfId="5" applyNumberFormat="1" applyFont="1" applyFill="1" applyBorder="1" applyAlignment="1">
      <alignment horizontal="right" vertical="center"/>
    </xf>
    <xf numFmtId="9" fontId="50" fillId="2" borderId="0" xfId="10" applyFont="1" applyFill="1" applyAlignment="1">
      <alignment vertical="center"/>
    </xf>
    <xf numFmtId="0" fontId="48" fillId="2" borderId="0" xfId="0" applyFont="1" applyFill="1" applyAlignment="1">
      <alignment horizontal="right" vertical="top"/>
    </xf>
    <xf numFmtId="9" fontId="48" fillId="2" borderId="0" xfId="0" applyNumberFormat="1" applyFont="1" applyFill="1" applyAlignment="1">
      <alignment horizontal="center" vertical="top"/>
    </xf>
    <xf numFmtId="0" fontId="64" fillId="5" borderId="0" xfId="0" applyFont="1" applyFill="1" applyAlignment="1">
      <alignment horizontal="right" vertical="top"/>
    </xf>
    <xf numFmtId="0" fontId="48" fillId="5" borderId="0" xfId="0" applyFont="1" applyFill="1" applyAlignment="1">
      <alignment horizontal="right" vertical="top"/>
    </xf>
    <xf numFmtId="0" fontId="54" fillId="2" borderId="0" xfId="0" applyFont="1" applyFill="1" applyAlignment="1">
      <alignment horizontal="center" vertical="top"/>
    </xf>
    <xf numFmtId="0" fontId="57" fillId="2" borderId="3" xfId="8" applyFont="1" applyBorder="1">
      <alignment horizontal="center"/>
    </xf>
    <xf numFmtId="3" fontId="49" fillId="2" borderId="0" xfId="0" applyNumberFormat="1" applyFont="1" applyFill="1" applyAlignment="1">
      <alignment horizontal="center"/>
    </xf>
    <xf numFmtId="3" fontId="58" fillId="2" borderId="14" xfId="0" applyNumberFormat="1" applyFont="1" applyFill="1" applyBorder="1" applyAlignment="1">
      <alignment horizontal="center"/>
    </xf>
    <xf numFmtId="3" fontId="47" fillId="2" borderId="14" xfId="0" applyNumberFormat="1" applyFont="1" applyFill="1" applyBorder="1" applyAlignment="1">
      <alignment horizontal="center"/>
    </xf>
    <xf numFmtId="0" fontId="76" fillId="5" borderId="0" xfId="2" applyFont="1" applyFill="1" applyAlignment="1">
      <alignment vertical="top" wrapText="1"/>
    </xf>
    <xf numFmtId="0" fontId="76" fillId="5" borderId="0" xfId="0" applyFont="1" applyFill="1" applyAlignment="1">
      <alignment horizontal="center"/>
    </xf>
    <xf numFmtId="0" fontId="76" fillId="5" borderId="0" xfId="0" applyFont="1" applyFill="1"/>
    <xf numFmtId="0" fontId="75" fillId="5" borderId="0" xfId="0" applyFont="1" applyFill="1"/>
    <xf numFmtId="0" fontId="75" fillId="5" borderId="0" xfId="0" applyFont="1" applyFill="1" applyAlignment="1">
      <alignment horizontal="center"/>
    </xf>
    <xf numFmtId="0" fontId="48" fillId="2" borderId="17" xfId="0" applyFont="1" applyFill="1" applyBorder="1" applyAlignment="1">
      <alignment horizontal="left" vertical="center"/>
    </xf>
    <xf numFmtId="0" fontId="48" fillId="2" borderId="17" xfId="0" applyFont="1" applyFill="1" applyBorder="1" applyAlignment="1">
      <alignment horizontal="left" vertical="center" wrapText="1"/>
    </xf>
    <xf numFmtId="0" fontId="52" fillId="2" borderId="11" xfId="0" applyFont="1" applyFill="1" applyBorder="1" applyAlignment="1">
      <alignment horizontal="left" vertical="center"/>
    </xf>
    <xf numFmtId="9" fontId="48" fillId="2" borderId="18" xfId="0" applyNumberFormat="1" applyFont="1" applyFill="1" applyBorder="1" applyAlignment="1">
      <alignment horizontal="right" vertical="center" indent="1"/>
    </xf>
    <xf numFmtId="9" fontId="48" fillId="2" borderId="15" xfId="0" applyNumberFormat="1" applyFont="1" applyFill="1" applyBorder="1" applyAlignment="1">
      <alignment horizontal="right" vertical="center" indent="1"/>
    </xf>
    <xf numFmtId="4" fontId="50" fillId="2" borderId="17" xfId="0" applyNumberFormat="1" applyFont="1" applyFill="1" applyBorder="1" applyAlignment="1">
      <alignment vertical="center"/>
    </xf>
    <xf numFmtId="0" fontId="52" fillId="2" borderId="17" xfId="0" applyFont="1" applyFill="1" applyBorder="1" applyAlignment="1">
      <alignment horizontal="left" vertical="center"/>
    </xf>
    <xf numFmtId="9" fontId="48" fillId="2" borderId="19" xfId="0" applyNumberFormat="1" applyFont="1" applyFill="1" applyBorder="1" applyAlignment="1">
      <alignment horizontal="right" vertical="center" indent="1"/>
    </xf>
    <xf numFmtId="0" fontId="46" fillId="2" borderId="11" xfId="0" applyFont="1" applyFill="1" applyBorder="1" applyAlignment="1">
      <alignment vertical="center"/>
    </xf>
    <xf numFmtId="0" fontId="46" fillId="2" borderId="17" xfId="0" applyFont="1" applyFill="1" applyBorder="1" applyAlignment="1">
      <alignment vertical="center"/>
    </xf>
    <xf numFmtId="164" fontId="48" fillId="2" borderId="0" xfId="0" applyNumberFormat="1" applyFont="1" applyFill="1" applyAlignment="1">
      <alignment horizontal="left" vertical="top" wrapText="1"/>
    </xf>
    <xf numFmtId="3" fontId="74" fillId="2" borderId="0" xfId="0" applyNumberFormat="1" applyFont="1" applyFill="1" applyAlignment="1">
      <alignment horizontal="center" vertical="center"/>
    </xf>
    <xf numFmtId="0" fontId="71" fillId="2" borderId="0" xfId="8" applyFont="1" applyAlignment="1">
      <alignment horizontal="center" textRotation="30" wrapText="1"/>
    </xf>
    <xf numFmtId="0" fontId="44" fillId="5" borderId="0" xfId="2" applyFont="1" applyFill="1" applyAlignment="1">
      <alignment vertical="top"/>
    </xf>
    <xf numFmtId="0" fontId="39" fillId="5" borderId="0" xfId="0" applyFont="1" applyFill="1" applyAlignment="1">
      <alignment vertical="top"/>
    </xf>
    <xf numFmtId="3" fontId="74" fillId="2" borderId="0" xfId="0" applyNumberFormat="1" applyFont="1" applyFill="1" applyAlignment="1">
      <alignment vertical="center"/>
    </xf>
    <xf numFmtId="0" fontId="72" fillId="2" borderId="3" xfId="8" applyFont="1" applyBorder="1" applyAlignment="1">
      <alignment horizontal="center" textRotation="30" wrapText="1"/>
    </xf>
    <xf numFmtId="0" fontId="72" fillId="2" borderId="3" xfId="8" applyFont="1" applyBorder="1" applyAlignment="1">
      <alignment horizontal="left" textRotation="30" wrapText="1"/>
    </xf>
    <xf numFmtId="0" fontId="72" fillId="2" borderId="0" xfId="8" applyFont="1" applyAlignment="1">
      <alignment horizontal="right" textRotation="30" wrapText="1"/>
    </xf>
    <xf numFmtId="3" fontId="74" fillId="2" borderId="0" xfId="0" applyNumberFormat="1" applyFont="1" applyFill="1" applyAlignment="1">
      <alignment horizontal="left" vertical="center"/>
    </xf>
    <xf numFmtId="0" fontId="63" fillId="2" borderId="0" xfId="0" applyFont="1" applyFill="1" applyAlignment="1">
      <alignment vertical="top" wrapText="1"/>
    </xf>
    <xf numFmtId="0" fontId="33" fillId="2" borderId="11" xfId="9" applyFont="1" applyFill="1" applyBorder="1">
      <alignment horizontal="right" vertical="center" wrapText="1"/>
    </xf>
    <xf numFmtId="0" fontId="6" fillId="14" borderId="0" xfId="0" applyFont="1" applyFill="1" applyAlignment="1">
      <alignment horizontal="left" vertical="center" wrapText="1"/>
    </xf>
    <xf numFmtId="0" fontId="9" fillId="2" borderId="0" xfId="6" applyFill="1" applyAlignment="1">
      <alignment horizontal="center" vertical="center"/>
    </xf>
    <xf numFmtId="0" fontId="6" fillId="14" borderId="4" xfId="0" applyFont="1" applyFill="1" applyBorder="1" applyAlignment="1">
      <alignment horizontal="left" vertical="center" wrapText="1"/>
    </xf>
    <xf numFmtId="0" fontId="0" fillId="0" borderId="8" xfId="0" applyBorder="1" applyAlignment="1">
      <alignment vertical="center"/>
    </xf>
    <xf numFmtId="0" fontId="0" fillId="0" borderId="8" xfId="0" applyBorder="1"/>
    <xf numFmtId="0" fontId="0" fillId="0" borderId="8" xfId="0" applyBorder="1" applyAlignment="1">
      <alignment wrapText="1"/>
    </xf>
    <xf numFmtId="0" fontId="0" fillId="0" borderId="6" xfId="0" applyBorder="1" applyAlignment="1">
      <alignment horizontal="left" vertical="center" wrapText="1"/>
    </xf>
    <xf numFmtId="0" fontId="6" fillId="2" borderId="20" xfId="0" applyFont="1" applyFill="1" applyBorder="1" applyAlignment="1">
      <alignment horizontal="right" vertical="center"/>
    </xf>
    <xf numFmtId="0" fontId="0" fillId="14" borderId="21" xfId="0" applyFill="1" applyBorder="1"/>
    <xf numFmtId="0" fontId="6" fillId="14" borderId="22" xfId="0" applyFont="1" applyFill="1" applyBorder="1" applyAlignment="1">
      <alignment wrapText="1"/>
    </xf>
    <xf numFmtId="0" fontId="6" fillId="14" borderId="20" xfId="0" quotePrefix="1" applyFont="1" applyFill="1" applyBorder="1" applyAlignment="1">
      <alignment vertical="center" wrapText="1"/>
    </xf>
    <xf numFmtId="0" fontId="6" fillId="14" borderId="23" xfId="0" applyFont="1" applyFill="1" applyBorder="1" applyAlignment="1">
      <alignment wrapText="1"/>
    </xf>
    <xf numFmtId="0" fontId="6" fillId="14" borderId="23" xfId="0" applyFont="1" applyFill="1" applyBorder="1" applyAlignment="1">
      <alignment horizontal="left" vertical="top" wrapText="1"/>
    </xf>
    <xf numFmtId="0" fontId="0" fillId="2" borderId="23" xfId="0" applyFill="1" applyBorder="1" applyAlignment="1">
      <alignment horizontal="left" vertical="top" wrapText="1"/>
    </xf>
    <xf numFmtId="0" fontId="0" fillId="2" borderId="23" xfId="0" applyFill="1" applyBorder="1" applyAlignment="1">
      <alignment horizontal="center" vertical="center" wrapText="1"/>
    </xf>
    <xf numFmtId="0" fontId="17" fillId="2" borderId="23" xfId="0" applyFont="1" applyFill="1" applyBorder="1" applyAlignment="1">
      <alignment horizontal="right" vertical="center"/>
    </xf>
    <xf numFmtId="0" fontId="0" fillId="2" borderId="23" xfId="0" applyFill="1" applyBorder="1" applyAlignment="1">
      <alignment horizontal="left" vertical="center" wrapText="1"/>
    </xf>
    <xf numFmtId="0" fontId="0" fillId="2" borderId="0" xfId="0" applyFill="1" applyAlignment="1">
      <alignment horizontal="center" vertical="center" wrapText="1"/>
    </xf>
    <xf numFmtId="0" fontId="0" fillId="2" borderId="0" xfId="0" applyFill="1" applyAlignment="1">
      <alignment horizontal="left" vertical="center" wrapText="1"/>
    </xf>
    <xf numFmtId="4" fontId="46" fillId="2" borderId="0" xfId="0" applyNumberFormat="1" applyFont="1" applyFill="1"/>
    <xf numFmtId="4" fontId="0" fillId="2" borderId="0" xfId="0" applyNumberFormat="1" applyFill="1"/>
    <xf numFmtId="0" fontId="50" fillId="2" borderId="0" xfId="8" applyFont="1" applyAlignment="1">
      <alignment horizontal="left" vertical="center" wrapText="1"/>
    </xf>
    <xf numFmtId="0" fontId="40" fillId="2" borderId="0" xfId="0" applyFont="1" applyFill="1" applyAlignment="1">
      <alignment horizontal="left" wrapText="1"/>
    </xf>
    <xf numFmtId="0" fontId="70" fillId="17" borderId="0" xfId="0" applyFont="1" applyFill="1" applyAlignment="1">
      <alignment horizontal="center" vertical="center"/>
    </xf>
    <xf numFmtId="0" fontId="50" fillId="2" borderId="7" xfId="8" applyFont="1" applyBorder="1" applyAlignment="1">
      <alignment horizontal="left" vertical="top" wrapText="1"/>
    </xf>
    <xf numFmtId="0" fontId="63" fillId="2" borderId="0" xfId="0" applyFont="1" applyFill="1" applyAlignment="1">
      <alignment horizontal="left" vertical="top" wrapText="1"/>
    </xf>
    <xf numFmtId="0" fontId="63" fillId="2" borderId="0" xfId="0" applyFont="1" applyFill="1" applyAlignment="1">
      <alignment horizontal="left" vertical="center" wrapText="1"/>
    </xf>
    <xf numFmtId="0" fontId="41" fillId="2" borderId="0" xfId="0" applyFont="1" applyFill="1"/>
    <xf numFmtId="4" fontId="48" fillId="2" borderId="11" xfId="0" applyNumberFormat="1" applyFont="1" applyFill="1" applyBorder="1" applyAlignment="1">
      <alignment horizontal="center"/>
    </xf>
    <xf numFmtId="165" fontId="48" fillId="2" borderId="11" xfId="5" applyNumberFormat="1" applyFont="1" applyFill="1" applyBorder="1" applyAlignment="1">
      <alignment horizontal="center" vertical="top"/>
    </xf>
    <xf numFmtId="164" fontId="48" fillId="2" borderId="0" xfId="0" applyNumberFormat="1" applyFont="1" applyFill="1" applyAlignment="1">
      <alignment horizontal="left" vertical="top" wrapText="1"/>
    </xf>
    <xf numFmtId="0" fontId="50" fillId="2" borderId="0" xfId="8" applyFont="1">
      <alignment horizontal="center"/>
    </xf>
    <xf numFmtId="0" fontId="48" fillId="2" borderId="0" xfId="0" applyFont="1" applyFill="1" applyAlignment="1">
      <alignment horizontal="left" vertical="top" wrapText="1"/>
    </xf>
    <xf numFmtId="3" fontId="48" fillId="2" borderId="0" xfId="0" applyNumberFormat="1" applyFont="1" applyFill="1" applyAlignment="1">
      <alignment horizontal="center"/>
    </xf>
    <xf numFmtId="3" fontId="48" fillId="2" borderId="16" xfId="0" applyNumberFormat="1" applyFont="1" applyFill="1" applyBorder="1" applyAlignment="1">
      <alignment horizontal="center"/>
    </xf>
    <xf numFmtId="3" fontId="74" fillId="2" borderId="0" xfId="0" applyNumberFormat="1" applyFont="1" applyFill="1" applyAlignment="1">
      <alignment horizontal="center" vertical="center"/>
    </xf>
    <xf numFmtId="3" fontId="51" fillId="2" borderId="0" xfId="0" applyNumberFormat="1" applyFont="1" applyFill="1" applyAlignment="1">
      <alignment horizontal="center" vertical="top"/>
    </xf>
    <xf numFmtId="0" fontId="39" fillId="5" borderId="0" xfId="0" applyFont="1" applyFill="1" applyAlignment="1">
      <alignment horizontal="left" vertical="top" wrapText="1"/>
    </xf>
    <xf numFmtId="0" fontId="75" fillId="5" borderId="0" xfId="0" applyFont="1" applyFill="1" applyAlignment="1">
      <alignment horizontal="left" vertical="top" wrapText="1"/>
    </xf>
    <xf numFmtId="0" fontId="71" fillId="2" borderId="0" xfId="8" applyFont="1" applyAlignment="1">
      <alignment horizontal="center" textRotation="30" wrapText="1"/>
    </xf>
    <xf numFmtId="3" fontId="74" fillId="2" borderId="4" xfId="0" applyNumberFormat="1" applyFont="1" applyFill="1" applyBorder="1" applyAlignment="1">
      <alignment horizontal="center" vertical="center"/>
    </xf>
    <xf numFmtId="4" fontId="48" fillId="2" borderId="0" xfId="0" applyNumberFormat="1" applyFont="1" applyFill="1" applyAlignment="1">
      <alignment horizontal="center" vertical="center"/>
    </xf>
    <xf numFmtId="0" fontId="5" fillId="10" borderId="9" xfId="0" applyFont="1" applyFill="1" applyBorder="1" applyAlignment="1">
      <alignment horizontal="left" vertical="center" wrapText="1"/>
    </xf>
    <xf numFmtId="0" fontId="5" fillId="10" borderId="6" xfId="0" applyFont="1" applyFill="1" applyBorder="1" applyAlignment="1">
      <alignment horizontal="left" vertical="center" wrapText="1"/>
    </xf>
    <xf numFmtId="0" fontId="5" fillId="7" borderId="9" xfId="0" applyFont="1" applyFill="1" applyBorder="1" applyAlignment="1">
      <alignment horizontal="left" vertical="center" wrapText="1"/>
    </xf>
    <xf numFmtId="0" fontId="5" fillId="7" borderId="6" xfId="0" applyFont="1" applyFill="1" applyBorder="1" applyAlignment="1">
      <alignment horizontal="left" vertical="center" wrapText="1"/>
    </xf>
    <xf numFmtId="0" fontId="0" fillId="12" borderId="9" xfId="0" applyFill="1" applyBorder="1" applyAlignment="1">
      <alignment horizontal="left" vertical="center" wrapText="1"/>
    </xf>
    <xf numFmtId="0" fontId="0" fillId="12" borderId="6" xfId="0" applyFill="1" applyBorder="1" applyAlignment="1">
      <alignment horizontal="left" vertical="center" wrapText="1"/>
    </xf>
    <xf numFmtId="0" fontId="0" fillId="13" borderId="9" xfId="0" applyFill="1" applyBorder="1" applyAlignment="1">
      <alignment horizontal="left" vertical="center" wrapText="1"/>
    </xf>
    <xf numFmtId="0" fontId="0" fillId="13" borderId="6" xfId="0" applyFill="1" applyBorder="1" applyAlignment="1">
      <alignment horizontal="left" vertical="center" wrapText="1"/>
    </xf>
    <xf numFmtId="0" fontId="35" fillId="2" borderId="0" xfId="0" applyFont="1" applyFill="1"/>
    <xf numFmtId="164" fontId="8" fillId="2" borderId="0" xfId="0" applyNumberFormat="1" applyFont="1" applyFill="1" applyAlignment="1">
      <alignment horizontal="left" vertical="center" wrapText="1"/>
    </xf>
    <xf numFmtId="164" fontId="6" fillId="2" borderId="0" xfId="0" applyNumberFormat="1" applyFont="1" applyFill="1" applyAlignment="1">
      <alignment horizontal="left" vertical="center" wrapText="1"/>
    </xf>
    <xf numFmtId="0" fontId="33" fillId="2" borderId="0" xfId="9" applyFont="1" applyFill="1" applyBorder="1">
      <alignment horizontal="right" vertical="center" wrapText="1"/>
    </xf>
    <xf numFmtId="0" fontId="33" fillId="2" borderId="11" xfId="9" applyFont="1" applyFill="1" applyBorder="1">
      <alignment horizontal="right" vertical="center" wrapText="1"/>
    </xf>
    <xf numFmtId="0" fontId="6" fillId="14" borderId="0" xfId="0" applyFont="1" applyFill="1" applyAlignment="1">
      <alignment horizontal="left" vertical="center" wrapText="1"/>
    </xf>
    <xf numFmtId="0" fontId="6" fillId="14" borderId="11" xfId="0" applyFont="1" applyFill="1" applyBorder="1" applyAlignment="1">
      <alignment horizontal="left" vertical="center" wrapText="1"/>
    </xf>
    <xf numFmtId="0" fontId="6" fillId="14" borderId="0" xfId="0" quotePrefix="1" applyFont="1" applyFill="1" applyAlignment="1">
      <alignment horizontal="left" vertical="center" wrapText="1"/>
    </xf>
    <xf numFmtId="0" fontId="9" fillId="2" borderId="0" xfId="6" applyFill="1" applyAlignment="1">
      <alignment horizontal="center" vertical="center"/>
    </xf>
    <xf numFmtId="0" fontId="0" fillId="2" borderId="13" xfId="0" applyFill="1" applyBorder="1" applyAlignment="1">
      <alignment horizontal="left" vertical="top" wrapText="1"/>
    </xf>
    <xf numFmtId="0" fontId="0" fillId="2" borderId="0" xfId="0" applyFill="1" applyAlignment="1">
      <alignment horizontal="left" vertical="top" wrapText="1"/>
    </xf>
    <xf numFmtId="0" fontId="0" fillId="2" borderId="13" xfId="0" applyFill="1" applyBorder="1" applyAlignment="1">
      <alignment horizontal="center" vertical="center" wrapText="1"/>
    </xf>
    <xf numFmtId="0" fontId="0" fillId="2" borderId="0" xfId="0" applyFill="1" applyAlignment="1">
      <alignment horizontal="center" vertical="center" wrapText="1"/>
    </xf>
    <xf numFmtId="0" fontId="6" fillId="14" borderId="4" xfId="0" applyFont="1" applyFill="1" applyBorder="1" applyAlignment="1">
      <alignment horizontal="left" vertical="center" wrapText="1"/>
    </xf>
    <xf numFmtId="0" fontId="77" fillId="2" borderId="0" xfId="0" applyFont="1" applyFill="1"/>
    <xf numFmtId="0" fontId="78" fillId="2" borderId="0" xfId="0" applyFont="1" applyFill="1"/>
    <xf numFmtId="0" fontId="78" fillId="5" borderId="0" xfId="0" applyFont="1" applyFill="1"/>
    <xf numFmtId="0" fontId="78" fillId="2" borderId="0" xfId="0" applyFont="1" applyFill="1" applyAlignment="1">
      <alignment vertical="center"/>
    </xf>
    <xf numFmtId="0" fontId="79" fillId="2" borderId="0" xfId="0" applyFont="1" applyFill="1"/>
    <xf numFmtId="0" fontId="79" fillId="2" borderId="0" xfId="0" applyFont="1" applyFill="1" applyAlignment="1">
      <alignment vertical="top"/>
    </xf>
    <xf numFmtId="4" fontId="79" fillId="2" borderId="0" xfId="0" applyNumberFormat="1" applyFont="1" applyFill="1" applyAlignment="1">
      <alignment vertical="top"/>
    </xf>
    <xf numFmtId="4" fontId="79" fillId="2" borderId="0" xfId="0" applyNumberFormat="1" applyFont="1" applyFill="1" applyAlignment="1">
      <alignment horizontal="center"/>
    </xf>
    <xf numFmtId="4" fontId="78" fillId="2" borderId="0" xfId="0" applyNumberFormat="1" applyFont="1" applyFill="1" applyAlignment="1">
      <alignment vertical="center"/>
    </xf>
    <xf numFmtId="0" fontId="80" fillId="2" borderId="0" xfId="0" applyFont="1" applyFill="1" applyAlignment="1">
      <alignment vertical="center"/>
    </xf>
    <xf numFmtId="4" fontId="80" fillId="2" borderId="0" xfId="0" applyNumberFormat="1" applyFont="1" applyFill="1" applyAlignment="1">
      <alignment vertical="center"/>
    </xf>
  </cellXfs>
  <cellStyles count="11">
    <cellStyle name="BL" xfId="8" xr:uid="{00000000-0005-0000-0000-000000000000}"/>
    <cellStyle name="Indikator" xfId="9" xr:uid="{00000000-0005-0000-0000-000001000000}"/>
    <cellStyle name="Komma" xfId="5" builtinId="3"/>
    <cellStyle name="Neutral" xfId="3" builtinId="28"/>
    <cellStyle name="Notiz" xfId="4" builtinId="10"/>
    <cellStyle name="Prozent" xfId="10" builtinId="5"/>
    <cellStyle name="Schlecht" xfId="6" builtinId="27"/>
    <cellStyle name="Standard" xfId="0" builtinId="0"/>
    <cellStyle name="Überschrift" xfId="2" builtinId="15"/>
    <cellStyle name="Überschrift 1" xfId="1" builtinId="16"/>
    <cellStyle name="Überschrift 3" xfId="7" builtinId="18"/>
  </cellStyles>
  <dxfs count="131">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167" formatCode="0.0%"/>
    </dxf>
    <dxf>
      <numFmt numFmtId="167" formatCode="0.0%"/>
    </dxf>
    <dxf>
      <numFmt numFmtId="3" formatCode="#,##0"/>
    </dxf>
    <dxf>
      <numFmt numFmtId="167" formatCode="0.0%"/>
    </dxf>
    <dxf>
      <numFmt numFmtId="3" formatCode="#,##0"/>
    </dxf>
    <dxf>
      <numFmt numFmtId="167" formatCode="0.0%"/>
    </dxf>
    <dxf>
      <numFmt numFmtId="3" formatCode="#,##0"/>
    </dxf>
    <dxf>
      <numFmt numFmtId="167" formatCode="0.0%"/>
    </dxf>
    <dxf>
      <numFmt numFmtId="167" formatCode="0.0%"/>
    </dxf>
    <dxf>
      <numFmt numFmtId="169" formatCode="0.0"/>
    </dxf>
    <dxf>
      <numFmt numFmtId="167" formatCode="0.0%"/>
    </dxf>
    <dxf>
      <numFmt numFmtId="3" formatCode="#,##0"/>
    </dxf>
    <dxf>
      <numFmt numFmtId="3" formatCode="#,##0"/>
    </dxf>
    <dxf>
      <numFmt numFmtId="167" formatCode="0.0%"/>
    </dxf>
    <dxf>
      <numFmt numFmtId="167" formatCode="0.0%"/>
    </dxf>
    <dxf>
      <numFmt numFmtId="167" formatCode="0.0%"/>
    </dxf>
    <dxf>
      <numFmt numFmtId="3" formatCode="#,##0"/>
    </dxf>
    <dxf>
      <numFmt numFmtId="167" formatCode="0.0%"/>
    </dxf>
    <dxf>
      <numFmt numFmtId="167" formatCode="0.0%"/>
    </dxf>
    <dxf>
      <numFmt numFmtId="167" formatCode="0.0%"/>
    </dxf>
    <dxf>
      <numFmt numFmtId="3" formatCode="#,##0"/>
    </dxf>
  </dxfs>
  <tableStyles count="0" defaultTableStyle="TableStyleMedium2" defaultPivotStyle="PivotStyleLight16"/>
  <colors>
    <mruColors>
      <color rgb="FFFFFFFF"/>
      <color rgb="FFFFFFCC"/>
      <color rgb="FFCC6600"/>
      <color rgb="FFA50021"/>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'Ö Hauptergebnisse'!$BP$12:$BP$17</c:f>
              <c:numCache>
                <c:formatCode>#,##0.00</c:formatCode>
                <c:ptCount val="6"/>
                <c:pt idx="0">
                  <c:v>296380.82579999999</c:v>
                </c:pt>
                <c:pt idx="1">
                  <c:v>127364.2951</c:v>
                </c:pt>
                <c:pt idx="2">
                  <c:v>132291.61749999999</c:v>
                </c:pt>
                <c:pt idx="3">
                  <c:v>29517.913900000003</c:v>
                </c:pt>
                <c:pt idx="4">
                  <c:v>5518.1544999999996</c:v>
                </c:pt>
                <c:pt idx="5">
                  <c:v>1688.8448000000001</c:v>
                </c:pt>
              </c:numCache>
            </c:numRef>
          </c:val>
          <c:extLst>
            <c:ext xmlns:c16="http://schemas.microsoft.com/office/drawing/2014/chart" uri="{C3380CC4-5D6E-409C-BE32-E72D297353CC}">
              <c16:uniqueId val="{00000001-B53B-41A8-848E-CD6AFFC3FE17}"/>
            </c:ext>
          </c:extLst>
        </c:ser>
        <c:ser>
          <c:idx val="0"/>
          <c:order val="1"/>
          <c:spPr>
            <a:solidFill>
              <a:schemeClr val="bg1">
                <a:lumMod val="85000"/>
              </a:schemeClr>
            </a:solidFill>
            <a:ln>
              <a:solidFill>
                <a:schemeClr val="bg1">
                  <a:lumMod val="50000"/>
                </a:schemeClr>
              </a:solidFill>
            </a:ln>
            <a:effectLst/>
          </c:spPr>
          <c:invertIfNegative val="0"/>
          <c:val>
            <c:numRef>
              <c:f>'Ö Hauptergebnisse'!$BQ$12:$BQ$17</c:f>
              <c:numCache>
                <c:formatCode>#,##0.00</c:formatCode>
                <c:ptCount val="6"/>
                <c:pt idx="0">
                  <c:v>268414.71724425</c:v>
                </c:pt>
                <c:pt idx="1">
                  <c:v>44604.789742261011</c:v>
                </c:pt>
                <c:pt idx="2">
                  <c:v>147084.15704436501</c:v>
                </c:pt>
                <c:pt idx="3">
                  <c:v>36400.2667685653</c:v>
                </c:pt>
                <c:pt idx="4">
                  <c:v>27506.356377272303</c:v>
                </c:pt>
                <c:pt idx="5">
                  <c:v>12819.147311786897</c:v>
                </c:pt>
              </c:numCache>
            </c:numRef>
          </c:val>
          <c:extLst>
            <c:ext xmlns:c16="http://schemas.microsoft.com/office/drawing/2014/chart" uri="{C3380CC4-5D6E-409C-BE32-E72D297353CC}">
              <c16:uniqueId val="{00000000-B53B-41A8-848E-CD6AFFC3FE17}"/>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K!$BQ$10:$BQ$15</c:f>
              <c:numCache>
                <c:formatCode>#,##0.00</c:formatCode>
                <c:ptCount val="6"/>
                <c:pt idx="0">
                  <c:v>24537.961200000002</c:v>
                </c:pt>
                <c:pt idx="1">
                  <c:v>11173.850700000001</c:v>
                </c:pt>
                <c:pt idx="2">
                  <c:v>11467.931399999999</c:v>
                </c:pt>
                <c:pt idx="3">
                  <c:v>1257.9227000000001</c:v>
                </c:pt>
                <c:pt idx="4">
                  <c:v>476.6866</c:v>
                </c:pt>
                <c:pt idx="5">
                  <c:v>161.56979999999999</c:v>
                </c:pt>
              </c:numCache>
            </c:numRef>
          </c:val>
          <c:extLst>
            <c:ext xmlns:c16="http://schemas.microsoft.com/office/drawing/2014/chart" uri="{C3380CC4-5D6E-409C-BE32-E72D297353CC}">
              <c16:uniqueId val="{00000000-76B1-431C-8827-5E3F2D725019}"/>
            </c:ext>
          </c:extLst>
        </c:ser>
        <c:ser>
          <c:idx val="0"/>
          <c:order val="1"/>
          <c:spPr>
            <a:solidFill>
              <a:schemeClr val="bg1">
                <a:lumMod val="85000"/>
              </a:schemeClr>
            </a:solidFill>
            <a:ln>
              <a:solidFill>
                <a:schemeClr val="bg1">
                  <a:lumMod val="50000"/>
                </a:schemeClr>
              </a:solidFill>
            </a:ln>
            <a:effectLst/>
          </c:spPr>
          <c:invertIfNegative val="0"/>
          <c:val>
            <c:numRef>
              <c:f>K!$BR$10:$BR$15</c:f>
              <c:numCache>
                <c:formatCode>#,##0.00</c:formatCode>
                <c:ptCount val="6"/>
                <c:pt idx="0">
                  <c:v>25956.137937576899</c:v>
                </c:pt>
                <c:pt idx="1">
                  <c:v>4213.4143622906995</c:v>
                </c:pt>
                <c:pt idx="2">
                  <c:v>15726.370745500002</c:v>
                </c:pt>
                <c:pt idx="3">
                  <c:v>2472.5855373433901</c:v>
                </c:pt>
                <c:pt idx="4">
                  <c:v>2576.49248714739</c:v>
                </c:pt>
                <c:pt idx="5">
                  <c:v>967.27480529558011</c:v>
                </c:pt>
              </c:numCache>
            </c:numRef>
          </c:val>
          <c:extLst>
            <c:ext xmlns:c16="http://schemas.microsoft.com/office/drawing/2014/chart" uri="{C3380CC4-5D6E-409C-BE32-E72D297353CC}">
              <c16:uniqueId val="{00000001-76B1-431C-8827-5E3F2D725019}"/>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K!$BQ$10:$BQ$15</c:f>
              <c:numCache>
                <c:formatCode>#,##0.00</c:formatCode>
                <c:ptCount val="6"/>
                <c:pt idx="0">
                  <c:v>24537.961200000002</c:v>
                </c:pt>
                <c:pt idx="1">
                  <c:v>11173.850700000001</c:v>
                </c:pt>
                <c:pt idx="2">
                  <c:v>11467.931399999999</c:v>
                </c:pt>
                <c:pt idx="3">
                  <c:v>1257.9227000000001</c:v>
                </c:pt>
                <c:pt idx="4">
                  <c:v>476.6866</c:v>
                </c:pt>
                <c:pt idx="5">
                  <c:v>161.56979999999999</c:v>
                </c:pt>
              </c:numCache>
            </c:numRef>
          </c:val>
          <c:extLst>
            <c:ext xmlns:c16="http://schemas.microsoft.com/office/drawing/2014/chart" uri="{C3380CC4-5D6E-409C-BE32-E72D297353CC}">
              <c16:uniqueId val="{00000000-962D-4677-972E-4756969354ED}"/>
            </c:ext>
          </c:extLst>
        </c:ser>
        <c:ser>
          <c:idx val="0"/>
          <c:order val="1"/>
          <c:spPr>
            <a:solidFill>
              <a:schemeClr val="bg1">
                <a:lumMod val="85000"/>
              </a:schemeClr>
            </a:solidFill>
            <a:ln>
              <a:solidFill>
                <a:schemeClr val="bg1">
                  <a:lumMod val="50000"/>
                </a:schemeClr>
              </a:solidFill>
            </a:ln>
            <a:effectLst/>
          </c:spPr>
          <c:invertIfNegative val="0"/>
          <c:val>
            <c:numRef>
              <c:f>K!$BR$10:$BR$15</c:f>
              <c:numCache>
                <c:formatCode>#,##0.00</c:formatCode>
                <c:ptCount val="6"/>
                <c:pt idx="0">
                  <c:v>25956.137937576899</c:v>
                </c:pt>
                <c:pt idx="1">
                  <c:v>4213.4143622906995</c:v>
                </c:pt>
                <c:pt idx="2">
                  <c:v>15726.370745500002</c:v>
                </c:pt>
                <c:pt idx="3">
                  <c:v>2472.5855373433901</c:v>
                </c:pt>
                <c:pt idx="4">
                  <c:v>2576.49248714739</c:v>
                </c:pt>
                <c:pt idx="5">
                  <c:v>967.27480529558011</c:v>
                </c:pt>
              </c:numCache>
            </c:numRef>
          </c:val>
          <c:extLst>
            <c:ext xmlns:c16="http://schemas.microsoft.com/office/drawing/2014/chart" uri="{C3380CC4-5D6E-409C-BE32-E72D297353CC}">
              <c16:uniqueId val="{00000001-962D-4677-972E-4756969354ED}"/>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K!$BE$63:$BE$75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4878-458A-AE31-104EBDB33125}"/>
            </c:ext>
          </c:extLst>
        </c:ser>
        <c:ser>
          <c:idx val="1"/>
          <c:order val="1"/>
          <c:spPr>
            <a:solidFill>
              <a:schemeClr val="bg1">
                <a:lumMod val="85000"/>
              </a:schemeClr>
            </a:solidFill>
            <a:ln>
              <a:solidFill>
                <a:schemeClr val="tx1">
                  <a:lumMod val="50000"/>
                  <a:lumOff val="50000"/>
                </a:schemeClr>
              </a:solidFill>
            </a:ln>
            <a:effectLst/>
          </c:spPr>
          <c:invertIfNegative val="0"/>
          <c:val>
            <c:numRef>
              <c:f>K!$BF$63:$BF$75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4878-458A-AE31-104EBDB33125}"/>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NÖ!$CE$10:$CE$15</c:f>
              <c:numCache>
                <c:formatCode>#,##0.00</c:formatCode>
                <c:ptCount val="6"/>
                <c:pt idx="0">
                  <c:v>85444.2883</c:v>
                </c:pt>
                <c:pt idx="1">
                  <c:v>40638.862800000003</c:v>
                </c:pt>
                <c:pt idx="2">
                  <c:v>36063.943800000001</c:v>
                </c:pt>
                <c:pt idx="3">
                  <c:v>6886.0962999999992</c:v>
                </c:pt>
                <c:pt idx="4">
                  <c:v>1269.4811</c:v>
                </c:pt>
                <c:pt idx="5">
                  <c:v>585.90430000000003</c:v>
                </c:pt>
              </c:numCache>
            </c:numRef>
          </c:val>
          <c:extLst>
            <c:ext xmlns:c16="http://schemas.microsoft.com/office/drawing/2014/chart" uri="{C3380CC4-5D6E-409C-BE32-E72D297353CC}">
              <c16:uniqueId val="{00000000-B6FD-496F-B185-47E87978D986}"/>
            </c:ext>
          </c:extLst>
        </c:ser>
        <c:ser>
          <c:idx val="0"/>
          <c:order val="1"/>
          <c:spPr>
            <a:solidFill>
              <a:schemeClr val="bg1">
                <a:lumMod val="85000"/>
              </a:schemeClr>
            </a:solidFill>
            <a:ln>
              <a:solidFill>
                <a:schemeClr val="bg1">
                  <a:lumMod val="50000"/>
                </a:schemeClr>
              </a:solidFill>
            </a:ln>
            <a:effectLst/>
          </c:spPr>
          <c:invertIfNegative val="0"/>
          <c:val>
            <c:numRef>
              <c:f>NÖ!$CF$10:$CF$15</c:f>
              <c:numCache>
                <c:formatCode>#,##0.00</c:formatCode>
                <c:ptCount val="6"/>
                <c:pt idx="0">
                  <c:v>77566.378075414003</c:v>
                </c:pt>
                <c:pt idx="1">
                  <c:v>14977.937488441486</c:v>
                </c:pt>
                <c:pt idx="2">
                  <c:v>40489.234356000692</c:v>
                </c:pt>
                <c:pt idx="3">
                  <c:v>9603.8981866596023</c:v>
                </c:pt>
                <c:pt idx="4">
                  <c:v>7678.314087537</c:v>
                </c:pt>
                <c:pt idx="5">
                  <c:v>4816.9939567747597</c:v>
                </c:pt>
              </c:numCache>
            </c:numRef>
          </c:val>
          <c:extLst>
            <c:ext xmlns:c16="http://schemas.microsoft.com/office/drawing/2014/chart" uri="{C3380CC4-5D6E-409C-BE32-E72D297353CC}">
              <c16:uniqueId val="{00000001-B6FD-496F-B185-47E87978D986}"/>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NÖ!$CE$10:$CE$15</c:f>
              <c:numCache>
                <c:formatCode>#,##0.00</c:formatCode>
                <c:ptCount val="6"/>
                <c:pt idx="0">
                  <c:v>85444.2883</c:v>
                </c:pt>
                <c:pt idx="1">
                  <c:v>40638.862800000003</c:v>
                </c:pt>
                <c:pt idx="2">
                  <c:v>36063.943800000001</c:v>
                </c:pt>
                <c:pt idx="3">
                  <c:v>6886.0962999999992</c:v>
                </c:pt>
                <c:pt idx="4">
                  <c:v>1269.4811</c:v>
                </c:pt>
                <c:pt idx="5">
                  <c:v>585.90430000000003</c:v>
                </c:pt>
              </c:numCache>
            </c:numRef>
          </c:val>
          <c:extLst>
            <c:ext xmlns:c16="http://schemas.microsoft.com/office/drawing/2014/chart" uri="{C3380CC4-5D6E-409C-BE32-E72D297353CC}">
              <c16:uniqueId val="{00000000-AAD9-4536-995D-64ADEC96AE7C}"/>
            </c:ext>
          </c:extLst>
        </c:ser>
        <c:ser>
          <c:idx val="0"/>
          <c:order val="1"/>
          <c:spPr>
            <a:solidFill>
              <a:schemeClr val="bg1">
                <a:lumMod val="85000"/>
              </a:schemeClr>
            </a:solidFill>
            <a:ln>
              <a:solidFill>
                <a:schemeClr val="bg1">
                  <a:lumMod val="50000"/>
                </a:schemeClr>
              </a:solidFill>
            </a:ln>
            <a:effectLst/>
          </c:spPr>
          <c:invertIfNegative val="0"/>
          <c:val>
            <c:numRef>
              <c:f>NÖ!$CF$10:$CF$15</c:f>
              <c:numCache>
                <c:formatCode>#,##0.00</c:formatCode>
                <c:ptCount val="6"/>
                <c:pt idx="0">
                  <c:v>77566.378075414003</c:v>
                </c:pt>
                <c:pt idx="1">
                  <c:v>14977.937488441486</c:v>
                </c:pt>
                <c:pt idx="2">
                  <c:v>40489.234356000692</c:v>
                </c:pt>
                <c:pt idx="3">
                  <c:v>9603.8981866596023</c:v>
                </c:pt>
                <c:pt idx="4">
                  <c:v>7678.314087537</c:v>
                </c:pt>
                <c:pt idx="5">
                  <c:v>4816.9939567747597</c:v>
                </c:pt>
              </c:numCache>
            </c:numRef>
          </c:val>
          <c:extLst>
            <c:ext xmlns:c16="http://schemas.microsoft.com/office/drawing/2014/chart" uri="{C3380CC4-5D6E-409C-BE32-E72D297353CC}">
              <c16:uniqueId val="{00000001-AAD9-4536-995D-64ADEC96AE7C}"/>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NÖ!$BS$63:$BS$75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0696-44ED-9A71-62800912D6B4}"/>
            </c:ext>
          </c:extLst>
        </c:ser>
        <c:ser>
          <c:idx val="1"/>
          <c:order val="1"/>
          <c:spPr>
            <a:solidFill>
              <a:schemeClr val="bg1">
                <a:lumMod val="85000"/>
              </a:schemeClr>
            </a:solidFill>
            <a:ln>
              <a:solidFill>
                <a:schemeClr val="tx1">
                  <a:lumMod val="50000"/>
                  <a:lumOff val="50000"/>
                </a:schemeClr>
              </a:solidFill>
            </a:ln>
            <a:effectLst/>
          </c:spPr>
          <c:invertIfNegative val="0"/>
          <c:val>
            <c:numRef>
              <c:f>NÖ!$BT$63:$BT$75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0696-44ED-9A71-62800912D6B4}"/>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OÖ!$BY$10:$BY$15</c:f>
              <c:numCache>
                <c:formatCode>#,##0.00</c:formatCode>
                <c:ptCount val="6"/>
                <c:pt idx="0">
                  <c:v>58147.785799999998</c:v>
                </c:pt>
                <c:pt idx="1">
                  <c:v>23560.198</c:v>
                </c:pt>
                <c:pt idx="2">
                  <c:v>25223.126100000001</c:v>
                </c:pt>
                <c:pt idx="3">
                  <c:v>8301.5761999999995</c:v>
                </c:pt>
                <c:pt idx="4">
                  <c:v>875.72540000000015</c:v>
                </c:pt>
                <c:pt idx="5">
                  <c:v>187.1601</c:v>
                </c:pt>
              </c:numCache>
            </c:numRef>
          </c:val>
          <c:extLst>
            <c:ext xmlns:c16="http://schemas.microsoft.com/office/drawing/2014/chart" uri="{C3380CC4-5D6E-409C-BE32-E72D297353CC}">
              <c16:uniqueId val="{00000000-6A5C-4B93-B4C0-A58761368091}"/>
            </c:ext>
          </c:extLst>
        </c:ser>
        <c:ser>
          <c:idx val="0"/>
          <c:order val="1"/>
          <c:spPr>
            <a:solidFill>
              <a:schemeClr val="bg1">
                <a:lumMod val="85000"/>
              </a:schemeClr>
            </a:solidFill>
            <a:ln>
              <a:solidFill>
                <a:schemeClr val="bg1">
                  <a:lumMod val="50000"/>
                </a:schemeClr>
              </a:solidFill>
            </a:ln>
            <a:effectLst/>
          </c:spPr>
          <c:invertIfNegative val="0"/>
          <c:val>
            <c:numRef>
              <c:f>OÖ!$BZ$10:$BZ$15</c:f>
              <c:numCache>
                <c:formatCode>#,##0.00</c:formatCode>
                <c:ptCount val="6"/>
                <c:pt idx="0">
                  <c:v>47854.709850529005</c:v>
                </c:pt>
                <c:pt idx="1">
                  <c:v>7286.6494130981009</c:v>
                </c:pt>
                <c:pt idx="2">
                  <c:v>27680.171880871298</c:v>
                </c:pt>
                <c:pt idx="3">
                  <c:v>6732.9320432707027</c:v>
                </c:pt>
                <c:pt idx="4">
                  <c:v>4346.3468899427598</c:v>
                </c:pt>
                <c:pt idx="5">
                  <c:v>1808.6096233459402</c:v>
                </c:pt>
              </c:numCache>
            </c:numRef>
          </c:val>
          <c:extLst>
            <c:ext xmlns:c16="http://schemas.microsoft.com/office/drawing/2014/chart" uri="{C3380CC4-5D6E-409C-BE32-E72D297353CC}">
              <c16:uniqueId val="{00000001-6A5C-4B93-B4C0-A58761368091}"/>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OÖ!$BY$10:$BY$15</c:f>
              <c:numCache>
                <c:formatCode>#,##0.00</c:formatCode>
                <c:ptCount val="6"/>
                <c:pt idx="0">
                  <c:v>58147.785799999998</c:v>
                </c:pt>
                <c:pt idx="1">
                  <c:v>23560.198</c:v>
                </c:pt>
                <c:pt idx="2">
                  <c:v>25223.126100000001</c:v>
                </c:pt>
                <c:pt idx="3">
                  <c:v>8301.5761999999995</c:v>
                </c:pt>
                <c:pt idx="4">
                  <c:v>875.72540000000015</c:v>
                </c:pt>
                <c:pt idx="5">
                  <c:v>187.1601</c:v>
                </c:pt>
              </c:numCache>
            </c:numRef>
          </c:val>
          <c:extLst>
            <c:ext xmlns:c16="http://schemas.microsoft.com/office/drawing/2014/chart" uri="{C3380CC4-5D6E-409C-BE32-E72D297353CC}">
              <c16:uniqueId val="{00000000-7A6C-41AD-B2E2-EB0B9028DF78}"/>
            </c:ext>
          </c:extLst>
        </c:ser>
        <c:ser>
          <c:idx val="0"/>
          <c:order val="1"/>
          <c:spPr>
            <a:solidFill>
              <a:schemeClr val="bg1">
                <a:lumMod val="85000"/>
              </a:schemeClr>
            </a:solidFill>
            <a:ln>
              <a:solidFill>
                <a:schemeClr val="bg1">
                  <a:lumMod val="50000"/>
                </a:schemeClr>
              </a:solidFill>
            </a:ln>
            <a:effectLst/>
          </c:spPr>
          <c:invertIfNegative val="0"/>
          <c:val>
            <c:numRef>
              <c:f>OÖ!$BZ$10:$BZ$15</c:f>
              <c:numCache>
                <c:formatCode>#,##0.00</c:formatCode>
                <c:ptCount val="6"/>
                <c:pt idx="0">
                  <c:v>47854.709850529005</c:v>
                </c:pt>
                <c:pt idx="1">
                  <c:v>7286.6494130981009</c:v>
                </c:pt>
                <c:pt idx="2">
                  <c:v>27680.171880871298</c:v>
                </c:pt>
                <c:pt idx="3">
                  <c:v>6732.9320432707027</c:v>
                </c:pt>
                <c:pt idx="4">
                  <c:v>4346.3468899427598</c:v>
                </c:pt>
                <c:pt idx="5">
                  <c:v>1808.6096233459402</c:v>
                </c:pt>
              </c:numCache>
            </c:numRef>
          </c:val>
          <c:extLst>
            <c:ext xmlns:c16="http://schemas.microsoft.com/office/drawing/2014/chart" uri="{C3380CC4-5D6E-409C-BE32-E72D297353CC}">
              <c16:uniqueId val="{00000001-7A6C-41AD-B2E2-EB0B9028DF78}"/>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OÖ!$BM$63:$BM$75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81A5-4FFF-BC9C-6DAC12DF063D}"/>
            </c:ext>
          </c:extLst>
        </c:ser>
        <c:ser>
          <c:idx val="1"/>
          <c:order val="1"/>
          <c:spPr>
            <a:solidFill>
              <a:schemeClr val="bg1">
                <a:lumMod val="85000"/>
              </a:schemeClr>
            </a:solidFill>
            <a:ln>
              <a:solidFill>
                <a:schemeClr val="tx1">
                  <a:lumMod val="50000"/>
                  <a:lumOff val="50000"/>
                </a:schemeClr>
              </a:solidFill>
            </a:ln>
            <a:effectLst/>
          </c:spPr>
          <c:invertIfNegative val="0"/>
          <c:val>
            <c:numRef>
              <c:f>OÖ!$BN$63:$BN$75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81A5-4FFF-BC9C-6DAC12DF063D}"/>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S!$BM$10:$BM$15</c:f>
              <c:numCache>
                <c:formatCode>#,##0.00</c:formatCode>
                <c:ptCount val="6"/>
                <c:pt idx="0">
                  <c:v>16740.635999999999</c:v>
                </c:pt>
                <c:pt idx="1">
                  <c:v>6742.9876000000004</c:v>
                </c:pt>
                <c:pt idx="2">
                  <c:v>7142.1692000000003</c:v>
                </c:pt>
                <c:pt idx="3">
                  <c:v>2435.8652999999999</c:v>
                </c:pt>
                <c:pt idx="4">
                  <c:v>314.68340000000001</c:v>
                </c:pt>
                <c:pt idx="5">
                  <c:v>104.93049999999999</c:v>
                </c:pt>
              </c:numCache>
            </c:numRef>
          </c:val>
          <c:extLst>
            <c:ext xmlns:c16="http://schemas.microsoft.com/office/drawing/2014/chart" uri="{C3380CC4-5D6E-409C-BE32-E72D297353CC}">
              <c16:uniqueId val="{00000000-53F8-4E73-8F78-49BBA2076661}"/>
            </c:ext>
          </c:extLst>
        </c:ser>
        <c:ser>
          <c:idx val="0"/>
          <c:order val="1"/>
          <c:spPr>
            <a:solidFill>
              <a:schemeClr val="bg1">
                <a:lumMod val="85000"/>
              </a:schemeClr>
            </a:solidFill>
            <a:ln>
              <a:solidFill>
                <a:schemeClr val="bg1">
                  <a:lumMod val="50000"/>
                </a:schemeClr>
              </a:solidFill>
            </a:ln>
            <a:effectLst/>
          </c:spPr>
          <c:invertIfNegative val="0"/>
          <c:val>
            <c:numRef>
              <c:f>S!$BN$10:$BN$15</c:f>
              <c:numCache>
                <c:formatCode>#,##0.00</c:formatCode>
                <c:ptCount val="6"/>
                <c:pt idx="0">
                  <c:v>12460.523124891803</c:v>
                </c:pt>
                <c:pt idx="1">
                  <c:v>2105.8645991711201</c:v>
                </c:pt>
                <c:pt idx="2">
                  <c:v>5387.4382520537001</c:v>
                </c:pt>
                <c:pt idx="3">
                  <c:v>2512.0491733919002</c:v>
                </c:pt>
                <c:pt idx="4">
                  <c:v>1821.0659582584699</c:v>
                </c:pt>
                <c:pt idx="5">
                  <c:v>634.1051420166641</c:v>
                </c:pt>
              </c:numCache>
            </c:numRef>
          </c:val>
          <c:extLst>
            <c:ext xmlns:c16="http://schemas.microsoft.com/office/drawing/2014/chart" uri="{C3380CC4-5D6E-409C-BE32-E72D297353CC}">
              <c16:uniqueId val="{00000001-53F8-4E73-8F78-49BBA2076661}"/>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'Ö Hauptergebnisse'!$BP$12:$BP$17</c:f>
              <c:numCache>
                <c:formatCode>#,##0.00</c:formatCode>
                <c:ptCount val="6"/>
                <c:pt idx="0">
                  <c:v>296380.82579999999</c:v>
                </c:pt>
                <c:pt idx="1">
                  <c:v>127364.2951</c:v>
                </c:pt>
                <c:pt idx="2">
                  <c:v>132291.61749999999</c:v>
                </c:pt>
                <c:pt idx="3">
                  <c:v>29517.913900000003</c:v>
                </c:pt>
                <c:pt idx="4">
                  <c:v>5518.1544999999996</c:v>
                </c:pt>
                <c:pt idx="5">
                  <c:v>1688.8448000000001</c:v>
                </c:pt>
              </c:numCache>
            </c:numRef>
          </c:val>
          <c:extLst>
            <c:ext xmlns:c16="http://schemas.microsoft.com/office/drawing/2014/chart" uri="{C3380CC4-5D6E-409C-BE32-E72D297353CC}">
              <c16:uniqueId val="{00000000-DAF3-4E0E-82F0-AD07E054F8E6}"/>
            </c:ext>
          </c:extLst>
        </c:ser>
        <c:ser>
          <c:idx val="0"/>
          <c:order val="1"/>
          <c:spPr>
            <a:solidFill>
              <a:schemeClr val="bg1">
                <a:lumMod val="85000"/>
              </a:schemeClr>
            </a:solidFill>
            <a:ln>
              <a:solidFill>
                <a:schemeClr val="bg1">
                  <a:lumMod val="50000"/>
                </a:schemeClr>
              </a:solidFill>
            </a:ln>
            <a:effectLst/>
          </c:spPr>
          <c:invertIfNegative val="0"/>
          <c:val>
            <c:numRef>
              <c:f>'Ö Hauptergebnisse'!$BQ$12:$BQ$17</c:f>
              <c:numCache>
                <c:formatCode>#,##0.00</c:formatCode>
                <c:ptCount val="6"/>
                <c:pt idx="0">
                  <c:v>268414.71724425</c:v>
                </c:pt>
                <c:pt idx="1">
                  <c:v>44604.789742261011</c:v>
                </c:pt>
                <c:pt idx="2">
                  <c:v>147084.15704436501</c:v>
                </c:pt>
                <c:pt idx="3">
                  <c:v>36400.2667685653</c:v>
                </c:pt>
                <c:pt idx="4">
                  <c:v>27506.356377272303</c:v>
                </c:pt>
                <c:pt idx="5">
                  <c:v>12819.147311786897</c:v>
                </c:pt>
              </c:numCache>
            </c:numRef>
          </c:val>
          <c:extLst>
            <c:ext xmlns:c16="http://schemas.microsoft.com/office/drawing/2014/chart" uri="{C3380CC4-5D6E-409C-BE32-E72D297353CC}">
              <c16:uniqueId val="{00000001-DAF3-4E0E-82F0-AD07E054F8E6}"/>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S!$BM$10:$BM$15</c:f>
              <c:numCache>
                <c:formatCode>#,##0.00</c:formatCode>
                <c:ptCount val="6"/>
                <c:pt idx="0">
                  <c:v>16740.635999999999</c:v>
                </c:pt>
                <c:pt idx="1">
                  <c:v>6742.9876000000004</c:v>
                </c:pt>
                <c:pt idx="2">
                  <c:v>7142.1692000000003</c:v>
                </c:pt>
                <c:pt idx="3">
                  <c:v>2435.8652999999999</c:v>
                </c:pt>
                <c:pt idx="4">
                  <c:v>314.68340000000001</c:v>
                </c:pt>
                <c:pt idx="5">
                  <c:v>104.93049999999999</c:v>
                </c:pt>
              </c:numCache>
            </c:numRef>
          </c:val>
          <c:extLst>
            <c:ext xmlns:c16="http://schemas.microsoft.com/office/drawing/2014/chart" uri="{C3380CC4-5D6E-409C-BE32-E72D297353CC}">
              <c16:uniqueId val="{00000000-3633-4261-AB5D-CE8BC8330C91}"/>
            </c:ext>
          </c:extLst>
        </c:ser>
        <c:ser>
          <c:idx val="0"/>
          <c:order val="1"/>
          <c:spPr>
            <a:solidFill>
              <a:schemeClr val="bg1">
                <a:lumMod val="85000"/>
              </a:schemeClr>
            </a:solidFill>
            <a:ln>
              <a:solidFill>
                <a:schemeClr val="bg1">
                  <a:lumMod val="50000"/>
                </a:schemeClr>
              </a:solidFill>
            </a:ln>
            <a:effectLst/>
          </c:spPr>
          <c:invertIfNegative val="0"/>
          <c:val>
            <c:numRef>
              <c:f>S!$BN$10:$BN$15</c:f>
              <c:numCache>
                <c:formatCode>#,##0.00</c:formatCode>
                <c:ptCount val="6"/>
                <c:pt idx="0">
                  <c:v>12460.523124891803</c:v>
                </c:pt>
                <c:pt idx="1">
                  <c:v>2105.8645991711201</c:v>
                </c:pt>
                <c:pt idx="2">
                  <c:v>5387.4382520537001</c:v>
                </c:pt>
                <c:pt idx="3">
                  <c:v>2512.0491733919002</c:v>
                </c:pt>
                <c:pt idx="4">
                  <c:v>1821.0659582584699</c:v>
                </c:pt>
                <c:pt idx="5">
                  <c:v>634.1051420166641</c:v>
                </c:pt>
              </c:numCache>
            </c:numRef>
          </c:val>
          <c:extLst>
            <c:ext xmlns:c16="http://schemas.microsoft.com/office/drawing/2014/chart" uri="{C3380CC4-5D6E-409C-BE32-E72D297353CC}">
              <c16:uniqueId val="{00000001-3633-4261-AB5D-CE8BC8330C91}"/>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S!$BA$63:$BA$75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788D-4C1A-83B2-103B637FB752}"/>
            </c:ext>
          </c:extLst>
        </c:ser>
        <c:ser>
          <c:idx val="1"/>
          <c:order val="1"/>
          <c:spPr>
            <a:solidFill>
              <a:schemeClr val="bg1">
                <a:lumMod val="85000"/>
              </a:schemeClr>
            </a:solidFill>
            <a:ln>
              <a:solidFill>
                <a:schemeClr val="tx1">
                  <a:lumMod val="50000"/>
                  <a:lumOff val="50000"/>
                </a:schemeClr>
              </a:solidFill>
            </a:ln>
            <a:effectLst/>
          </c:spPr>
          <c:invertIfNegative val="0"/>
          <c:val>
            <c:numRef>
              <c:f>S!$BB$63:$BB$75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788D-4C1A-83B2-103B637FB752}"/>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St!$BT$10:$BT$15</c:f>
              <c:numCache>
                <c:formatCode>#,##0.00</c:formatCode>
                <c:ptCount val="6"/>
                <c:pt idx="0">
                  <c:v>47149.846400000002</c:v>
                </c:pt>
                <c:pt idx="1">
                  <c:v>19252.8413</c:v>
                </c:pt>
                <c:pt idx="2">
                  <c:v>19527.37</c:v>
                </c:pt>
                <c:pt idx="3">
                  <c:v>7179.4646000000002</c:v>
                </c:pt>
                <c:pt idx="4">
                  <c:v>817.24709999999993</c:v>
                </c:pt>
                <c:pt idx="5">
                  <c:v>372.92340000000002</c:v>
                </c:pt>
              </c:numCache>
            </c:numRef>
          </c:val>
          <c:extLst>
            <c:ext xmlns:c16="http://schemas.microsoft.com/office/drawing/2014/chart" uri="{C3380CC4-5D6E-409C-BE32-E72D297353CC}">
              <c16:uniqueId val="{00000000-FCE7-4EFF-B620-DC282B6C5BFA}"/>
            </c:ext>
          </c:extLst>
        </c:ser>
        <c:ser>
          <c:idx val="0"/>
          <c:order val="1"/>
          <c:spPr>
            <a:solidFill>
              <a:schemeClr val="bg1">
                <a:lumMod val="85000"/>
              </a:schemeClr>
            </a:solidFill>
            <a:ln>
              <a:solidFill>
                <a:schemeClr val="bg1">
                  <a:lumMod val="50000"/>
                </a:schemeClr>
              </a:solidFill>
            </a:ln>
            <a:effectLst/>
          </c:spPr>
          <c:invertIfNegative val="0"/>
          <c:val>
            <c:numRef>
              <c:f>St!$BU$10:$BU$15</c:f>
              <c:numCache>
                <c:formatCode>#,##0.00</c:formatCode>
                <c:ptCount val="6"/>
                <c:pt idx="0">
                  <c:v>53617.970067932991</c:v>
                </c:pt>
                <c:pt idx="1">
                  <c:v>8165.2100419181006</c:v>
                </c:pt>
                <c:pt idx="2">
                  <c:v>28218.487946258301</c:v>
                </c:pt>
                <c:pt idx="3">
                  <c:v>10614.929145733102</c:v>
                </c:pt>
                <c:pt idx="4">
                  <c:v>4117.7898540673204</c:v>
                </c:pt>
                <c:pt idx="5">
                  <c:v>2501.5530799565599</c:v>
                </c:pt>
              </c:numCache>
            </c:numRef>
          </c:val>
          <c:extLst>
            <c:ext xmlns:c16="http://schemas.microsoft.com/office/drawing/2014/chart" uri="{C3380CC4-5D6E-409C-BE32-E72D297353CC}">
              <c16:uniqueId val="{00000001-FCE7-4EFF-B620-DC282B6C5BFA}"/>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St!$BT$10:$BT$15</c:f>
              <c:numCache>
                <c:formatCode>#,##0.00</c:formatCode>
                <c:ptCount val="6"/>
                <c:pt idx="0">
                  <c:v>47149.846400000002</c:v>
                </c:pt>
                <c:pt idx="1">
                  <c:v>19252.8413</c:v>
                </c:pt>
                <c:pt idx="2">
                  <c:v>19527.37</c:v>
                </c:pt>
                <c:pt idx="3">
                  <c:v>7179.4646000000002</c:v>
                </c:pt>
                <c:pt idx="4">
                  <c:v>817.24709999999993</c:v>
                </c:pt>
                <c:pt idx="5">
                  <c:v>372.92340000000002</c:v>
                </c:pt>
              </c:numCache>
            </c:numRef>
          </c:val>
          <c:extLst>
            <c:ext xmlns:c16="http://schemas.microsoft.com/office/drawing/2014/chart" uri="{C3380CC4-5D6E-409C-BE32-E72D297353CC}">
              <c16:uniqueId val="{00000000-C5ED-43DF-8806-C211EE8D1796}"/>
            </c:ext>
          </c:extLst>
        </c:ser>
        <c:ser>
          <c:idx val="0"/>
          <c:order val="1"/>
          <c:spPr>
            <a:solidFill>
              <a:schemeClr val="bg1">
                <a:lumMod val="85000"/>
              </a:schemeClr>
            </a:solidFill>
            <a:ln>
              <a:solidFill>
                <a:schemeClr val="bg1">
                  <a:lumMod val="50000"/>
                </a:schemeClr>
              </a:solidFill>
            </a:ln>
            <a:effectLst/>
          </c:spPr>
          <c:invertIfNegative val="0"/>
          <c:val>
            <c:numRef>
              <c:f>St!$BU$10:$BU$15</c:f>
              <c:numCache>
                <c:formatCode>#,##0.00</c:formatCode>
                <c:ptCount val="6"/>
                <c:pt idx="0">
                  <c:v>53617.970067932991</c:v>
                </c:pt>
                <c:pt idx="1">
                  <c:v>8165.2100419181006</c:v>
                </c:pt>
                <c:pt idx="2">
                  <c:v>28218.487946258301</c:v>
                </c:pt>
                <c:pt idx="3">
                  <c:v>10614.929145733102</c:v>
                </c:pt>
                <c:pt idx="4">
                  <c:v>4117.7898540673204</c:v>
                </c:pt>
                <c:pt idx="5">
                  <c:v>2501.5530799565599</c:v>
                </c:pt>
              </c:numCache>
            </c:numRef>
          </c:val>
          <c:extLst>
            <c:ext xmlns:c16="http://schemas.microsoft.com/office/drawing/2014/chart" uri="{C3380CC4-5D6E-409C-BE32-E72D297353CC}">
              <c16:uniqueId val="{00000001-C5ED-43DF-8806-C211EE8D1796}"/>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St!$BH$63:$BH$75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DD8E-4919-88DC-B0424380DE87}"/>
            </c:ext>
          </c:extLst>
        </c:ser>
        <c:ser>
          <c:idx val="1"/>
          <c:order val="1"/>
          <c:spPr>
            <a:solidFill>
              <a:schemeClr val="bg1">
                <a:lumMod val="85000"/>
              </a:schemeClr>
            </a:solidFill>
            <a:ln>
              <a:solidFill>
                <a:schemeClr val="tx1">
                  <a:lumMod val="50000"/>
                  <a:lumOff val="50000"/>
                </a:schemeClr>
              </a:solidFill>
            </a:ln>
            <a:effectLst/>
          </c:spPr>
          <c:invertIfNegative val="0"/>
          <c:val>
            <c:numRef>
              <c:f>St!$BI$63:$BI$75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DD8E-4919-88DC-B0424380DE87}"/>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T!$BP$10:$BP$15</c:f>
              <c:numCache>
                <c:formatCode>#,##0.00</c:formatCode>
                <c:ptCount val="6"/>
                <c:pt idx="0">
                  <c:v>22041.498100000001</c:v>
                </c:pt>
                <c:pt idx="1">
                  <c:v>9081.4500000000007</c:v>
                </c:pt>
                <c:pt idx="2">
                  <c:v>10865.936299999999</c:v>
                </c:pt>
                <c:pt idx="3">
                  <c:v>1815.0483999999999</c:v>
                </c:pt>
                <c:pt idx="4">
                  <c:v>182.75479999999999</c:v>
                </c:pt>
                <c:pt idx="5">
                  <c:v>96.308599999999998</c:v>
                </c:pt>
              </c:numCache>
            </c:numRef>
          </c:val>
          <c:extLst>
            <c:ext xmlns:c16="http://schemas.microsoft.com/office/drawing/2014/chart" uri="{C3380CC4-5D6E-409C-BE32-E72D297353CC}">
              <c16:uniqueId val="{00000000-CC0C-44A8-9BD4-8A7C9F32F00C}"/>
            </c:ext>
          </c:extLst>
        </c:ser>
        <c:ser>
          <c:idx val="0"/>
          <c:order val="1"/>
          <c:spPr>
            <a:solidFill>
              <a:schemeClr val="bg1">
                <a:lumMod val="85000"/>
              </a:schemeClr>
            </a:solidFill>
            <a:ln>
              <a:solidFill>
                <a:schemeClr val="bg1">
                  <a:lumMod val="50000"/>
                </a:schemeClr>
              </a:solidFill>
            </a:ln>
            <a:effectLst/>
          </c:spPr>
          <c:invertIfNegative val="0"/>
          <c:val>
            <c:numRef>
              <c:f>T!$BQ$10:$BQ$15</c:f>
              <c:numCache>
                <c:formatCode>#,##0.00</c:formatCode>
                <c:ptCount val="6"/>
                <c:pt idx="0">
                  <c:v>14386.871342658396</c:v>
                </c:pt>
                <c:pt idx="1">
                  <c:v>2242.0824586245999</c:v>
                </c:pt>
                <c:pt idx="2">
                  <c:v>8305.7079595607011</c:v>
                </c:pt>
                <c:pt idx="3">
                  <c:v>1769.1937968990499</c:v>
                </c:pt>
                <c:pt idx="4">
                  <c:v>1303.12795646375</c:v>
                </c:pt>
                <c:pt idx="5">
                  <c:v>766.75917111037211</c:v>
                </c:pt>
              </c:numCache>
            </c:numRef>
          </c:val>
          <c:extLst>
            <c:ext xmlns:c16="http://schemas.microsoft.com/office/drawing/2014/chart" uri="{C3380CC4-5D6E-409C-BE32-E72D297353CC}">
              <c16:uniqueId val="{00000001-CC0C-44A8-9BD4-8A7C9F32F00C}"/>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T!$BP$10:$BP$15</c:f>
              <c:numCache>
                <c:formatCode>#,##0.00</c:formatCode>
                <c:ptCount val="6"/>
                <c:pt idx="0">
                  <c:v>22041.498100000001</c:v>
                </c:pt>
                <c:pt idx="1">
                  <c:v>9081.4500000000007</c:v>
                </c:pt>
                <c:pt idx="2">
                  <c:v>10865.936299999999</c:v>
                </c:pt>
                <c:pt idx="3">
                  <c:v>1815.0483999999999</c:v>
                </c:pt>
                <c:pt idx="4">
                  <c:v>182.75479999999999</c:v>
                </c:pt>
                <c:pt idx="5">
                  <c:v>96.308599999999998</c:v>
                </c:pt>
              </c:numCache>
            </c:numRef>
          </c:val>
          <c:extLst>
            <c:ext xmlns:c16="http://schemas.microsoft.com/office/drawing/2014/chart" uri="{C3380CC4-5D6E-409C-BE32-E72D297353CC}">
              <c16:uniqueId val="{00000000-9EFA-46BD-8ACD-1C34673FFCB1}"/>
            </c:ext>
          </c:extLst>
        </c:ser>
        <c:ser>
          <c:idx val="0"/>
          <c:order val="1"/>
          <c:spPr>
            <a:solidFill>
              <a:schemeClr val="bg1">
                <a:lumMod val="85000"/>
              </a:schemeClr>
            </a:solidFill>
            <a:ln>
              <a:solidFill>
                <a:schemeClr val="bg1">
                  <a:lumMod val="50000"/>
                </a:schemeClr>
              </a:solidFill>
            </a:ln>
            <a:effectLst/>
          </c:spPr>
          <c:invertIfNegative val="0"/>
          <c:val>
            <c:numRef>
              <c:f>T!$BQ$10:$BQ$15</c:f>
              <c:numCache>
                <c:formatCode>#,##0.00</c:formatCode>
                <c:ptCount val="6"/>
                <c:pt idx="0">
                  <c:v>14386.871342658396</c:v>
                </c:pt>
                <c:pt idx="1">
                  <c:v>2242.0824586245999</c:v>
                </c:pt>
                <c:pt idx="2">
                  <c:v>8305.7079595607011</c:v>
                </c:pt>
                <c:pt idx="3">
                  <c:v>1769.1937968990499</c:v>
                </c:pt>
                <c:pt idx="4">
                  <c:v>1303.12795646375</c:v>
                </c:pt>
                <c:pt idx="5">
                  <c:v>766.75917111037211</c:v>
                </c:pt>
              </c:numCache>
            </c:numRef>
          </c:val>
          <c:extLst>
            <c:ext xmlns:c16="http://schemas.microsoft.com/office/drawing/2014/chart" uri="{C3380CC4-5D6E-409C-BE32-E72D297353CC}">
              <c16:uniqueId val="{00000001-9EFA-46BD-8ACD-1C34673FFCB1}"/>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T!$BD$63:$BD$75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0493-4C90-9A8C-5BE81D9E6E99}"/>
            </c:ext>
          </c:extLst>
        </c:ser>
        <c:ser>
          <c:idx val="1"/>
          <c:order val="1"/>
          <c:spPr>
            <a:solidFill>
              <a:schemeClr val="bg1">
                <a:lumMod val="85000"/>
              </a:schemeClr>
            </a:solidFill>
            <a:ln>
              <a:solidFill>
                <a:schemeClr val="tx1">
                  <a:lumMod val="50000"/>
                  <a:lumOff val="50000"/>
                </a:schemeClr>
              </a:solidFill>
            </a:ln>
            <a:effectLst/>
          </c:spPr>
          <c:invertIfNegative val="0"/>
          <c:val>
            <c:numRef>
              <c:f>T!$BE$63:$BE$75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0493-4C90-9A8C-5BE81D9E6E99}"/>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V!$BK$10:$BK$15</c:f>
              <c:numCache>
                <c:formatCode>#,##0.00</c:formatCode>
                <c:ptCount val="6"/>
                <c:pt idx="0">
                  <c:v>9691.1558000000005</c:v>
                </c:pt>
                <c:pt idx="1">
                  <c:v>3385.2763000000004</c:v>
                </c:pt>
                <c:pt idx="2">
                  <c:v>4973.5515999999998</c:v>
                </c:pt>
                <c:pt idx="3">
                  <c:v>1045.0094999999999</c:v>
                </c:pt>
                <c:pt idx="4">
                  <c:v>210.29520000000002</c:v>
                </c:pt>
                <c:pt idx="5">
                  <c:v>77.023200000000003</c:v>
                </c:pt>
              </c:numCache>
            </c:numRef>
          </c:val>
          <c:extLst>
            <c:ext xmlns:c16="http://schemas.microsoft.com/office/drawing/2014/chart" uri="{C3380CC4-5D6E-409C-BE32-E72D297353CC}">
              <c16:uniqueId val="{00000000-0862-4DAF-80D5-4B9EEE3E2F2A}"/>
            </c:ext>
          </c:extLst>
        </c:ser>
        <c:ser>
          <c:idx val="0"/>
          <c:order val="1"/>
          <c:spPr>
            <a:solidFill>
              <a:schemeClr val="bg1">
                <a:lumMod val="85000"/>
              </a:schemeClr>
            </a:solidFill>
            <a:ln>
              <a:solidFill>
                <a:schemeClr val="bg1">
                  <a:lumMod val="50000"/>
                </a:schemeClr>
              </a:solidFill>
            </a:ln>
            <a:effectLst/>
          </c:spPr>
          <c:invertIfNegative val="0"/>
          <c:val>
            <c:numRef>
              <c:f>V!$BL$10:$BL$15</c:f>
              <c:numCache>
                <c:formatCode>#,##0.00</c:formatCode>
                <c:ptCount val="6"/>
                <c:pt idx="0">
                  <c:v>6883.4767647956978</c:v>
                </c:pt>
                <c:pt idx="1">
                  <c:v>597.67808155782905</c:v>
                </c:pt>
                <c:pt idx="2">
                  <c:v>4472.2877916373409</c:v>
                </c:pt>
                <c:pt idx="3">
                  <c:v>897.20208974045022</c:v>
                </c:pt>
                <c:pt idx="4">
                  <c:v>673.26527663052696</c:v>
                </c:pt>
                <c:pt idx="5">
                  <c:v>243.04352522954699</c:v>
                </c:pt>
              </c:numCache>
            </c:numRef>
          </c:val>
          <c:extLst>
            <c:ext xmlns:c16="http://schemas.microsoft.com/office/drawing/2014/chart" uri="{C3380CC4-5D6E-409C-BE32-E72D297353CC}">
              <c16:uniqueId val="{00000001-0862-4DAF-80D5-4B9EEE3E2F2A}"/>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V!$BK$10:$BK$15</c:f>
              <c:numCache>
                <c:formatCode>#,##0.00</c:formatCode>
                <c:ptCount val="6"/>
                <c:pt idx="0">
                  <c:v>9691.1558000000005</c:v>
                </c:pt>
                <c:pt idx="1">
                  <c:v>3385.2763000000004</c:v>
                </c:pt>
                <c:pt idx="2">
                  <c:v>4973.5515999999998</c:v>
                </c:pt>
                <c:pt idx="3">
                  <c:v>1045.0094999999999</c:v>
                </c:pt>
                <c:pt idx="4">
                  <c:v>210.29520000000002</c:v>
                </c:pt>
                <c:pt idx="5">
                  <c:v>77.023200000000003</c:v>
                </c:pt>
              </c:numCache>
            </c:numRef>
          </c:val>
          <c:extLst>
            <c:ext xmlns:c16="http://schemas.microsoft.com/office/drawing/2014/chart" uri="{C3380CC4-5D6E-409C-BE32-E72D297353CC}">
              <c16:uniqueId val="{00000000-2547-44FA-8E6B-C80D60C054F6}"/>
            </c:ext>
          </c:extLst>
        </c:ser>
        <c:ser>
          <c:idx val="0"/>
          <c:order val="1"/>
          <c:spPr>
            <a:solidFill>
              <a:schemeClr val="bg1">
                <a:lumMod val="85000"/>
              </a:schemeClr>
            </a:solidFill>
            <a:ln>
              <a:solidFill>
                <a:schemeClr val="bg1">
                  <a:lumMod val="50000"/>
                </a:schemeClr>
              </a:solidFill>
            </a:ln>
            <a:effectLst/>
          </c:spPr>
          <c:invertIfNegative val="0"/>
          <c:val>
            <c:numRef>
              <c:f>V!$BL$10:$BL$15</c:f>
              <c:numCache>
                <c:formatCode>#,##0.00</c:formatCode>
                <c:ptCount val="6"/>
                <c:pt idx="0">
                  <c:v>6883.4767647956978</c:v>
                </c:pt>
                <c:pt idx="1">
                  <c:v>597.67808155782905</c:v>
                </c:pt>
                <c:pt idx="2">
                  <c:v>4472.2877916373409</c:v>
                </c:pt>
                <c:pt idx="3">
                  <c:v>897.20208974045022</c:v>
                </c:pt>
                <c:pt idx="4">
                  <c:v>673.26527663052696</c:v>
                </c:pt>
                <c:pt idx="5">
                  <c:v>243.04352522954699</c:v>
                </c:pt>
              </c:numCache>
            </c:numRef>
          </c:val>
          <c:extLst>
            <c:ext xmlns:c16="http://schemas.microsoft.com/office/drawing/2014/chart" uri="{C3380CC4-5D6E-409C-BE32-E72D297353CC}">
              <c16:uniqueId val="{00000001-2547-44FA-8E6B-C80D60C054F6}"/>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'Ö Hauptergebnisse'!$BD$47:$BD$59</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9DD8-4D84-B76B-BECE3300E4C9}"/>
            </c:ext>
          </c:extLst>
        </c:ser>
        <c:ser>
          <c:idx val="1"/>
          <c:order val="1"/>
          <c:spPr>
            <a:solidFill>
              <a:schemeClr val="bg1">
                <a:lumMod val="85000"/>
              </a:schemeClr>
            </a:solidFill>
            <a:ln>
              <a:solidFill>
                <a:schemeClr val="tx1">
                  <a:lumMod val="50000"/>
                  <a:lumOff val="50000"/>
                </a:schemeClr>
              </a:solidFill>
            </a:ln>
            <a:effectLst/>
          </c:spPr>
          <c:invertIfNegative val="0"/>
          <c:val>
            <c:numRef>
              <c:f>'Ö Hauptergebnisse'!$BE$47:$BE$59</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9DD8-4D84-B76B-BECE3300E4C9}"/>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V!$AY$63:$AY$75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E67E-4F89-840A-43E0E535931A}"/>
            </c:ext>
          </c:extLst>
        </c:ser>
        <c:ser>
          <c:idx val="1"/>
          <c:order val="1"/>
          <c:spPr>
            <a:solidFill>
              <a:schemeClr val="bg1">
                <a:lumMod val="85000"/>
              </a:schemeClr>
            </a:solidFill>
            <a:ln>
              <a:solidFill>
                <a:schemeClr val="tx1">
                  <a:lumMod val="50000"/>
                  <a:lumOff val="50000"/>
                </a:schemeClr>
              </a:solidFill>
            </a:ln>
            <a:effectLst/>
          </c:spPr>
          <c:invertIfNegative val="0"/>
          <c:val>
            <c:numRef>
              <c:f>V!$AZ$63:$AZ$75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E67E-4F89-840A-43E0E535931A}"/>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W!$CD$10:$CD$15</c:f>
              <c:numCache>
                <c:formatCode>#,##0.00</c:formatCode>
                <c:ptCount val="6"/>
                <c:pt idx="0">
                  <c:v>15320.834199999999</c:v>
                </c:pt>
                <c:pt idx="1">
                  <c:v>4737.7548999999999</c:v>
                </c:pt>
                <c:pt idx="2">
                  <c:v>9210.0107000000007</c:v>
                </c:pt>
                <c:pt idx="3">
                  <c:v>389.7706</c:v>
                </c:pt>
                <c:pt idx="4">
                  <c:v>955.40570000000002</c:v>
                </c:pt>
                <c:pt idx="5">
                  <c:v>27.892299999999999</c:v>
                </c:pt>
              </c:numCache>
            </c:numRef>
          </c:val>
          <c:extLst>
            <c:ext xmlns:c16="http://schemas.microsoft.com/office/drawing/2014/chart" uri="{C3380CC4-5D6E-409C-BE32-E72D297353CC}">
              <c16:uniqueId val="{00000000-ED64-4766-ABC0-5C47147E9AC7}"/>
            </c:ext>
          </c:extLst>
        </c:ser>
        <c:ser>
          <c:idx val="0"/>
          <c:order val="1"/>
          <c:spPr>
            <a:solidFill>
              <a:schemeClr val="bg1">
                <a:lumMod val="85000"/>
              </a:schemeClr>
            </a:solidFill>
            <a:ln>
              <a:solidFill>
                <a:schemeClr val="bg1">
                  <a:lumMod val="50000"/>
                </a:schemeClr>
              </a:solidFill>
            </a:ln>
            <a:effectLst/>
          </c:spPr>
          <c:invertIfNegative val="0"/>
          <c:val>
            <c:numRef>
              <c:f>W!$CE$10:$CE$15</c:f>
              <c:numCache>
                <c:formatCode>#,##0.00</c:formatCode>
                <c:ptCount val="6"/>
                <c:pt idx="0">
                  <c:v>9181.2931779047994</c:v>
                </c:pt>
                <c:pt idx="1">
                  <c:v>807.48687560453982</c:v>
                </c:pt>
                <c:pt idx="2">
                  <c:v>5317.3581674688994</c:v>
                </c:pt>
                <c:pt idx="3">
                  <c:v>334.27417491266198</c:v>
                </c:pt>
                <c:pt idx="4">
                  <c:v>2570.1743973180301</c:v>
                </c:pt>
                <c:pt idx="5">
                  <c:v>151.99956260065198</c:v>
                </c:pt>
              </c:numCache>
            </c:numRef>
          </c:val>
          <c:extLst>
            <c:ext xmlns:c16="http://schemas.microsoft.com/office/drawing/2014/chart" uri="{C3380CC4-5D6E-409C-BE32-E72D297353CC}">
              <c16:uniqueId val="{00000001-ED64-4766-ABC0-5C47147E9AC7}"/>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W!$CD$10:$CD$15</c:f>
              <c:numCache>
                <c:formatCode>#,##0.00</c:formatCode>
                <c:ptCount val="6"/>
                <c:pt idx="0">
                  <c:v>15320.834199999999</c:v>
                </c:pt>
                <c:pt idx="1">
                  <c:v>4737.7548999999999</c:v>
                </c:pt>
                <c:pt idx="2">
                  <c:v>9210.0107000000007</c:v>
                </c:pt>
                <c:pt idx="3">
                  <c:v>389.7706</c:v>
                </c:pt>
                <c:pt idx="4">
                  <c:v>955.40570000000002</c:v>
                </c:pt>
                <c:pt idx="5">
                  <c:v>27.892299999999999</c:v>
                </c:pt>
              </c:numCache>
            </c:numRef>
          </c:val>
          <c:extLst>
            <c:ext xmlns:c16="http://schemas.microsoft.com/office/drawing/2014/chart" uri="{C3380CC4-5D6E-409C-BE32-E72D297353CC}">
              <c16:uniqueId val="{00000000-6880-4FB9-96FB-C4D2CF118100}"/>
            </c:ext>
          </c:extLst>
        </c:ser>
        <c:ser>
          <c:idx val="0"/>
          <c:order val="1"/>
          <c:spPr>
            <a:solidFill>
              <a:schemeClr val="bg1">
                <a:lumMod val="85000"/>
              </a:schemeClr>
            </a:solidFill>
            <a:ln>
              <a:solidFill>
                <a:schemeClr val="bg1">
                  <a:lumMod val="50000"/>
                </a:schemeClr>
              </a:solidFill>
            </a:ln>
            <a:effectLst/>
          </c:spPr>
          <c:invertIfNegative val="0"/>
          <c:val>
            <c:numRef>
              <c:f>W!$CE$10:$CE$15</c:f>
              <c:numCache>
                <c:formatCode>#,##0.00</c:formatCode>
                <c:ptCount val="6"/>
                <c:pt idx="0">
                  <c:v>9181.2931779047994</c:v>
                </c:pt>
                <c:pt idx="1">
                  <c:v>807.48687560453982</c:v>
                </c:pt>
                <c:pt idx="2">
                  <c:v>5317.3581674688994</c:v>
                </c:pt>
                <c:pt idx="3">
                  <c:v>334.27417491266198</c:v>
                </c:pt>
                <c:pt idx="4">
                  <c:v>2570.1743973180301</c:v>
                </c:pt>
                <c:pt idx="5">
                  <c:v>151.99956260065198</c:v>
                </c:pt>
              </c:numCache>
            </c:numRef>
          </c:val>
          <c:extLst>
            <c:ext xmlns:c16="http://schemas.microsoft.com/office/drawing/2014/chart" uri="{C3380CC4-5D6E-409C-BE32-E72D297353CC}">
              <c16:uniqueId val="{00000001-6880-4FB9-96FB-C4D2CF118100}"/>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W!$BR$63:$BR$75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0F72-49A5-BE47-D88B5295ADEA}"/>
            </c:ext>
          </c:extLst>
        </c:ser>
        <c:ser>
          <c:idx val="1"/>
          <c:order val="1"/>
          <c:spPr>
            <a:solidFill>
              <a:schemeClr val="bg1">
                <a:lumMod val="85000"/>
              </a:schemeClr>
            </a:solidFill>
            <a:ln>
              <a:solidFill>
                <a:schemeClr val="tx1">
                  <a:lumMod val="50000"/>
                  <a:lumOff val="50000"/>
                </a:schemeClr>
              </a:solidFill>
            </a:ln>
            <a:effectLst/>
          </c:spPr>
          <c:invertIfNegative val="0"/>
          <c:val>
            <c:numRef>
              <c:f>W!$BS$63:$BS$75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0F72-49A5-BE47-D88B5295ADEA}"/>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'BL-Template'!$CE$10:$CE$15</c:f>
              <c:numCache>
                <c:formatCode>#,##0.00</c:formatCode>
                <c:ptCount val="6"/>
                <c:pt idx="0">
                  <c:v>854.44288300000005</c:v>
                </c:pt>
                <c:pt idx="1">
                  <c:v>406.38862800000004</c:v>
                </c:pt>
                <c:pt idx="2">
                  <c:v>360.63943799999998</c:v>
                </c:pt>
                <c:pt idx="3">
                  <c:v>68.860963000000012</c:v>
                </c:pt>
                <c:pt idx="4">
                  <c:v>12.694811</c:v>
                </c:pt>
                <c:pt idx="5">
                  <c:v>5.8590430000000007</c:v>
                </c:pt>
              </c:numCache>
            </c:numRef>
          </c:val>
          <c:extLst>
            <c:ext xmlns:c16="http://schemas.microsoft.com/office/drawing/2014/chart" uri="{C3380CC4-5D6E-409C-BE32-E72D297353CC}">
              <c16:uniqueId val="{00000000-F20C-4226-9ACB-E3511013E6CE}"/>
            </c:ext>
          </c:extLst>
        </c:ser>
        <c:ser>
          <c:idx val="0"/>
          <c:order val="1"/>
          <c:spPr>
            <a:solidFill>
              <a:schemeClr val="bg1">
                <a:lumMod val="85000"/>
              </a:schemeClr>
            </a:solidFill>
            <a:ln>
              <a:solidFill>
                <a:schemeClr val="bg1">
                  <a:lumMod val="50000"/>
                </a:schemeClr>
              </a:solidFill>
            </a:ln>
            <a:effectLst/>
          </c:spPr>
          <c:invertIfNegative val="0"/>
          <c:val>
            <c:numRef>
              <c:f>'BL-Template'!$CF$10:$CF$15</c:f>
              <c:numCache>
                <c:formatCode>#,##0.00</c:formatCode>
                <c:ptCount val="6"/>
                <c:pt idx="0">
                  <c:v>775.66378075413593</c:v>
                </c:pt>
                <c:pt idx="1">
                  <c:v>149.77937488441569</c:v>
                </c:pt>
                <c:pt idx="2">
                  <c:v>404.89234356000753</c:v>
                </c:pt>
                <c:pt idx="3">
                  <c:v>96.038981866595819</c:v>
                </c:pt>
                <c:pt idx="4">
                  <c:v>76.78314087536998</c:v>
                </c:pt>
                <c:pt idx="5">
                  <c:v>48.169939567747569</c:v>
                </c:pt>
              </c:numCache>
            </c:numRef>
          </c:val>
          <c:extLst>
            <c:ext xmlns:c16="http://schemas.microsoft.com/office/drawing/2014/chart" uri="{C3380CC4-5D6E-409C-BE32-E72D297353CC}">
              <c16:uniqueId val="{00000001-F20C-4226-9ACB-E3511013E6CE}"/>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'BL-Template'!$CE$10:$CE$15</c:f>
              <c:numCache>
                <c:formatCode>#,##0.00</c:formatCode>
                <c:ptCount val="6"/>
                <c:pt idx="0">
                  <c:v>854.44288300000005</c:v>
                </c:pt>
                <c:pt idx="1">
                  <c:v>406.38862800000004</c:v>
                </c:pt>
                <c:pt idx="2">
                  <c:v>360.63943799999998</c:v>
                </c:pt>
                <c:pt idx="3">
                  <c:v>68.860963000000012</c:v>
                </c:pt>
                <c:pt idx="4">
                  <c:v>12.694811</c:v>
                </c:pt>
                <c:pt idx="5">
                  <c:v>5.8590430000000007</c:v>
                </c:pt>
              </c:numCache>
            </c:numRef>
          </c:val>
          <c:extLst>
            <c:ext xmlns:c16="http://schemas.microsoft.com/office/drawing/2014/chart" uri="{C3380CC4-5D6E-409C-BE32-E72D297353CC}">
              <c16:uniqueId val="{00000000-8EE0-485E-96D0-70C7466CE5BA}"/>
            </c:ext>
          </c:extLst>
        </c:ser>
        <c:ser>
          <c:idx val="0"/>
          <c:order val="1"/>
          <c:spPr>
            <a:solidFill>
              <a:schemeClr val="bg1">
                <a:lumMod val="85000"/>
              </a:schemeClr>
            </a:solidFill>
            <a:ln>
              <a:solidFill>
                <a:schemeClr val="bg1">
                  <a:lumMod val="50000"/>
                </a:schemeClr>
              </a:solidFill>
            </a:ln>
            <a:effectLst/>
          </c:spPr>
          <c:invertIfNegative val="0"/>
          <c:val>
            <c:numRef>
              <c:f>'BL-Template'!$CF$10:$CF$15</c:f>
              <c:numCache>
                <c:formatCode>#,##0.00</c:formatCode>
                <c:ptCount val="6"/>
                <c:pt idx="0">
                  <c:v>775.66378075413593</c:v>
                </c:pt>
                <c:pt idx="1">
                  <c:v>149.77937488441569</c:v>
                </c:pt>
                <c:pt idx="2">
                  <c:v>404.89234356000753</c:v>
                </c:pt>
                <c:pt idx="3">
                  <c:v>96.038981866595819</c:v>
                </c:pt>
                <c:pt idx="4">
                  <c:v>76.78314087536998</c:v>
                </c:pt>
                <c:pt idx="5">
                  <c:v>48.169939567747569</c:v>
                </c:pt>
              </c:numCache>
            </c:numRef>
          </c:val>
          <c:extLst>
            <c:ext xmlns:c16="http://schemas.microsoft.com/office/drawing/2014/chart" uri="{C3380CC4-5D6E-409C-BE32-E72D297353CC}">
              <c16:uniqueId val="{00000001-8EE0-485E-96D0-70C7466CE5BA}"/>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'BL-Template'!$BS$44:$BS$56</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A4D5-4759-9A26-EEBE1112781E}"/>
            </c:ext>
          </c:extLst>
        </c:ser>
        <c:ser>
          <c:idx val="1"/>
          <c:order val="1"/>
          <c:spPr>
            <a:solidFill>
              <a:schemeClr val="bg1">
                <a:lumMod val="85000"/>
              </a:schemeClr>
            </a:solidFill>
            <a:ln>
              <a:solidFill>
                <a:schemeClr val="tx1">
                  <a:lumMod val="50000"/>
                  <a:lumOff val="50000"/>
                </a:schemeClr>
              </a:solidFill>
            </a:ln>
            <a:effectLst/>
          </c:spPr>
          <c:invertIfNegative val="0"/>
          <c:val>
            <c:numRef>
              <c:f>'BL-Template'!$BT$44:$BT$56</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A4D5-4759-9A26-EEBE1112781E}"/>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B!$BP$10:$BP$15</c:f>
              <c:numCache>
                <c:formatCode>#,##0.00</c:formatCode>
                <c:ptCount val="6"/>
                <c:pt idx="0">
                  <c:v>17306.82</c:v>
                </c:pt>
                <c:pt idx="1">
                  <c:v>8791.0735000000004</c:v>
                </c:pt>
                <c:pt idx="2">
                  <c:v>7817.5784000000003</c:v>
                </c:pt>
                <c:pt idx="3">
                  <c:v>207.16030000000001</c:v>
                </c:pt>
                <c:pt idx="4">
                  <c:v>415.87519999999995</c:v>
                </c:pt>
                <c:pt idx="5">
                  <c:v>75.132599999999996</c:v>
                </c:pt>
              </c:numCache>
            </c:numRef>
          </c:val>
          <c:extLst>
            <c:ext xmlns:c16="http://schemas.microsoft.com/office/drawing/2014/chart" uri="{C3380CC4-5D6E-409C-BE32-E72D297353CC}">
              <c16:uniqueId val="{00000000-6AE4-4629-813E-3CD50C757A56}"/>
            </c:ext>
          </c:extLst>
        </c:ser>
        <c:ser>
          <c:idx val="0"/>
          <c:order val="1"/>
          <c:spPr>
            <a:solidFill>
              <a:schemeClr val="bg1">
                <a:lumMod val="85000"/>
              </a:schemeClr>
            </a:solidFill>
            <a:ln>
              <a:solidFill>
                <a:schemeClr val="bg1">
                  <a:lumMod val="50000"/>
                </a:schemeClr>
              </a:solidFill>
            </a:ln>
            <a:effectLst/>
          </c:spPr>
          <c:invertIfNegative val="0"/>
          <c:val>
            <c:numRef>
              <c:f>B!$BQ$10:$BQ$15</c:f>
              <c:numCache>
                <c:formatCode>#,##0.00</c:formatCode>
                <c:ptCount val="6"/>
                <c:pt idx="0">
                  <c:v>20507.3569025467</c:v>
                </c:pt>
                <c:pt idx="1">
                  <c:v>4208.4664215545999</c:v>
                </c:pt>
                <c:pt idx="2">
                  <c:v>11487.099945013701</c:v>
                </c:pt>
                <c:pt idx="3">
                  <c:v>1463.2026206144899</c:v>
                </c:pt>
                <c:pt idx="4">
                  <c:v>2419.7794699071001</c:v>
                </c:pt>
                <c:pt idx="5">
                  <c:v>928.80844545685</c:v>
                </c:pt>
              </c:numCache>
            </c:numRef>
          </c:val>
          <c:extLst>
            <c:ext xmlns:c16="http://schemas.microsoft.com/office/drawing/2014/chart" uri="{C3380CC4-5D6E-409C-BE32-E72D297353CC}">
              <c16:uniqueId val="{00000001-6AE4-4629-813E-3CD50C757A56}"/>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49361583721171E-2"/>
          <c:y val="0"/>
          <c:w val="0.98575063841627886"/>
          <c:h val="1"/>
        </c:manualLayout>
      </c:layout>
      <c:barChart>
        <c:barDir val="bar"/>
        <c:grouping val="stacked"/>
        <c:varyColors val="0"/>
        <c:ser>
          <c:idx val="1"/>
          <c:order val="0"/>
          <c:spPr>
            <a:solidFill>
              <a:schemeClr val="bg1">
                <a:lumMod val="50000"/>
              </a:schemeClr>
            </a:solidFill>
            <a:ln>
              <a:solidFill>
                <a:schemeClr val="bg1">
                  <a:lumMod val="50000"/>
                </a:schemeClr>
              </a:solidFill>
            </a:ln>
            <a:effectLst/>
          </c:spPr>
          <c:invertIfNegative val="0"/>
          <c:val>
            <c:numRef>
              <c:f>B!$BP$10:$BP$15</c:f>
              <c:numCache>
                <c:formatCode>#,##0.00</c:formatCode>
                <c:ptCount val="6"/>
                <c:pt idx="0">
                  <c:v>17306.82</c:v>
                </c:pt>
                <c:pt idx="1">
                  <c:v>8791.0735000000004</c:v>
                </c:pt>
                <c:pt idx="2">
                  <c:v>7817.5784000000003</c:v>
                </c:pt>
                <c:pt idx="3">
                  <c:v>207.16030000000001</c:v>
                </c:pt>
                <c:pt idx="4">
                  <c:v>415.87519999999995</c:v>
                </c:pt>
                <c:pt idx="5">
                  <c:v>75.132599999999996</c:v>
                </c:pt>
              </c:numCache>
            </c:numRef>
          </c:val>
          <c:extLst>
            <c:ext xmlns:c16="http://schemas.microsoft.com/office/drawing/2014/chart" uri="{C3380CC4-5D6E-409C-BE32-E72D297353CC}">
              <c16:uniqueId val="{00000000-5824-46D6-8FEB-38736EDD58D1}"/>
            </c:ext>
          </c:extLst>
        </c:ser>
        <c:ser>
          <c:idx val="0"/>
          <c:order val="1"/>
          <c:spPr>
            <a:solidFill>
              <a:schemeClr val="bg1">
                <a:lumMod val="85000"/>
              </a:schemeClr>
            </a:solidFill>
            <a:ln>
              <a:solidFill>
                <a:schemeClr val="bg1">
                  <a:lumMod val="50000"/>
                </a:schemeClr>
              </a:solidFill>
            </a:ln>
            <a:effectLst/>
          </c:spPr>
          <c:invertIfNegative val="0"/>
          <c:val>
            <c:numRef>
              <c:f>B!$BQ$10:$BQ$15</c:f>
              <c:numCache>
                <c:formatCode>#,##0.00</c:formatCode>
                <c:ptCount val="6"/>
                <c:pt idx="0">
                  <c:v>20507.3569025467</c:v>
                </c:pt>
                <c:pt idx="1">
                  <c:v>4208.4664215545999</c:v>
                </c:pt>
                <c:pt idx="2">
                  <c:v>11487.099945013701</c:v>
                </c:pt>
                <c:pt idx="3">
                  <c:v>1463.2026206144899</c:v>
                </c:pt>
                <c:pt idx="4">
                  <c:v>2419.7794699071001</c:v>
                </c:pt>
                <c:pt idx="5">
                  <c:v>928.80844545685</c:v>
                </c:pt>
              </c:numCache>
            </c:numRef>
          </c:val>
          <c:extLst>
            <c:ext xmlns:c16="http://schemas.microsoft.com/office/drawing/2014/chart" uri="{C3380CC4-5D6E-409C-BE32-E72D297353CC}">
              <c16:uniqueId val="{00000001-5824-46D6-8FEB-38736EDD58D1}"/>
            </c:ext>
          </c:extLst>
        </c:ser>
        <c:dLbls>
          <c:showLegendKey val="0"/>
          <c:showVal val="0"/>
          <c:showCatName val="0"/>
          <c:showSerName val="0"/>
          <c:showPercent val="0"/>
          <c:showBubbleSize val="0"/>
        </c:dLbls>
        <c:gapWidth val="18"/>
        <c:overlap val="100"/>
        <c:axId val="179751920"/>
        <c:axId val="179752248"/>
      </c:barChart>
      <c:catAx>
        <c:axId val="179751920"/>
        <c:scaling>
          <c:orientation val="maxMin"/>
        </c:scaling>
        <c:delete val="1"/>
        <c:axPos val="l"/>
        <c:majorTickMark val="none"/>
        <c:minorTickMark val="none"/>
        <c:tickLblPos val="nextTo"/>
        <c:crossAx val="179752248"/>
        <c:crosses val="autoZero"/>
        <c:auto val="1"/>
        <c:lblAlgn val="ctr"/>
        <c:lblOffset val="100"/>
        <c:noMultiLvlLbl val="0"/>
      </c:catAx>
      <c:valAx>
        <c:axId val="179752248"/>
        <c:scaling>
          <c:orientation val="minMax"/>
        </c:scaling>
        <c:delete val="1"/>
        <c:axPos val="t"/>
        <c:numFmt formatCode="#,##0.00" sourceLinked="1"/>
        <c:majorTickMark val="none"/>
        <c:minorTickMark val="none"/>
        <c:tickLblPos val="nextTo"/>
        <c:crossAx val="17975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35792693578987E-2"/>
          <c:y val="1.0181817598750602E-2"/>
          <c:w val="0.861728414612842"/>
          <c:h val="0.97115151680353984"/>
        </c:manualLayout>
      </c:layout>
      <c:barChart>
        <c:barDir val="bar"/>
        <c:grouping val="stacked"/>
        <c:varyColors val="0"/>
        <c:ser>
          <c:idx val="0"/>
          <c:order val="0"/>
          <c:spPr>
            <a:solidFill>
              <a:schemeClr val="tx1">
                <a:lumMod val="50000"/>
                <a:lumOff val="50000"/>
              </a:schemeClr>
            </a:solidFill>
            <a:ln>
              <a:solidFill>
                <a:schemeClr val="tx1">
                  <a:lumMod val="50000"/>
                  <a:lumOff val="50000"/>
                </a:schemeClr>
              </a:solidFill>
            </a:ln>
            <a:effectLst/>
          </c:spPr>
          <c:invertIfNegative val="0"/>
          <c:val>
            <c:numRef>
              <c:f>B!$BD$63:$BD$75</c:f>
              <c:numCache>
                <c:formatCode>General</c:formatCode>
                <c:ptCount val="13"/>
                <c:pt idx="0">
                  <c:v>69.033756999999994</c:v>
                </c:pt>
                <c:pt idx="1">
                  <c:v>321.699524</c:v>
                </c:pt>
                <c:pt idx="2">
                  <c:v>818.37504400000012</c:v>
                </c:pt>
                <c:pt idx="3">
                  <c:v>64.534626000000003</c:v>
                </c:pt>
                <c:pt idx="4">
                  <c:v>1273.642951</c:v>
                </c:pt>
                <c:pt idx="5">
                  <c:v>437.21893399999999</c:v>
                </c:pt>
                <c:pt idx="6">
                  <c:v>513.37422300000003</c:v>
                </c:pt>
                <c:pt idx="7">
                  <c:v>296.13935000000004</c:v>
                </c:pt>
                <c:pt idx="8">
                  <c:v>76.183667999999997</c:v>
                </c:pt>
                <c:pt idx="9">
                  <c:v>1322.9161750000001</c:v>
                </c:pt>
                <c:pt idx="10">
                  <c:v>295.17913900000002</c:v>
                </c:pt>
                <c:pt idx="11">
                  <c:v>55.181545</c:v>
                </c:pt>
                <c:pt idx="12">
                  <c:v>16.888448</c:v>
                </c:pt>
              </c:numCache>
            </c:numRef>
          </c:val>
          <c:extLst>
            <c:ext xmlns:c16="http://schemas.microsoft.com/office/drawing/2014/chart" uri="{C3380CC4-5D6E-409C-BE32-E72D297353CC}">
              <c16:uniqueId val="{00000000-E8C8-406A-B078-50483E1F6D23}"/>
            </c:ext>
          </c:extLst>
        </c:ser>
        <c:ser>
          <c:idx val="1"/>
          <c:order val="1"/>
          <c:spPr>
            <a:solidFill>
              <a:schemeClr val="bg1">
                <a:lumMod val="85000"/>
              </a:schemeClr>
            </a:solidFill>
            <a:ln>
              <a:solidFill>
                <a:schemeClr val="tx1">
                  <a:lumMod val="50000"/>
                  <a:lumOff val="50000"/>
                </a:schemeClr>
              </a:solidFill>
            </a:ln>
            <a:effectLst/>
          </c:spPr>
          <c:invertIfNegative val="0"/>
          <c:val>
            <c:numRef>
              <c:f>B!$BE$63:$BE$75</c:f>
              <c:numCache>
                <c:formatCode>General</c:formatCode>
                <c:ptCount val="13"/>
                <c:pt idx="0">
                  <c:v>41.368751238901993</c:v>
                </c:pt>
                <c:pt idx="1">
                  <c:v>108.134816456762</c:v>
                </c:pt>
                <c:pt idx="2">
                  <c:v>233.51138286802984</c:v>
                </c:pt>
                <c:pt idx="3">
                  <c:v>63.032946858913007</c:v>
                </c:pt>
                <c:pt idx="4">
                  <c:v>446.04789742261005</c:v>
                </c:pt>
                <c:pt idx="5">
                  <c:v>675.4242176746302</c:v>
                </c:pt>
                <c:pt idx="6">
                  <c:v>578.56462866142988</c:v>
                </c:pt>
                <c:pt idx="7">
                  <c:v>139.77804350075098</c:v>
                </c:pt>
                <c:pt idx="8">
                  <c:v>77.074680606833013</c:v>
                </c:pt>
                <c:pt idx="9">
                  <c:v>1470.84157044365</c:v>
                </c:pt>
                <c:pt idx="10">
                  <c:v>364.00266768565297</c:v>
                </c:pt>
                <c:pt idx="11">
                  <c:v>275.063563772723</c:v>
                </c:pt>
                <c:pt idx="12">
                  <c:v>128.19147311786898</c:v>
                </c:pt>
              </c:numCache>
            </c:numRef>
          </c:val>
          <c:extLst>
            <c:ext xmlns:c16="http://schemas.microsoft.com/office/drawing/2014/chart" uri="{C3380CC4-5D6E-409C-BE32-E72D297353CC}">
              <c16:uniqueId val="{00000001-E8C8-406A-B078-50483E1F6D23}"/>
            </c:ext>
          </c:extLst>
        </c:ser>
        <c:dLbls>
          <c:showLegendKey val="0"/>
          <c:showVal val="0"/>
          <c:showCatName val="0"/>
          <c:showSerName val="0"/>
          <c:showPercent val="0"/>
          <c:showBubbleSize val="0"/>
        </c:dLbls>
        <c:gapWidth val="150"/>
        <c:overlap val="100"/>
        <c:axId val="520867360"/>
        <c:axId val="520873592"/>
      </c:barChart>
      <c:catAx>
        <c:axId val="520867360"/>
        <c:scaling>
          <c:orientation val="maxMin"/>
        </c:scaling>
        <c:delete val="1"/>
        <c:axPos val="l"/>
        <c:majorTickMark val="out"/>
        <c:minorTickMark val="none"/>
        <c:tickLblPos val="nextTo"/>
        <c:crossAx val="520873592"/>
        <c:crosses val="autoZero"/>
        <c:auto val="1"/>
        <c:lblAlgn val="ctr"/>
        <c:lblOffset val="100"/>
        <c:noMultiLvlLbl val="0"/>
      </c:catAx>
      <c:valAx>
        <c:axId val="520873592"/>
        <c:scaling>
          <c:orientation val="minMax"/>
          <c:min val="0"/>
        </c:scaling>
        <c:delete val="1"/>
        <c:axPos val="t"/>
        <c:numFmt formatCode="General" sourceLinked="1"/>
        <c:majorTickMark val="out"/>
        <c:minorTickMark val="none"/>
        <c:tickLblPos val="nextTo"/>
        <c:crossAx val="52086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20</xdr:col>
      <xdr:colOff>0</xdr:colOff>
      <xdr:row>11</xdr:row>
      <xdr:rowOff>0</xdr:rowOff>
    </xdr:from>
    <xdr:to>
      <xdr:col>21</xdr:col>
      <xdr:colOff>0</xdr:colOff>
      <xdr:row>17</xdr:row>
      <xdr:rowOff>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27</xdr:row>
      <xdr:rowOff>0</xdr:rowOff>
    </xdr:from>
    <xdr:to>
      <xdr:col>21</xdr:col>
      <xdr:colOff>0</xdr:colOff>
      <xdr:row>32</xdr:row>
      <xdr:rowOff>242454</xdr:rowOff>
    </xdr:to>
    <xdr:graphicFrame macro="">
      <xdr:nvGraphicFramePr>
        <xdr:cNvPr id="16" name="Diagramm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190499</xdr:colOff>
      <xdr:row>45</xdr:row>
      <xdr:rowOff>234536</xdr:rowOff>
    </xdr:from>
    <xdr:to>
      <xdr:col>20</xdr:col>
      <xdr:colOff>387803</xdr:colOff>
      <xdr:row>59</xdr:row>
      <xdr:rowOff>149677</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9</xdr:row>
      <xdr:rowOff>0</xdr:rowOff>
    </xdr:from>
    <xdr:to>
      <xdr:col>16</xdr:col>
      <xdr:colOff>0</xdr:colOff>
      <xdr:row>15</xdr:row>
      <xdr:rowOff>0</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24</xdr:row>
      <xdr:rowOff>0</xdr:rowOff>
    </xdr:from>
    <xdr:to>
      <xdr:col>16</xdr:col>
      <xdr:colOff>0</xdr:colOff>
      <xdr:row>29</xdr:row>
      <xdr:rowOff>242454</xdr:rowOff>
    </xdr:to>
    <xdr:graphicFrame macro="">
      <xdr:nvGraphicFramePr>
        <xdr:cNvPr id="3" name="Diagram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178593</xdr:colOff>
      <xdr:row>61</xdr:row>
      <xdr:rowOff>1408154</xdr:rowOff>
    </xdr:from>
    <xdr:to>
      <xdr:col>15</xdr:col>
      <xdr:colOff>375897</xdr:colOff>
      <xdr:row>75</xdr:row>
      <xdr:rowOff>59531</xdr:rowOff>
    </xdr:to>
    <xdr:graphicFrame macro="">
      <xdr:nvGraphicFramePr>
        <xdr:cNvPr id="4" name="Diagramm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0</xdr:colOff>
      <xdr:row>9</xdr:row>
      <xdr:rowOff>0</xdr:rowOff>
    </xdr:from>
    <xdr:to>
      <xdr:col>35</xdr:col>
      <xdr:colOff>0</xdr:colOff>
      <xdr:row>15</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24</xdr:row>
      <xdr:rowOff>0</xdr:rowOff>
    </xdr:from>
    <xdr:to>
      <xdr:col>35</xdr:col>
      <xdr:colOff>0</xdr:colOff>
      <xdr:row>29</xdr:row>
      <xdr:rowOff>242454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152399</xdr:colOff>
      <xdr:row>61</xdr:row>
      <xdr:rowOff>1374815</xdr:rowOff>
    </xdr:from>
    <xdr:to>
      <xdr:col>34</xdr:col>
      <xdr:colOff>349703</xdr:colOff>
      <xdr:row>75</xdr:row>
      <xdr:rowOff>152399</xdr:rowOff>
    </xdr:to>
    <xdr:graphicFrame macro="">
      <xdr:nvGraphicFramePr>
        <xdr:cNvPr id="4" name="Diagramm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35</xdr:col>
      <xdr:colOff>0</xdr:colOff>
      <xdr:row>9</xdr:row>
      <xdr:rowOff>0</xdr:rowOff>
    </xdr:from>
    <xdr:to>
      <xdr:col>36</xdr:col>
      <xdr:colOff>0</xdr:colOff>
      <xdr:row>15</xdr:row>
      <xdr:rowOff>0</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24</xdr:row>
      <xdr:rowOff>0</xdr:rowOff>
    </xdr:from>
    <xdr:to>
      <xdr:col>36</xdr:col>
      <xdr:colOff>0</xdr:colOff>
      <xdr:row>29</xdr:row>
      <xdr:rowOff>242454</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190499</xdr:colOff>
      <xdr:row>43</xdr:row>
      <xdr:rowOff>3215</xdr:rowOff>
    </xdr:from>
    <xdr:to>
      <xdr:col>35</xdr:col>
      <xdr:colOff>387803</xdr:colOff>
      <xdr:row>56</xdr:row>
      <xdr:rowOff>190499</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9</xdr:row>
      <xdr:rowOff>0</xdr:rowOff>
    </xdr:from>
    <xdr:to>
      <xdr:col>21</xdr:col>
      <xdr:colOff>0</xdr:colOff>
      <xdr:row>15</xdr:row>
      <xdr:rowOff>0</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24</xdr:row>
      <xdr:rowOff>0</xdr:rowOff>
    </xdr:from>
    <xdr:to>
      <xdr:col>21</xdr:col>
      <xdr:colOff>0</xdr:colOff>
      <xdr:row>29</xdr:row>
      <xdr:rowOff>242454</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190499</xdr:colOff>
      <xdr:row>62</xdr:row>
      <xdr:rowOff>3216</xdr:rowOff>
    </xdr:from>
    <xdr:to>
      <xdr:col>20</xdr:col>
      <xdr:colOff>387803</xdr:colOff>
      <xdr:row>75</xdr:row>
      <xdr:rowOff>95251</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0</xdr:colOff>
      <xdr:row>9</xdr:row>
      <xdr:rowOff>0</xdr:rowOff>
    </xdr:from>
    <xdr:to>
      <xdr:col>22</xdr:col>
      <xdr:colOff>0</xdr:colOff>
      <xdr:row>15</xdr:row>
      <xdr:rowOff>0</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24</xdr:row>
      <xdr:rowOff>0</xdr:rowOff>
    </xdr:from>
    <xdr:to>
      <xdr:col>22</xdr:col>
      <xdr:colOff>0</xdr:colOff>
      <xdr:row>29</xdr:row>
      <xdr:rowOff>242454</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571499</xdr:colOff>
      <xdr:row>62</xdr:row>
      <xdr:rowOff>44035</xdr:rowOff>
    </xdr:from>
    <xdr:to>
      <xdr:col>21</xdr:col>
      <xdr:colOff>768803</xdr:colOff>
      <xdr:row>75</xdr:row>
      <xdr:rowOff>95249</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35</xdr:col>
      <xdr:colOff>0</xdr:colOff>
      <xdr:row>9</xdr:row>
      <xdr:rowOff>0</xdr:rowOff>
    </xdr:from>
    <xdr:to>
      <xdr:col>36</xdr:col>
      <xdr:colOff>0</xdr:colOff>
      <xdr:row>15</xdr:row>
      <xdr:rowOff>0</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24</xdr:row>
      <xdr:rowOff>0</xdr:rowOff>
    </xdr:from>
    <xdr:to>
      <xdr:col>36</xdr:col>
      <xdr:colOff>0</xdr:colOff>
      <xdr:row>29</xdr:row>
      <xdr:rowOff>242454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190499</xdr:colOff>
      <xdr:row>62</xdr:row>
      <xdr:rowOff>3215</xdr:rowOff>
    </xdr:from>
    <xdr:to>
      <xdr:col>35</xdr:col>
      <xdr:colOff>387803</xdr:colOff>
      <xdr:row>75</xdr:row>
      <xdr:rowOff>190499</xdr:rowOff>
    </xdr:to>
    <xdr:graphicFrame macro="">
      <xdr:nvGraphicFramePr>
        <xdr:cNvPr id="4" name="Diagramm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29</xdr:col>
      <xdr:colOff>0</xdr:colOff>
      <xdr:row>9</xdr:row>
      <xdr:rowOff>0</xdr:rowOff>
    </xdr:from>
    <xdr:to>
      <xdr:col>30</xdr:col>
      <xdr:colOff>0</xdr:colOff>
      <xdr:row>15</xdr:row>
      <xdr:rowOff>0</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24</xdr:row>
      <xdr:rowOff>0</xdr:rowOff>
    </xdr:from>
    <xdr:to>
      <xdr:col>30</xdr:col>
      <xdr:colOff>0</xdr:colOff>
      <xdr:row>29</xdr:row>
      <xdr:rowOff>242454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333374</xdr:colOff>
      <xdr:row>61</xdr:row>
      <xdr:rowOff>1384341</xdr:rowOff>
    </xdr:from>
    <xdr:to>
      <xdr:col>29</xdr:col>
      <xdr:colOff>530678</xdr:colOff>
      <xdr:row>75</xdr:row>
      <xdr:rowOff>51956</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9</xdr:row>
      <xdr:rowOff>0</xdr:rowOff>
    </xdr:from>
    <xdr:to>
      <xdr:col>18</xdr:col>
      <xdr:colOff>0</xdr:colOff>
      <xdr:row>15</xdr:row>
      <xdr:rowOff>0</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24</xdr:row>
      <xdr:rowOff>0</xdr:rowOff>
    </xdr:from>
    <xdr:to>
      <xdr:col>18</xdr:col>
      <xdr:colOff>0</xdr:colOff>
      <xdr:row>29</xdr:row>
      <xdr:rowOff>242454</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225135</xdr:colOff>
      <xdr:row>62</xdr:row>
      <xdr:rowOff>37850</xdr:rowOff>
    </xdr:from>
    <xdr:to>
      <xdr:col>17</xdr:col>
      <xdr:colOff>422439</xdr:colOff>
      <xdr:row>75</xdr:row>
      <xdr:rowOff>86590</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0</xdr:colOff>
      <xdr:row>9</xdr:row>
      <xdr:rowOff>0</xdr:rowOff>
    </xdr:from>
    <xdr:to>
      <xdr:col>25</xdr:col>
      <xdr:colOff>0</xdr:colOff>
      <xdr:row>15</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24</xdr:row>
      <xdr:rowOff>0</xdr:rowOff>
    </xdr:from>
    <xdr:to>
      <xdr:col>25</xdr:col>
      <xdr:colOff>0</xdr:colOff>
      <xdr:row>29</xdr:row>
      <xdr:rowOff>242454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214312</xdr:colOff>
      <xdr:row>61</xdr:row>
      <xdr:rowOff>1408153</xdr:rowOff>
    </xdr:from>
    <xdr:to>
      <xdr:col>24</xdr:col>
      <xdr:colOff>411616</xdr:colOff>
      <xdr:row>75</xdr:row>
      <xdr:rowOff>95250</xdr:rowOff>
    </xdr:to>
    <xdr:graphicFrame macro="">
      <xdr:nvGraphicFramePr>
        <xdr:cNvPr id="4" name="Diagram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9</xdr:row>
      <xdr:rowOff>0</xdr:rowOff>
    </xdr:from>
    <xdr:to>
      <xdr:col>21</xdr:col>
      <xdr:colOff>0</xdr:colOff>
      <xdr:row>15</xdr:row>
      <xdr:rowOff>0</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24</xdr:row>
      <xdr:rowOff>0</xdr:rowOff>
    </xdr:from>
    <xdr:to>
      <xdr:col>21</xdr:col>
      <xdr:colOff>0</xdr:colOff>
      <xdr:row>29</xdr:row>
      <xdr:rowOff>242454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285749</xdr:colOff>
      <xdr:row>61</xdr:row>
      <xdr:rowOff>1408153</xdr:rowOff>
    </xdr:from>
    <xdr:to>
      <xdr:col>20</xdr:col>
      <xdr:colOff>483053</xdr:colOff>
      <xdr:row>75</xdr:row>
      <xdr:rowOff>119062</xdr:rowOff>
    </xdr:to>
    <xdr:graphicFrame macro="">
      <xdr:nvGraphicFramePr>
        <xdr:cNvPr id="4" name="Diagramm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1018_OEROK22\Intern\10_Data\2022\02_Output\01_FI_v2_0_Ergebnisse\1_Statistik\Auswertung%202023-02-19%2003_mit_Legen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mweltbundesamt.at\Projekte\20000\21018_OEROK22\Intern\10_Data\2022\02_Output\04_FI_v4_inkl_Vers_Ergebnisse\02_Statistik\FI_Vers_Statistik_Baseline_2022_v4_1_Stand_18_Okt_2023_&#214;ROK_Abgab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weltbundesamt.at\Projekte\20000\21018_OEROK22\Intern\10_Data_Versiegelung\2022\02_Output\V1_AT\02_Statistik\FI_Vers_Statistik_Baseline_2022_v2_1_Stand_29_Aug_2023_&#214;ROK_Abgab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weltbundesamt.at\Projekte\20000\21018_OEROK22\Intern\10_Data_Versiegelung\2022\02_Output\V1_AT\02_Statistik\FI_Vers_Statistik_Baseline_2022_v2_1_Stand_28_Aug_2023_&#214;ROK_Abga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hdaten"/>
      <sheetName val="Konstanten"/>
      <sheetName val="Bevoelkerung, DSR"/>
      <sheetName val="Gebäudeflächen"/>
      <sheetName val="Pivots"/>
      <sheetName val="Methodik und Quellen"/>
      <sheetName val="Ö gesamt"/>
      <sheetName val="BL-Template"/>
      <sheetName val="Erläuterungen"/>
      <sheetName val="B"/>
      <sheetName val="K"/>
      <sheetName val="NÖ"/>
      <sheetName val="OÖ"/>
      <sheetName val="S"/>
      <sheetName val="St"/>
      <sheetName val="T"/>
      <sheetName val="V"/>
      <sheetName val="W"/>
    </sheetNames>
    <sheetDataSet>
      <sheetData sheetId="0" refreshError="1"/>
      <sheetData sheetId="1">
        <row r="1">
          <cell r="G1" t="str">
            <v>Burgenland</v>
          </cell>
          <cell r="H1" t="str">
            <v>B</v>
          </cell>
        </row>
        <row r="2">
          <cell r="G2" t="str">
            <v>Kärnten</v>
          </cell>
          <cell r="H2" t="str">
            <v>K</v>
          </cell>
        </row>
        <row r="3">
          <cell r="G3" t="str">
            <v>Niederösterreich</v>
          </cell>
          <cell r="H3" t="str">
            <v>NÖ</v>
          </cell>
        </row>
        <row r="4">
          <cell r="G4" t="str">
            <v>Oberösterreich</v>
          </cell>
          <cell r="H4" t="str">
            <v>OÖ</v>
          </cell>
        </row>
        <row r="5">
          <cell r="G5" t="str">
            <v>Salzburg</v>
          </cell>
          <cell r="H5" t="str">
            <v>S</v>
          </cell>
        </row>
        <row r="6">
          <cell r="G6" t="str">
            <v>Steiermark</v>
          </cell>
          <cell r="H6" t="str">
            <v>St</v>
          </cell>
        </row>
        <row r="7">
          <cell r="G7" t="str">
            <v>Tirol</v>
          </cell>
          <cell r="H7" t="str">
            <v>T</v>
          </cell>
        </row>
        <row r="8">
          <cell r="G8" t="str">
            <v>Vorarlberg</v>
          </cell>
          <cell r="H8" t="str">
            <v>V</v>
          </cell>
        </row>
        <row r="9">
          <cell r="G9" t="str">
            <v>Wien</v>
          </cell>
          <cell r="H9" t="str">
            <v>W</v>
          </cell>
        </row>
        <row r="26">
          <cell r="B26" t="str">
            <v>* Die Kategorie Siedlungsflächen ausserhalb der Baulandwidmung können derzeit noch – je nach Bundesland - Ver- und Entsorgungsanlagen (z. B. Kläranlagen, Umspannwerke, Abbauflächen etc.) sowie Freizeit- und Erholungsflächen (z. B. Sport-, Camping-, Golfplätze etc.) enthalten. Diese können erst im Jahr 2023 im Zuge der Bearbeitung in die Kategorie „Ver- und Entsorgungsanlagen“ übertragen werden.</v>
          </cell>
        </row>
      </sheetData>
      <sheetData sheetId="2" refreshError="1"/>
      <sheetData sheetId="3" refreshError="1"/>
      <sheetData sheetId="4" refreshError="1"/>
      <sheetData sheetId="5" refreshError="1"/>
      <sheetData sheetId="6">
        <row r="4">
          <cell r="A4">
            <v>1</v>
          </cell>
        </row>
        <row r="5">
          <cell r="A5" t="str">
            <v>ha</v>
          </cell>
        </row>
        <row r="7">
          <cell r="K7" t="str">
            <v>B</v>
          </cell>
          <cell r="L7" t="str">
            <v>K</v>
          </cell>
          <cell r="M7" t="str">
            <v>NÖ</v>
          </cell>
          <cell r="N7" t="str">
            <v>OÖ</v>
          </cell>
          <cell r="O7" t="str">
            <v>S</v>
          </cell>
          <cell r="P7" t="str">
            <v>St</v>
          </cell>
          <cell r="Q7" t="str">
            <v>T</v>
          </cell>
          <cell r="R7" t="str">
            <v>V</v>
          </cell>
          <cell r="S7" t="str">
            <v>W</v>
          </cell>
          <cell r="T7" t="str">
            <v>Ö</v>
          </cell>
        </row>
        <row r="8">
          <cell r="K8">
            <v>34698.630205092944</v>
          </cell>
          <cell r="L8">
            <v>46914.5144501955</v>
          </cell>
          <cell r="M8">
            <v>150447.6911060015</v>
          </cell>
          <cell r="N8">
            <v>99338.214468499107</v>
          </cell>
          <cell r="O8">
            <v>26680.622692966859</v>
          </cell>
          <cell r="P8">
            <v>93920.69593914866</v>
          </cell>
          <cell r="Q8">
            <v>34200.423347451331</v>
          </cell>
          <cell r="R8">
            <v>15588.657337912822</v>
          </cell>
          <cell r="S8">
            <v>21408.203802138622</v>
          </cell>
          <cell r="T8">
            <v>523197.65334940696</v>
          </cell>
        </row>
        <row r="11">
          <cell r="A11">
            <v>1</v>
          </cell>
        </row>
        <row r="21">
          <cell r="K21">
            <v>23026.066478854878</v>
          </cell>
          <cell r="L21">
            <v>32552.875630744085</v>
          </cell>
          <cell r="M21">
            <v>86656.892964481885</v>
          </cell>
          <cell r="N21">
            <v>59659.771300759647</v>
          </cell>
          <cell r="O21">
            <v>13505.860078401147</v>
          </cell>
          <cell r="P21">
            <v>55283.373933083007</v>
          </cell>
          <cell r="Q21">
            <v>21649.476546711972</v>
          </cell>
          <cell r="R21">
            <v>11193.028018140039</v>
          </cell>
          <cell r="S21">
            <v>14715.474168950564</v>
          </cell>
          <cell r="T21">
            <v>318242.81912012736</v>
          </cell>
        </row>
        <row r="47">
          <cell r="I47" t="str">
            <v>Bevölkerung:</v>
          </cell>
          <cell r="K47">
            <v>297583</v>
          </cell>
          <cell r="L47">
            <v>564513</v>
          </cell>
          <cell r="M47">
            <v>1698796</v>
          </cell>
          <cell r="N47">
            <v>1505140</v>
          </cell>
          <cell r="O47">
            <v>562606</v>
          </cell>
          <cell r="P47">
            <v>1252922</v>
          </cell>
          <cell r="Q47">
            <v>764102</v>
          </cell>
          <cell r="R47">
            <v>401674</v>
          </cell>
          <cell r="S47">
            <v>1931593</v>
          </cell>
          <cell r="T47">
            <v>8978929</v>
          </cell>
          <cell r="U47" t="str">
            <v>EW</v>
          </cell>
        </row>
        <row r="48">
          <cell r="I48" t="str">
            <v>Dauersiedlungsraum:</v>
          </cell>
          <cell r="K48">
            <v>248472.12523683097</v>
          </cell>
          <cell r="L48">
            <v>245524.56023462221</v>
          </cell>
          <cell r="M48">
            <v>1161561.5093476849</v>
          </cell>
          <cell r="N48">
            <v>684230.97852746455</v>
          </cell>
          <cell r="O48">
            <v>149604.54482819341</v>
          </cell>
          <cell r="P48">
            <v>522954.58708772471</v>
          </cell>
          <cell r="Q48">
            <v>157291.60788301282</v>
          </cell>
          <cell r="R48">
            <v>56729.586278915594</v>
          </cell>
          <cell r="S48">
            <v>33431.277280194598</v>
          </cell>
          <cell r="T48">
            <v>3259800.7767046443</v>
          </cell>
          <cell r="U48" t="str">
            <v>ha</v>
          </cell>
        </row>
      </sheetData>
      <sheetData sheetId="7" refreshError="1"/>
      <sheetData sheetId="8" refreshError="1"/>
      <sheetData sheetId="9" refreshError="1"/>
      <sheetData sheetId="10" refreshError="1"/>
      <sheetData sheetId="11">
        <row r="8">
          <cell r="K8">
            <v>305</v>
          </cell>
          <cell r="L8">
            <v>306</v>
          </cell>
          <cell r="M8">
            <v>307</v>
          </cell>
          <cell r="N8">
            <v>308</v>
          </cell>
          <cell r="O8">
            <v>309</v>
          </cell>
          <cell r="P8">
            <v>310</v>
          </cell>
          <cell r="Q8">
            <v>311</v>
          </cell>
          <cell r="R8">
            <v>312</v>
          </cell>
          <cell r="S8">
            <v>301</v>
          </cell>
          <cell r="T8">
            <v>313</v>
          </cell>
          <cell r="U8">
            <v>314</v>
          </cell>
          <cell r="V8">
            <v>315</v>
          </cell>
          <cell r="W8">
            <v>316</v>
          </cell>
          <cell r="X8">
            <v>317</v>
          </cell>
          <cell r="Y8">
            <v>318</v>
          </cell>
          <cell r="Z8">
            <v>319</v>
          </cell>
          <cell r="AA8">
            <v>302</v>
          </cell>
          <cell r="AB8">
            <v>320</v>
          </cell>
          <cell r="AC8">
            <v>321</v>
          </cell>
          <cell r="AD8">
            <v>322</v>
          </cell>
          <cell r="AE8">
            <v>303</v>
          </cell>
          <cell r="AF8">
            <v>323</v>
          </cell>
          <cell r="AG8">
            <v>304</v>
          </cell>
          <cell r="AH8">
            <v>325</v>
          </cell>
        </row>
        <row r="9">
          <cell r="K9" t="str">
            <v>Amstetten</v>
          </cell>
          <cell r="L9" t="str">
            <v>Baden</v>
          </cell>
          <cell r="M9" t="str">
            <v>Bruck an der Leitha</v>
          </cell>
          <cell r="N9" t="str">
            <v>Gänserndorf</v>
          </cell>
          <cell r="O9" t="str">
            <v>Gmünd</v>
          </cell>
          <cell r="P9" t="str">
            <v>Hollabrunn</v>
          </cell>
          <cell r="Q9" t="str">
            <v>Horn</v>
          </cell>
          <cell r="R9" t="str">
            <v>Korneuburg</v>
          </cell>
          <cell r="S9" t="str">
            <v>Krems an der Donau (Stadt)</v>
          </cell>
          <cell r="T9" t="str">
            <v>Krems (Land)</v>
          </cell>
          <cell r="U9" t="str">
            <v>Lilienfeld</v>
          </cell>
          <cell r="V9" t="str">
            <v>Melk</v>
          </cell>
          <cell r="W9" t="str">
            <v>Mistelbach</v>
          </cell>
          <cell r="X9" t="str">
            <v>Mödling</v>
          </cell>
          <cell r="Y9" t="str">
            <v>Neunkirchen</v>
          </cell>
          <cell r="Z9" t="str">
            <v>Sankt Pölten (Land)</v>
          </cell>
          <cell r="AA9" t="str">
            <v>Sankt Pölten (Stadt)</v>
          </cell>
          <cell r="AB9" t="str">
            <v>Scheibbs</v>
          </cell>
          <cell r="AC9" t="str">
            <v>Tulln</v>
          </cell>
          <cell r="AD9" t="str">
            <v>Waidhofen an der Thaya</v>
          </cell>
          <cell r="AE9" t="str">
            <v>Waidhofen an der Ybbs (Stadt)</v>
          </cell>
          <cell r="AF9" t="str">
            <v>Wiener Neustadt (Land)</v>
          </cell>
          <cell r="AG9" t="str">
            <v>Wiener Neustadt (Stadt)</v>
          </cell>
          <cell r="AH9" t="str">
            <v>Zwettl</v>
          </cell>
          <cell r="AI9" t="str">
            <v>NÖ</v>
          </cell>
        </row>
        <row r="52">
          <cell r="A52">
            <v>2</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stanten"/>
      <sheetName val="Gebäudeflächen"/>
      <sheetName val="readme"/>
      <sheetName val="Ö Hauptergebnisse"/>
      <sheetName val="Ö Details"/>
      <sheetName val="BL-Template"/>
      <sheetName val="B"/>
      <sheetName val="K"/>
      <sheetName val="NÖ"/>
      <sheetName val="OÖ"/>
      <sheetName val="S"/>
      <sheetName val="St"/>
      <sheetName val="T"/>
      <sheetName val="V"/>
      <sheetName val="W"/>
      <sheetName val="Methodik und Quellen"/>
      <sheetName val="Erläuterungen"/>
      <sheetName val="GIS_Layerfile"/>
      <sheetName val="GIS_Rasterfile (Vers.)"/>
    </sheetNames>
    <sheetDataSet>
      <sheetData sheetId="0"/>
      <sheetData sheetId="1"/>
      <sheetData sheetId="2"/>
      <sheetData sheetId="3">
        <row r="7">
          <cell r="A7">
            <v>0.01</v>
          </cell>
        </row>
        <row r="8">
          <cell r="C8" t="str">
            <v>absolut</v>
          </cell>
        </row>
        <row r="9">
          <cell r="J9">
            <v>0.01</v>
          </cell>
          <cell r="K9">
            <v>0.01</v>
          </cell>
          <cell r="L9">
            <v>0.01</v>
          </cell>
          <cell r="M9">
            <v>0.01</v>
          </cell>
          <cell r="N9">
            <v>0.01</v>
          </cell>
          <cell r="O9">
            <v>0.01</v>
          </cell>
          <cell r="P9">
            <v>0.01</v>
          </cell>
          <cell r="Q9">
            <v>0.01</v>
          </cell>
          <cell r="R9">
            <v>0.01</v>
          </cell>
          <cell r="S9">
            <v>0.01</v>
          </cell>
        </row>
        <row r="25">
          <cell r="J25">
            <v>17306.82</v>
          </cell>
          <cell r="K25">
            <v>24537.961200000002</v>
          </cell>
          <cell r="L25">
            <v>85444.2883</v>
          </cell>
          <cell r="M25">
            <v>58147.785799999998</v>
          </cell>
          <cell r="N25">
            <v>16740.635999999999</v>
          </cell>
          <cell r="O25">
            <v>47149.846400000002</v>
          </cell>
          <cell r="P25">
            <v>22041.498100000001</v>
          </cell>
          <cell r="Q25">
            <v>9691.1558000000005</v>
          </cell>
          <cell r="R25">
            <v>15320.834199999999</v>
          </cell>
          <cell r="S25">
            <v>296380.82579999999</v>
          </cell>
        </row>
        <row r="26">
          <cell r="J26">
            <v>0.01</v>
          </cell>
          <cell r="K26">
            <v>0.01</v>
          </cell>
          <cell r="L26">
            <v>0.01</v>
          </cell>
          <cell r="M26">
            <v>0.01</v>
          </cell>
          <cell r="N26">
            <v>0.01</v>
          </cell>
          <cell r="O26">
            <v>0.01</v>
          </cell>
          <cell r="P26">
            <v>0.01</v>
          </cell>
          <cell r="Q26">
            <v>0.01</v>
          </cell>
          <cell r="R26">
            <v>0.01</v>
          </cell>
          <cell r="S26">
            <v>0.01</v>
          </cell>
        </row>
        <row r="39">
          <cell r="A39">
            <v>1</v>
          </cell>
        </row>
        <row r="41">
          <cell r="J41">
            <v>0.01</v>
          </cell>
          <cell r="K41">
            <v>0.01</v>
          </cell>
          <cell r="L41">
            <v>0.01</v>
          </cell>
          <cell r="M41">
            <v>0.01</v>
          </cell>
          <cell r="N41">
            <v>0.01</v>
          </cell>
          <cell r="O41">
            <v>0.01</v>
          </cell>
          <cell r="P41">
            <v>0.01</v>
          </cell>
          <cell r="Q41">
            <v>0.01</v>
          </cell>
          <cell r="R41">
            <v>0.01</v>
          </cell>
          <cell r="S41">
            <v>0.01</v>
          </cell>
        </row>
      </sheetData>
      <sheetData sheetId="4"/>
      <sheetData sheetId="5"/>
      <sheetData sheetId="6">
        <row r="40">
          <cell r="J40">
            <v>556.49892999999997</v>
          </cell>
          <cell r="K40">
            <v>2288.8160710000002</v>
          </cell>
          <cell r="L40">
            <v>3515.3133189999999</v>
          </cell>
          <cell r="M40">
            <v>2061.8355649999999</v>
          </cell>
          <cell r="N40">
            <v>2287.956334</v>
          </cell>
          <cell r="O40">
            <v>3881.404438</v>
          </cell>
          <cell r="P40">
            <v>3336.4901759999998</v>
          </cell>
          <cell r="Q40">
            <v>5016.3836330000004</v>
          </cell>
          <cell r="R40">
            <v>81.664345999999995</v>
          </cell>
          <cell r="S40">
            <v>23026.362813</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hdaten"/>
      <sheetName val="readme"/>
      <sheetName val="Konstanten"/>
      <sheetName val="Gebäudeflächen"/>
      <sheetName val="Bevoelkerung, DSR"/>
      <sheetName val="Pivots 1"/>
      <sheetName val="Pivots 2"/>
      <sheetName val="Rohdaten Versiegelung"/>
      <sheetName val="Ö Hauptergebnisse"/>
      <sheetName val="Ö Details"/>
      <sheetName val="BL-Template"/>
      <sheetName val="B"/>
      <sheetName val="K"/>
      <sheetName val="NÖ"/>
      <sheetName val="OÖ"/>
      <sheetName val="S"/>
      <sheetName val="St"/>
      <sheetName val="T"/>
      <sheetName val="V"/>
      <sheetName val="W"/>
      <sheetName val="FI - Methodik und Quellen"/>
      <sheetName val="Vers. - Methodik und Quellen"/>
      <sheetName val="Erläuterungen"/>
      <sheetName val="GIS_Layerfile (FI)"/>
      <sheetName val="GIS_Rasterfile (Vers.)"/>
    </sheetNames>
    <sheetDataSet>
      <sheetData sheetId="0"/>
      <sheetData sheetId="1"/>
      <sheetData sheetId="2">
        <row r="1">
          <cell r="G1" t="str">
            <v>Burgenland</v>
          </cell>
          <cell r="H1" t="str">
            <v>B</v>
          </cell>
        </row>
        <row r="2">
          <cell r="G2" t="str">
            <v>Kärnten</v>
          </cell>
          <cell r="H2" t="str">
            <v>K</v>
          </cell>
        </row>
        <row r="3">
          <cell r="G3" t="str">
            <v>Niederösterreich</v>
          </cell>
          <cell r="H3" t="str">
            <v>NÖ</v>
          </cell>
        </row>
        <row r="4">
          <cell r="G4" t="str">
            <v>Oberösterreich</v>
          </cell>
          <cell r="H4" t="str">
            <v>OÖ</v>
          </cell>
        </row>
        <row r="5">
          <cell r="G5" t="str">
            <v>Salzburg</v>
          </cell>
          <cell r="H5" t="str">
            <v>S</v>
          </cell>
        </row>
        <row r="6">
          <cell r="G6" t="str">
            <v>Steiermark</v>
          </cell>
          <cell r="H6" t="str">
            <v>St</v>
          </cell>
        </row>
        <row r="7">
          <cell r="G7" t="str">
            <v>Tirol</v>
          </cell>
          <cell r="H7" t="str">
            <v>T</v>
          </cell>
        </row>
        <row r="8">
          <cell r="G8" t="str">
            <v>Vorarlberg</v>
          </cell>
          <cell r="H8" t="str">
            <v>V</v>
          </cell>
        </row>
        <row r="9">
          <cell r="G9" t="str">
            <v>Wien</v>
          </cell>
          <cell r="H9" t="str">
            <v>W</v>
          </cell>
        </row>
      </sheetData>
      <sheetData sheetId="3"/>
      <sheetData sheetId="4"/>
      <sheetData sheetId="5"/>
      <sheetData sheetId="6"/>
      <sheetData sheetId="7"/>
      <sheetData sheetId="8"/>
      <sheetData sheetId="9">
        <row r="3">
          <cell r="A3">
            <v>2</v>
          </cell>
        </row>
        <row r="4">
          <cell r="A4" t="str">
            <v>km²</v>
          </cell>
        </row>
        <row r="7">
          <cell r="B7"/>
          <cell r="C7"/>
          <cell r="D7"/>
          <cell r="E7"/>
          <cell r="G7"/>
          <cell r="H7"/>
          <cell r="I7"/>
          <cell r="J7"/>
          <cell r="K7">
            <v>348.44297128456873</v>
          </cell>
          <cell r="L7">
            <v>471.00739369121936</v>
          </cell>
          <cell r="M7">
            <v>1509.8956113500701</v>
          </cell>
          <cell r="N7">
            <v>998.27565464379938</v>
          </cell>
          <cell r="O7">
            <v>267.40238810668785</v>
          </cell>
          <cell r="P7">
            <v>944.09677413614907</v>
          </cell>
          <cell r="Q7">
            <v>342.99043855417921</v>
          </cell>
          <cell r="R7">
            <v>156.47345938322979</v>
          </cell>
          <cell r="S7">
            <v>214.33081671095744</v>
          </cell>
          <cell r="T7">
            <v>5252.9155078608628</v>
          </cell>
          <cell r="U7"/>
          <cell r="V7"/>
        </row>
        <row r="10">
          <cell r="A10">
            <v>0</v>
          </cell>
        </row>
        <row r="39">
          <cell r="I39" t="str">
            <v>Bevölkerung:</v>
          </cell>
          <cell r="K39">
            <v>297583</v>
          </cell>
          <cell r="L39">
            <v>564513</v>
          </cell>
          <cell r="M39">
            <v>1698796</v>
          </cell>
          <cell r="N39">
            <v>1505140</v>
          </cell>
          <cell r="O39">
            <v>562606</v>
          </cell>
          <cell r="P39">
            <v>1252922</v>
          </cell>
          <cell r="Q39">
            <v>764102</v>
          </cell>
          <cell r="R39">
            <v>401674</v>
          </cell>
          <cell r="S39">
            <v>1931593</v>
          </cell>
          <cell r="T39">
            <v>8978929</v>
          </cell>
          <cell r="U39" t="str">
            <v>Einwohner</v>
          </cell>
        </row>
        <row r="40">
          <cell r="K40">
            <v>2484.7212523683097</v>
          </cell>
          <cell r="L40">
            <v>2455.2456023462223</v>
          </cell>
          <cell r="M40">
            <v>11615.61509347685</v>
          </cell>
          <cell r="N40">
            <v>6842.3097852746459</v>
          </cell>
          <cell r="O40">
            <v>1496.0454482819341</v>
          </cell>
          <cell r="P40">
            <v>5229.5458708772476</v>
          </cell>
          <cell r="Q40">
            <v>1572.9160788301283</v>
          </cell>
          <cell r="R40">
            <v>567.29586278915599</v>
          </cell>
          <cell r="S40">
            <v>334.31277280194598</v>
          </cell>
          <cell r="T40">
            <v>32598.007767046442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hdaten"/>
      <sheetName val="Konstanten"/>
      <sheetName val="Gebäudeflächen"/>
      <sheetName val="Bevoelkerung, DSR"/>
      <sheetName val="Pivots 1"/>
      <sheetName val="Pivots 2"/>
      <sheetName val="readme"/>
      <sheetName val="Rohdaten Versiegelung"/>
      <sheetName val="Ö Hauptergebnisse"/>
      <sheetName val="Ö Details"/>
      <sheetName val="BL-Template"/>
      <sheetName val="B"/>
      <sheetName val="K"/>
      <sheetName val="OÖ"/>
      <sheetName val="NÖ"/>
      <sheetName val="S"/>
      <sheetName val="St"/>
      <sheetName val="T"/>
      <sheetName val="V"/>
      <sheetName val="W"/>
      <sheetName val="FI - Methodik und Quellen"/>
      <sheetName val="Vers. - Methodik und Quellen"/>
      <sheetName val="Erläuterungen"/>
      <sheetName val="GIS_Layerfile (FI)"/>
      <sheetName val="GIS_Rasterfile (Vers.)"/>
    </sheetNames>
    <sheetDataSet>
      <sheetData sheetId="0"/>
      <sheetData sheetId="1">
        <row r="1">
          <cell r="G1" t="str">
            <v>Burgenland</v>
          </cell>
        </row>
      </sheetData>
      <sheetData sheetId="2"/>
      <sheetData sheetId="3"/>
      <sheetData sheetId="4"/>
      <sheetData sheetId="5"/>
      <sheetData sheetId="6"/>
      <sheetData sheetId="7"/>
      <sheetData sheetId="8">
        <row r="33">
          <cell r="A33">
            <v>1</v>
          </cell>
        </row>
      </sheetData>
      <sheetData sheetId="9">
        <row r="3">
          <cell r="A3">
            <v>2</v>
          </cell>
        </row>
      </sheetData>
      <sheetData sheetId="10">
        <row r="25">
          <cell r="K25">
            <v>747.78240000000005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Z2116"/>
  <sheetViews>
    <sheetView zoomScale="70" zoomScaleNormal="70" workbookViewId="0">
      <selection activeCell="L41" sqref="L41"/>
    </sheetView>
  </sheetViews>
  <sheetFormatPr baseColWidth="10" defaultRowHeight="15" x14ac:dyDescent="0.25"/>
  <cols>
    <col min="2" max="2" width="39.5703125" bestFit="1" customWidth="1"/>
    <col min="3" max="3" width="39.5703125" customWidth="1"/>
  </cols>
  <sheetData>
    <row r="1" spans="1:52" x14ac:dyDescent="0.25">
      <c r="A1" t="s">
        <v>20</v>
      </c>
      <c r="B1" t="s">
        <v>21</v>
      </c>
      <c r="D1" t="s">
        <v>22</v>
      </c>
      <c r="G1" t="s">
        <v>30</v>
      </c>
      <c r="H1" t="s">
        <v>144</v>
      </c>
      <c r="I1" t="s">
        <v>30</v>
      </c>
      <c r="K1" t="s">
        <v>151</v>
      </c>
      <c r="M1" t="s">
        <v>154</v>
      </c>
      <c r="P1" t="s">
        <v>155</v>
      </c>
      <c r="Q1" t="s">
        <v>0</v>
      </c>
      <c r="R1" t="s">
        <v>156</v>
      </c>
      <c r="S1" t="s">
        <v>158</v>
      </c>
      <c r="U1" t="s">
        <v>7417</v>
      </c>
      <c r="V1" t="s">
        <v>26</v>
      </c>
      <c r="W1" t="s">
        <v>0</v>
      </c>
      <c r="AB1" t="s">
        <v>7479</v>
      </c>
      <c r="AC1">
        <v>101</v>
      </c>
      <c r="AD1">
        <v>102</v>
      </c>
      <c r="AE1">
        <v>103</v>
      </c>
      <c r="AF1">
        <v>104</v>
      </c>
      <c r="AG1">
        <v>105</v>
      </c>
      <c r="AH1">
        <v>106</v>
      </c>
      <c r="AI1">
        <v>107</v>
      </c>
      <c r="AJ1">
        <v>108</v>
      </c>
      <c r="AK1">
        <v>109</v>
      </c>
    </row>
    <row r="2" spans="1:52" x14ac:dyDescent="0.25">
      <c r="A2">
        <v>101</v>
      </c>
      <c r="B2" t="s">
        <v>12</v>
      </c>
      <c r="C2" t="s">
        <v>12</v>
      </c>
      <c r="D2" t="s">
        <v>23</v>
      </c>
      <c r="G2" t="s">
        <v>40</v>
      </c>
      <c r="H2" t="s">
        <v>145</v>
      </c>
      <c r="I2" t="s">
        <v>40</v>
      </c>
      <c r="K2" t="s">
        <v>152</v>
      </c>
      <c r="L2" s="4">
        <v>1</v>
      </c>
      <c r="M2" s="5">
        <f>+VLOOKUP(Einheit,$K$2:$L$3,2,FALSE)</f>
        <v>0.01</v>
      </c>
      <c r="P2">
        <v>15240</v>
      </c>
      <c r="Q2" t="s">
        <v>29</v>
      </c>
      <c r="R2" t="s">
        <v>30</v>
      </c>
      <c r="S2" t="s">
        <v>144</v>
      </c>
      <c r="U2" t="s">
        <v>144</v>
      </c>
      <c r="V2">
        <v>101</v>
      </c>
      <c r="W2" t="s">
        <v>7421</v>
      </c>
      <c r="AB2" t="s">
        <v>7480</v>
      </c>
      <c r="AC2">
        <v>201</v>
      </c>
      <c r="AD2">
        <v>202</v>
      </c>
      <c r="AE2">
        <v>203</v>
      </c>
      <c r="AF2">
        <v>204</v>
      </c>
      <c r="AG2">
        <v>205</v>
      </c>
      <c r="AH2">
        <v>206</v>
      </c>
      <c r="AI2">
        <v>207</v>
      </c>
      <c r="AJ2">
        <v>208</v>
      </c>
      <c r="AK2">
        <v>209</v>
      </c>
      <c r="AL2">
        <v>210</v>
      </c>
    </row>
    <row r="3" spans="1:52" x14ac:dyDescent="0.25">
      <c r="A3">
        <v>102</v>
      </c>
      <c r="B3" t="s">
        <v>168</v>
      </c>
      <c r="C3" t="s">
        <v>168</v>
      </c>
      <c r="D3" t="s">
        <v>23</v>
      </c>
      <c r="G3" t="s">
        <v>50</v>
      </c>
      <c r="H3" t="s">
        <v>7355</v>
      </c>
      <c r="I3" t="s">
        <v>50</v>
      </c>
      <c r="K3" t="s">
        <v>153</v>
      </c>
      <c r="L3" s="4">
        <f>1/100</f>
        <v>0.01</v>
      </c>
      <c r="P3">
        <v>1984</v>
      </c>
      <c r="Q3" t="s">
        <v>31</v>
      </c>
      <c r="R3" t="s">
        <v>30</v>
      </c>
      <c r="S3" t="s">
        <v>144</v>
      </c>
      <c r="U3" t="s">
        <v>144</v>
      </c>
      <c r="V3">
        <v>103</v>
      </c>
      <c r="W3" t="s">
        <v>32</v>
      </c>
      <c r="AB3" t="s">
        <v>7481</v>
      </c>
      <c r="AC3">
        <v>301</v>
      </c>
      <c r="AD3">
        <v>302</v>
      </c>
      <c r="AE3">
        <v>303</v>
      </c>
      <c r="AF3">
        <v>304</v>
      </c>
      <c r="AG3">
        <v>305</v>
      </c>
      <c r="AH3">
        <v>306</v>
      </c>
      <c r="AI3">
        <v>307</v>
      </c>
      <c r="AJ3">
        <v>308</v>
      </c>
      <c r="AK3">
        <v>309</v>
      </c>
      <c r="AL3">
        <v>310</v>
      </c>
      <c r="AM3">
        <v>311</v>
      </c>
      <c r="AN3">
        <v>312</v>
      </c>
      <c r="AO3">
        <v>313</v>
      </c>
      <c r="AP3">
        <v>314</v>
      </c>
      <c r="AQ3">
        <v>315</v>
      </c>
      <c r="AR3">
        <v>316</v>
      </c>
      <c r="AS3">
        <v>317</v>
      </c>
      <c r="AT3">
        <v>318</v>
      </c>
      <c r="AU3">
        <v>319</v>
      </c>
      <c r="AV3">
        <v>320</v>
      </c>
      <c r="AW3">
        <v>321</v>
      </c>
      <c r="AX3">
        <v>322</v>
      </c>
      <c r="AY3">
        <v>323</v>
      </c>
      <c r="AZ3">
        <v>325</v>
      </c>
    </row>
    <row r="4" spans="1:52" x14ac:dyDescent="0.25">
      <c r="A4">
        <v>103</v>
      </c>
      <c r="B4" t="s">
        <v>13</v>
      </c>
      <c r="C4" t="s">
        <v>13</v>
      </c>
      <c r="D4" t="s">
        <v>23</v>
      </c>
      <c r="G4" t="s">
        <v>75</v>
      </c>
      <c r="H4" t="s">
        <v>7354</v>
      </c>
      <c r="I4" t="s">
        <v>75</v>
      </c>
      <c r="P4">
        <v>1890</v>
      </c>
      <c r="Q4" t="s">
        <v>32</v>
      </c>
      <c r="R4" t="s">
        <v>30</v>
      </c>
      <c r="S4" t="s">
        <v>144</v>
      </c>
      <c r="U4" t="s">
        <v>144</v>
      </c>
      <c r="V4">
        <v>104</v>
      </c>
      <c r="W4" t="s">
        <v>33</v>
      </c>
      <c r="AB4" t="s">
        <v>7482</v>
      </c>
      <c r="AC4">
        <v>401</v>
      </c>
      <c r="AD4">
        <v>402</v>
      </c>
      <c r="AE4">
        <v>403</v>
      </c>
      <c r="AF4">
        <v>404</v>
      </c>
      <c r="AG4">
        <v>405</v>
      </c>
      <c r="AH4">
        <v>406</v>
      </c>
      <c r="AI4">
        <v>407</v>
      </c>
      <c r="AJ4">
        <v>408</v>
      </c>
      <c r="AK4">
        <v>409</v>
      </c>
      <c r="AL4">
        <v>410</v>
      </c>
      <c r="AM4">
        <v>411</v>
      </c>
      <c r="AN4">
        <v>412</v>
      </c>
      <c r="AO4">
        <v>413</v>
      </c>
      <c r="AP4">
        <v>414</v>
      </c>
      <c r="AQ4">
        <v>415</v>
      </c>
      <c r="AR4">
        <v>416</v>
      </c>
      <c r="AS4">
        <v>417</v>
      </c>
      <c r="AT4">
        <v>418</v>
      </c>
    </row>
    <row r="5" spans="1:52" x14ac:dyDescent="0.25">
      <c r="A5">
        <v>104</v>
      </c>
      <c r="B5" t="s">
        <v>7373</v>
      </c>
      <c r="C5" t="s">
        <v>14</v>
      </c>
      <c r="D5" t="s">
        <v>23</v>
      </c>
      <c r="G5" t="s">
        <v>93</v>
      </c>
      <c r="H5" t="s">
        <v>146</v>
      </c>
      <c r="I5" t="s">
        <v>93</v>
      </c>
      <c r="P5">
        <v>1846</v>
      </c>
      <c r="Q5" t="s">
        <v>32</v>
      </c>
      <c r="R5" t="s">
        <v>30</v>
      </c>
      <c r="S5" t="s">
        <v>144</v>
      </c>
      <c r="U5" t="s">
        <v>144</v>
      </c>
      <c r="V5">
        <v>105</v>
      </c>
      <c r="W5" t="s">
        <v>34</v>
      </c>
      <c r="AB5" t="s">
        <v>7483</v>
      </c>
      <c r="AC5">
        <v>501</v>
      </c>
      <c r="AD5">
        <v>502</v>
      </c>
      <c r="AE5">
        <v>503</v>
      </c>
      <c r="AF5">
        <v>504</v>
      </c>
      <c r="AG5">
        <v>505</v>
      </c>
      <c r="AH5">
        <v>506</v>
      </c>
    </row>
    <row r="6" spans="1:52" x14ac:dyDescent="0.25">
      <c r="A6">
        <v>211</v>
      </c>
      <c r="B6" t="s">
        <v>15</v>
      </c>
      <c r="C6" t="s">
        <v>15</v>
      </c>
      <c r="D6" t="s">
        <v>23</v>
      </c>
      <c r="G6" t="s">
        <v>101</v>
      </c>
      <c r="H6" t="s">
        <v>150</v>
      </c>
      <c r="I6" t="s">
        <v>101</v>
      </c>
      <c r="P6">
        <v>2122</v>
      </c>
      <c r="Q6" t="s">
        <v>32</v>
      </c>
      <c r="R6" t="s">
        <v>30</v>
      </c>
      <c r="S6" t="s">
        <v>144</v>
      </c>
      <c r="U6" t="s">
        <v>144</v>
      </c>
      <c r="V6">
        <v>106</v>
      </c>
      <c r="W6" t="s">
        <v>35</v>
      </c>
      <c r="AB6" t="s">
        <v>7484</v>
      </c>
      <c r="AC6">
        <v>601</v>
      </c>
      <c r="AD6">
        <v>603</v>
      </c>
      <c r="AE6">
        <v>606</v>
      </c>
      <c r="AF6">
        <v>610</v>
      </c>
      <c r="AG6">
        <v>611</v>
      </c>
      <c r="AH6">
        <v>612</v>
      </c>
      <c r="AI6">
        <v>614</v>
      </c>
      <c r="AJ6">
        <v>616</v>
      </c>
      <c r="AK6">
        <v>617</v>
      </c>
      <c r="AL6">
        <v>620</v>
      </c>
      <c r="AM6">
        <v>621</v>
      </c>
      <c r="AN6">
        <v>622</v>
      </c>
      <c r="AO6">
        <v>623</v>
      </c>
    </row>
    <row r="7" spans="1:52" x14ac:dyDescent="0.25">
      <c r="A7">
        <v>212</v>
      </c>
      <c r="B7" t="s">
        <v>164</v>
      </c>
      <c r="C7" t="s">
        <v>164</v>
      </c>
      <c r="D7" t="s">
        <v>23</v>
      </c>
      <c r="G7" t="s">
        <v>114</v>
      </c>
      <c r="H7" t="s">
        <v>147</v>
      </c>
      <c r="I7" t="s">
        <v>114</v>
      </c>
      <c r="P7">
        <v>3217</v>
      </c>
      <c r="Q7" t="s">
        <v>32</v>
      </c>
      <c r="R7" t="s">
        <v>30</v>
      </c>
      <c r="S7" t="s">
        <v>144</v>
      </c>
      <c r="U7" t="s">
        <v>144</v>
      </c>
      <c r="V7">
        <v>107</v>
      </c>
      <c r="W7" t="s">
        <v>36</v>
      </c>
      <c r="AB7" t="s">
        <v>7485</v>
      </c>
      <c r="AC7">
        <v>701</v>
      </c>
      <c r="AD7">
        <v>702</v>
      </c>
      <c r="AE7">
        <v>703</v>
      </c>
      <c r="AF7">
        <v>704</v>
      </c>
      <c r="AG7">
        <v>705</v>
      </c>
      <c r="AH7">
        <v>706</v>
      </c>
      <c r="AI7">
        <v>707</v>
      </c>
      <c r="AJ7">
        <v>708</v>
      </c>
      <c r="AK7">
        <v>709</v>
      </c>
    </row>
    <row r="8" spans="1:52" x14ac:dyDescent="0.25">
      <c r="A8">
        <v>213</v>
      </c>
      <c r="B8" t="s">
        <v>165</v>
      </c>
      <c r="C8" t="s">
        <v>165</v>
      </c>
      <c r="D8" t="s">
        <v>23</v>
      </c>
      <c r="G8" t="s">
        <v>116</v>
      </c>
      <c r="H8" t="s">
        <v>148</v>
      </c>
      <c r="I8" t="s">
        <v>116</v>
      </c>
      <c r="K8" t="s">
        <v>160</v>
      </c>
      <c r="M8" t="s">
        <v>7353</v>
      </c>
      <c r="P8">
        <v>1255</v>
      </c>
      <c r="Q8" t="s">
        <v>32</v>
      </c>
      <c r="R8" t="s">
        <v>30</v>
      </c>
      <c r="S8" t="s">
        <v>144</v>
      </c>
      <c r="U8" t="s">
        <v>144</v>
      </c>
      <c r="V8">
        <v>108</v>
      </c>
      <c r="W8" t="s">
        <v>37</v>
      </c>
      <c r="AB8" t="s">
        <v>7486</v>
      </c>
      <c r="AC8">
        <v>801</v>
      </c>
      <c r="AD8">
        <v>802</v>
      </c>
      <c r="AE8">
        <v>803</v>
      </c>
      <c r="AF8">
        <v>804</v>
      </c>
    </row>
    <row r="9" spans="1:52" x14ac:dyDescent="0.25">
      <c r="A9">
        <v>214</v>
      </c>
      <c r="B9" t="s">
        <v>166</v>
      </c>
      <c r="C9" t="s">
        <v>166</v>
      </c>
      <c r="D9" t="s">
        <v>23</v>
      </c>
      <c r="G9" t="s">
        <v>121</v>
      </c>
      <c r="H9" t="s">
        <v>149</v>
      </c>
      <c r="I9" t="s">
        <v>121</v>
      </c>
      <c r="K9" t="s">
        <v>161</v>
      </c>
      <c r="L9">
        <v>1</v>
      </c>
      <c r="M9" t="e">
        <f>+VLOOKUP(Darstellung,$K$9:$L$10,2,FALSE)</f>
        <v>#REF!</v>
      </c>
      <c r="P9">
        <v>1212</v>
      </c>
      <c r="Q9" t="s">
        <v>32</v>
      </c>
      <c r="R9" t="s">
        <v>30</v>
      </c>
      <c r="S9" t="s">
        <v>144</v>
      </c>
      <c r="U9" t="s">
        <v>144</v>
      </c>
      <c r="V9">
        <v>109</v>
      </c>
      <c r="W9" t="s">
        <v>38</v>
      </c>
      <c r="AB9" t="s">
        <v>7487</v>
      </c>
      <c r="AC9">
        <v>901</v>
      </c>
      <c r="AD9">
        <v>902</v>
      </c>
      <c r="AE9">
        <v>903</v>
      </c>
      <c r="AF9">
        <v>904</v>
      </c>
      <c r="AG9">
        <v>905</v>
      </c>
      <c r="AH9">
        <v>906</v>
      </c>
      <c r="AI9">
        <v>907</v>
      </c>
      <c r="AJ9">
        <v>908</v>
      </c>
      <c r="AK9">
        <v>909</v>
      </c>
      <c r="AL9">
        <v>910</v>
      </c>
      <c r="AM9">
        <v>911</v>
      </c>
      <c r="AN9">
        <v>912</v>
      </c>
      <c r="AO9">
        <v>913</v>
      </c>
      <c r="AP9">
        <v>914</v>
      </c>
      <c r="AQ9">
        <v>915</v>
      </c>
      <c r="AR9">
        <v>916</v>
      </c>
      <c r="AS9">
        <v>917</v>
      </c>
      <c r="AT9">
        <v>918</v>
      </c>
      <c r="AU9">
        <v>919</v>
      </c>
      <c r="AV9">
        <v>920</v>
      </c>
      <c r="AW9">
        <v>921</v>
      </c>
      <c r="AX9">
        <v>922</v>
      </c>
      <c r="AY9">
        <v>923</v>
      </c>
    </row>
    <row r="10" spans="1:52" x14ac:dyDescent="0.25">
      <c r="A10">
        <v>215</v>
      </c>
      <c r="B10" t="s">
        <v>167</v>
      </c>
      <c r="C10" t="s">
        <v>167</v>
      </c>
      <c r="D10" t="s">
        <v>24</v>
      </c>
      <c r="K10" t="s">
        <v>162</v>
      </c>
      <c r="L10">
        <v>0</v>
      </c>
      <c r="P10">
        <v>2192</v>
      </c>
      <c r="Q10" t="s">
        <v>32</v>
      </c>
      <c r="R10" t="s">
        <v>30</v>
      </c>
      <c r="S10" t="s">
        <v>144</v>
      </c>
      <c r="U10" t="s">
        <v>144</v>
      </c>
      <c r="V10">
        <v>102</v>
      </c>
      <c r="W10" t="s">
        <v>7422</v>
      </c>
    </row>
    <row r="11" spans="1:52" x14ac:dyDescent="0.25">
      <c r="A11">
        <v>216</v>
      </c>
      <c r="B11" t="s">
        <v>16</v>
      </c>
      <c r="C11" t="s">
        <v>16</v>
      </c>
      <c r="D11" t="s">
        <v>24</v>
      </c>
      <c r="P11">
        <v>1400</v>
      </c>
      <c r="Q11" t="s">
        <v>32</v>
      </c>
      <c r="R11" t="s">
        <v>30</v>
      </c>
      <c r="S11" t="s">
        <v>144</v>
      </c>
      <c r="U11" t="s">
        <v>145</v>
      </c>
      <c r="V11">
        <v>210</v>
      </c>
      <c r="W11" t="s">
        <v>48</v>
      </c>
    </row>
    <row r="12" spans="1:52" x14ac:dyDescent="0.25">
      <c r="A12">
        <v>221</v>
      </c>
      <c r="B12" t="s">
        <v>169</v>
      </c>
      <c r="C12" t="s">
        <v>17</v>
      </c>
      <c r="D12" t="s">
        <v>23</v>
      </c>
      <c r="P12">
        <v>3640</v>
      </c>
      <c r="Q12" t="s">
        <v>32</v>
      </c>
      <c r="R12" t="s">
        <v>30</v>
      </c>
      <c r="S12" t="s">
        <v>144</v>
      </c>
      <c r="U12" t="s">
        <v>145</v>
      </c>
      <c r="V12">
        <v>203</v>
      </c>
      <c r="W12" t="s">
        <v>42</v>
      </c>
    </row>
    <row r="13" spans="1:52" x14ac:dyDescent="0.25">
      <c r="A13">
        <v>222</v>
      </c>
      <c r="B13" t="s">
        <v>169</v>
      </c>
      <c r="C13" t="s">
        <v>18</v>
      </c>
      <c r="D13" t="s">
        <v>23</v>
      </c>
      <c r="P13">
        <v>1741</v>
      </c>
      <c r="Q13" t="s">
        <v>32</v>
      </c>
      <c r="R13" t="s">
        <v>30</v>
      </c>
      <c r="S13" t="s">
        <v>144</v>
      </c>
      <c r="U13" t="s">
        <v>145</v>
      </c>
      <c r="V13">
        <v>204</v>
      </c>
      <c r="W13" t="s">
        <v>43</v>
      </c>
    </row>
    <row r="14" spans="1:52" x14ac:dyDescent="0.25">
      <c r="A14">
        <v>223</v>
      </c>
      <c r="B14" t="s">
        <v>169</v>
      </c>
      <c r="C14" t="s">
        <v>174</v>
      </c>
      <c r="D14" t="s">
        <v>23</v>
      </c>
      <c r="P14">
        <v>1291</v>
      </c>
      <c r="Q14" t="s">
        <v>32</v>
      </c>
      <c r="R14" t="s">
        <v>30</v>
      </c>
      <c r="S14" t="s">
        <v>144</v>
      </c>
      <c r="U14" t="s">
        <v>145</v>
      </c>
      <c r="V14">
        <v>201</v>
      </c>
      <c r="W14" t="s">
        <v>39</v>
      </c>
    </row>
    <row r="15" spans="1:52" x14ac:dyDescent="0.25">
      <c r="A15">
        <v>224</v>
      </c>
      <c r="B15" t="s">
        <v>169</v>
      </c>
      <c r="C15" t="s">
        <v>19</v>
      </c>
      <c r="D15" t="s">
        <v>23</v>
      </c>
      <c r="P15">
        <v>2925</v>
      </c>
      <c r="Q15" t="s">
        <v>32</v>
      </c>
      <c r="R15" t="s">
        <v>30</v>
      </c>
      <c r="S15" t="s">
        <v>144</v>
      </c>
      <c r="U15" t="s">
        <v>145</v>
      </c>
      <c r="V15">
        <v>205</v>
      </c>
      <c r="W15" t="s">
        <v>44</v>
      </c>
    </row>
    <row r="16" spans="1:52" x14ac:dyDescent="0.25">
      <c r="D16" t="s">
        <v>23</v>
      </c>
      <c r="P16">
        <v>2691</v>
      </c>
      <c r="Q16" t="s">
        <v>32</v>
      </c>
      <c r="R16" t="s">
        <v>30</v>
      </c>
      <c r="S16" t="s">
        <v>144</v>
      </c>
      <c r="U16" t="s">
        <v>145</v>
      </c>
      <c r="V16">
        <v>206</v>
      </c>
      <c r="W16" t="s">
        <v>10</v>
      </c>
    </row>
    <row r="17" spans="2:23" x14ac:dyDescent="0.25">
      <c r="F17" t="s">
        <v>7356</v>
      </c>
      <c r="P17">
        <v>1436</v>
      </c>
      <c r="Q17" t="s">
        <v>32</v>
      </c>
      <c r="R17" t="s">
        <v>30</v>
      </c>
      <c r="S17" t="s">
        <v>144</v>
      </c>
      <c r="U17" t="s">
        <v>145</v>
      </c>
      <c r="V17">
        <v>207</v>
      </c>
      <c r="W17" t="s">
        <v>45</v>
      </c>
    </row>
    <row r="18" spans="2:23" x14ac:dyDescent="0.25">
      <c r="E18" s="1"/>
      <c r="F18" s="1"/>
      <c r="G18" s="1"/>
      <c r="P18">
        <v>3203</v>
      </c>
      <c r="Q18" t="s">
        <v>32</v>
      </c>
      <c r="R18" t="s">
        <v>30</v>
      </c>
      <c r="S18" t="s">
        <v>144</v>
      </c>
      <c r="U18" t="s">
        <v>145</v>
      </c>
      <c r="V18">
        <v>202</v>
      </c>
      <c r="W18" t="s">
        <v>41</v>
      </c>
    </row>
    <row r="19" spans="2:23" x14ac:dyDescent="0.25">
      <c r="E19" s="1"/>
      <c r="F19" s="14"/>
      <c r="G19" s="1"/>
      <c r="P19">
        <v>2992</v>
      </c>
      <c r="Q19" t="s">
        <v>32</v>
      </c>
      <c r="R19" t="s">
        <v>30</v>
      </c>
      <c r="S19" t="s">
        <v>144</v>
      </c>
      <c r="U19" t="s">
        <v>145</v>
      </c>
      <c r="V19">
        <v>208</v>
      </c>
      <c r="W19" t="s">
        <v>46</v>
      </c>
    </row>
    <row r="20" spans="2:23" x14ac:dyDescent="0.25">
      <c r="E20" s="1"/>
      <c r="F20" s="1"/>
      <c r="G20" s="1"/>
      <c r="P20">
        <v>2083</v>
      </c>
      <c r="Q20" t="s">
        <v>32</v>
      </c>
      <c r="R20" t="s">
        <v>30</v>
      </c>
      <c r="S20" t="s">
        <v>144</v>
      </c>
      <c r="U20" t="s">
        <v>145</v>
      </c>
      <c r="V20">
        <v>209</v>
      </c>
      <c r="W20" t="s">
        <v>47</v>
      </c>
    </row>
    <row r="21" spans="2:23" x14ac:dyDescent="0.25">
      <c r="E21" s="1"/>
      <c r="F21" s="14"/>
      <c r="G21" s="1"/>
      <c r="P21">
        <v>1717</v>
      </c>
      <c r="Q21" t="s">
        <v>32</v>
      </c>
      <c r="R21" t="s">
        <v>30</v>
      </c>
      <c r="S21" t="s">
        <v>144</v>
      </c>
      <c r="U21" t="s">
        <v>7355</v>
      </c>
      <c r="V21">
        <v>305</v>
      </c>
      <c r="W21" t="s">
        <v>54</v>
      </c>
    </row>
    <row r="22" spans="2:23" x14ac:dyDescent="0.25">
      <c r="E22" s="1"/>
      <c r="F22" s="1"/>
      <c r="G22" s="1"/>
      <c r="P22">
        <v>1974</v>
      </c>
      <c r="Q22" t="s">
        <v>32</v>
      </c>
      <c r="R22" t="s">
        <v>30</v>
      </c>
      <c r="S22" t="s">
        <v>144</v>
      </c>
      <c r="U22" t="s">
        <v>7355</v>
      </c>
      <c r="V22">
        <v>306</v>
      </c>
      <c r="W22" t="s">
        <v>55</v>
      </c>
    </row>
    <row r="23" spans="2:23" x14ac:dyDescent="0.25">
      <c r="P23">
        <v>501</v>
      </c>
      <c r="Q23" t="s">
        <v>32</v>
      </c>
      <c r="R23" t="s">
        <v>30</v>
      </c>
      <c r="S23" t="s">
        <v>144</v>
      </c>
      <c r="U23" t="s">
        <v>7355</v>
      </c>
      <c r="V23">
        <v>307</v>
      </c>
      <c r="W23" t="s">
        <v>56</v>
      </c>
    </row>
    <row r="24" spans="2:23" x14ac:dyDescent="0.25">
      <c r="P24">
        <v>825</v>
      </c>
      <c r="Q24" t="s">
        <v>32</v>
      </c>
      <c r="R24" t="s">
        <v>30</v>
      </c>
      <c r="S24" t="s">
        <v>144</v>
      </c>
      <c r="U24" t="s">
        <v>7355</v>
      </c>
      <c r="V24">
        <v>308</v>
      </c>
      <c r="W24" t="s">
        <v>57</v>
      </c>
    </row>
    <row r="25" spans="2:23" x14ac:dyDescent="0.25">
      <c r="B25" s="5" t="s">
        <v>7357</v>
      </c>
      <c r="P25">
        <v>990</v>
      </c>
      <c r="Q25" t="s">
        <v>32</v>
      </c>
      <c r="R25" t="s">
        <v>30</v>
      </c>
      <c r="S25" t="s">
        <v>144</v>
      </c>
      <c r="U25" t="s">
        <v>7355</v>
      </c>
      <c r="V25">
        <v>309</v>
      </c>
      <c r="W25" t="s">
        <v>58</v>
      </c>
    </row>
    <row r="26" spans="2:23" x14ac:dyDescent="0.25">
      <c r="B26" t="s">
        <v>7358</v>
      </c>
      <c r="P26">
        <v>1114</v>
      </c>
      <c r="Q26" t="s">
        <v>32</v>
      </c>
      <c r="R26" t="s">
        <v>30</v>
      </c>
      <c r="S26" t="s">
        <v>144</v>
      </c>
      <c r="U26" t="s">
        <v>7355</v>
      </c>
      <c r="V26">
        <v>310</v>
      </c>
      <c r="W26" t="s">
        <v>59</v>
      </c>
    </row>
    <row r="27" spans="2:23" x14ac:dyDescent="0.25">
      <c r="P27">
        <v>804</v>
      </c>
      <c r="Q27" t="s">
        <v>33</v>
      </c>
      <c r="R27" t="s">
        <v>30</v>
      </c>
      <c r="S27" t="s">
        <v>144</v>
      </c>
      <c r="U27" t="s">
        <v>7355</v>
      </c>
      <c r="V27">
        <v>311</v>
      </c>
      <c r="W27" t="s">
        <v>60</v>
      </c>
    </row>
    <row r="28" spans="2:23" x14ac:dyDescent="0.25">
      <c r="P28">
        <v>1327</v>
      </c>
      <c r="Q28" t="s">
        <v>33</v>
      </c>
      <c r="R28" t="s">
        <v>30</v>
      </c>
      <c r="S28" t="s">
        <v>144</v>
      </c>
      <c r="U28" t="s">
        <v>7355</v>
      </c>
      <c r="V28">
        <v>312</v>
      </c>
      <c r="W28" t="s">
        <v>61</v>
      </c>
    </row>
    <row r="29" spans="2:23" x14ac:dyDescent="0.25">
      <c r="P29">
        <v>921</v>
      </c>
      <c r="Q29" t="s">
        <v>33</v>
      </c>
      <c r="R29" t="s">
        <v>30</v>
      </c>
      <c r="S29" t="s">
        <v>144</v>
      </c>
      <c r="U29" t="s">
        <v>7355</v>
      </c>
      <c r="V29">
        <v>313</v>
      </c>
      <c r="W29" t="s">
        <v>7424</v>
      </c>
    </row>
    <row r="30" spans="2:23" x14ac:dyDescent="0.25">
      <c r="P30">
        <v>1024</v>
      </c>
      <c r="Q30" t="s">
        <v>33</v>
      </c>
      <c r="R30" t="s">
        <v>30</v>
      </c>
      <c r="S30" t="s">
        <v>144</v>
      </c>
      <c r="U30" t="s">
        <v>7355</v>
      </c>
      <c r="V30">
        <v>301</v>
      </c>
      <c r="W30" t="s">
        <v>7423</v>
      </c>
    </row>
    <row r="31" spans="2:23" x14ac:dyDescent="0.25">
      <c r="P31">
        <v>3578</v>
      </c>
      <c r="Q31" t="s">
        <v>33</v>
      </c>
      <c r="R31" t="s">
        <v>30</v>
      </c>
      <c r="S31" t="s">
        <v>144</v>
      </c>
      <c r="U31" t="s">
        <v>7355</v>
      </c>
      <c r="V31">
        <v>314</v>
      </c>
      <c r="W31" t="s">
        <v>63</v>
      </c>
    </row>
    <row r="32" spans="2:23" x14ac:dyDescent="0.25">
      <c r="P32">
        <v>871</v>
      </c>
      <c r="Q32" t="s">
        <v>33</v>
      </c>
      <c r="R32" t="s">
        <v>30</v>
      </c>
      <c r="S32" t="s">
        <v>144</v>
      </c>
      <c r="U32" t="s">
        <v>7355</v>
      </c>
      <c r="V32">
        <v>315</v>
      </c>
      <c r="W32" t="s">
        <v>64</v>
      </c>
    </row>
    <row r="33" spans="1:23" x14ac:dyDescent="0.25">
      <c r="P33">
        <v>743</v>
      </c>
      <c r="Q33" t="s">
        <v>33</v>
      </c>
      <c r="R33" t="s">
        <v>30</v>
      </c>
      <c r="S33" t="s">
        <v>144</v>
      </c>
      <c r="U33" t="s">
        <v>7355</v>
      </c>
      <c r="V33">
        <v>316</v>
      </c>
      <c r="W33" t="s">
        <v>65</v>
      </c>
    </row>
    <row r="34" spans="1:23" x14ac:dyDescent="0.25">
      <c r="P34">
        <v>2012</v>
      </c>
      <c r="Q34" t="s">
        <v>33</v>
      </c>
      <c r="R34" t="s">
        <v>30</v>
      </c>
      <c r="S34" t="s">
        <v>144</v>
      </c>
      <c r="U34" t="s">
        <v>7355</v>
      </c>
      <c r="V34">
        <v>317</v>
      </c>
      <c r="W34" t="s">
        <v>66</v>
      </c>
    </row>
    <row r="35" spans="1:23" x14ac:dyDescent="0.25">
      <c r="P35">
        <v>957</v>
      </c>
      <c r="Q35" t="s">
        <v>33</v>
      </c>
      <c r="R35" t="s">
        <v>30</v>
      </c>
      <c r="S35" t="s">
        <v>144</v>
      </c>
      <c r="U35" t="s">
        <v>7355</v>
      </c>
      <c r="V35">
        <v>318</v>
      </c>
      <c r="W35" t="s">
        <v>67</v>
      </c>
    </row>
    <row r="36" spans="1:23" x14ac:dyDescent="0.25">
      <c r="A36" t="s">
        <v>7419</v>
      </c>
      <c r="P36">
        <v>447</v>
      </c>
      <c r="Q36" t="s">
        <v>33</v>
      </c>
      <c r="R36" t="s">
        <v>30</v>
      </c>
      <c r="S36" t="s">
        <v>144</v>
      </c>
      <c r="U36" t="s">
        <v>7355</v>
      </c>
      <c r="V36">
        <v>319</v>
      </c>
      <c r="W36" t="s">
        <v>7425</v>
      </c>
    </row>
    <row r="37" spans="1:23" x14ac:dyDescent="0.25">
      <c r="E37" t="s">
        <v>7417</v>
      </c>
      <c r="F37" t="s">
        <v>156</v>
      </c>
      <c r="P37">
        <v>1458</v>
      </c>
      <c r="Q37" t="s">
        <v>33</v>
      </c>
      <c r="R37" t="s">
        <v>30</v>
      </c>
      <c r="S37" t="s">
        <v>144</v>
      </c>
      <c r="U37" t="s">
        <v>7355</v>
      </c>
      <c r="V37">
        <v>302</v>
      </c>
      <c r="W37" t="s">
        <v>7426</v>
      </c>
    </row>
    <row r="38" spans="1:23" x14ac:dyDescent="0.25">
      <c r="A38" t="s">
        <v>7355</v>
      </c>
      <c r="B38">
        <v>24</v>
      </c>
      <c r="E38" t="s">
        <v>144</v>
      </c>
      <c r="F38" t="s">
        <v>30</v>
      </c>
      <c r="P38">
        <v>921</v>
      </c>
      <c r="Q38" t="s">
        <v>33</v>
      </c>
      <c r="R38" t="s">
        <v>30</v>
      </c>
      <c r="S38" t="s">
        <v>144</v>
      </c>
      <c r="U38" t="s">
        <v>7355</v>
      </c>
      <c r="V38">
        <v>320</v>
      </c>
      <c r="W38" t="s">
        <v>69</v>
      </c>
    </row>
    <row r="39" spans="1:23" x14ac:dyDescent="0.25">
      <c r="A39" t="s">
        <v>149</v>
      </c>
      <c r="B39">
        <v>23</v>
      </c>
      <c r="E39" t="s">
        <v>145</v>
      </c>
      <c r="F39" t="s">
        <v>40</v>
      </c>
      <c r="P39">
        <v>986</v>
      </c>
      <c r="Q39" t="s">
        <v>33</v>
      </c>
      <c r="R39" t="s">
        <v>30</v>
      </c>
      <c r="S39" t="s">
        <v>144</v>
      </c>
      <c r="U39" t="s">
        <v>7355</v>
      </c>
      <c r="V39">
        <v>321</v>
      </c>
      <c r="W39" t="s">
        <v>70</v>
      </c>
    </row>
    <row r="40" spans="1:23" x14ac:dyDescent="0.25">
      <c r="A40" t="s">
        <v>7354</v>
      </c>
      <c r="B40">
        <v>18</v>
      </c>
      <c r="E40" t="s">
        <v>7355</v>
      </c>
      <c r="F40" t="s">
        <v>50</v>
      </c>
      <c r="P40">
        <v>2701</v>
      </c>
      <c r="Q40" t="s">
        <v>33</v>
      </c>
      <c r="R40" t="s">
        <v>30</v>
      </c>
      <c r="S40" t="s">
        <v>144</v>
      </c>
      <c r="U40" t="s">
        <v>7355</v>
      </c>
      <c r="V40">
        <v>322</v>
      </c>
      <c r="W40" t="s">
        <v>71</v>
      </c>
    </row>
    <row r="41" spans="1:23" x14ac:dyDescent="0.25">
      <c r="A41" t="s">
        <v>150</v>
      </c>
      <c r="B41">
        <v>13</v>
      </c>
      <c r="E41" t="s">
        <v>7354</v>
      </c>
      <c r="F41" t="s">
        <v>75</v>
      </c>
      <c r="P41">
        <v>1205</v>
      </c>
      <c r="Q41" t="s">
        <v>33</v>
      </c>
      <c r="R41" t="s">
        <v>30</v>
      </c>
      <c r="S41" t="s">
        <v>144</v>
      </c>
      <c r="U41" t="s">
        <v>7355</v>
      </c>
      <c r="V41">
        <v>303</v>
      </c>
      <c r="W41" t="s">
        <v>7427</v>
      </c>
    </row>
    <row r="42" spans="1:23" x14ac:dyDescent="0.25">
      <c r="A42" t="s">
        <v>145</v>
      </c>
      <c r="B42">
        <v>10</v>
      </c>
      <c r="E42" t="s">
        <v>146</v>
      </c>
      <c r="F42" t="s">
        <v>93</v>
      </c>
      <c r="P42">
        <v>886</v>
      </c>
      <c r="Q42" t="s">
        <v>33</v>
      </c>
      <c r="R42" t="s">
        <v>30</v>
      </c>
      <c r="S42" t="s">
        <v>144</v>
      </c>
      <c r="U42" t="s">
        <v>7355</v>
      </c>
      <c r="V42">
        <v>323</v>
      </c>
      <c r="W42" t="s">
        <v>7428</v>
      </c>
    </row>
    <row r="43" spans="1:23" x14ac:dyDescent="0.25">
      <c r="A43" t="s">
        <v>144</v>
      </c>
      <c r="B43">
        <v>9</v>
      </c>
      <c r="E43" t="s">
        <v>150</v>
      </c>
      <c r="F43" t="s">
        <v>101</v>
      </c>
      <c r="P43">
        <v>1351</v>
      </c>
      <c r="Q43" t="s">
        <v>33</v>
      </c>
      <c r="R43" t="s">
        <v>30</v>
      </c>
      <c r="S43" t="s">
        <v>144</v>
      </c>
      <c r="U43" t="s">
        <v>7355</v>
      </c>
      <c r="V43">
        <v>304</v>
      </c>
      <c r="W43" t="s">
        <v>7429</v>
      </c>
    </row>
    <row r="44" spans="1:23" x14ac:dyDescent="0.25">
      <c r="A44" t="s">
        <v>147</v>
      </c>
      <c r="B44">
        <v>9</v>
      </c>
      <c r="E44" t="s">
        <v>147</v>
      </c>
      <c r="F44" t="s">
        <v>114</v>
      </c>
      <c r="P44">
        <v>363</v>
      </c>
      <c r="Q44" t="s">
        <v>33</v>
      </c>
      <c r="R44" t="s">
        <v>30</v>
      </c>
      <c r="S44" t="s">
        <v>144</v>
      </c>
      <c r="U44" t="s">
        <v>7355</v>
      </c>
      <c r="V44">
        <v>325</v>
      </c>
      <c r="W44" t="s">
        <v>73</v>
      </c>
    </row>
    <row r="45" spans="1:23" x14ac:dyDescent="0.25">
      <c r="A45" t="s">
        <v>146</v>
      </c>
      <c r="B45">
        <v>6</v>
      </c>
      <c r="E45" t="s">
        <v>148</v>
      </c>
      <c r="F45" t="s">
        <v>116</v>
      </c>
      <c r="P45">
        <v>481</v>
      </c>
      <c r="Q45" t="s">
        <v>33</v>
      </c>
      <c r="R45" t="s">
        <v>30</v>
      </c>
      <c r="S45" t="s">
        <v>144</v>
      </c>
      <c r="U45" t="s">
        <v>7354</v>
      </c>
      <c r="V45">
        <v>404</v>
      </c>
      <c r="W45" t="s">
        <v>78</v>
      </c>
    </row>
    <row r="46" spans="1:23" x14ac:dyDescent="0.25">
      <c r="A46" t="s">
        <v>148</v>
      </c>
      <c r="B46">
        <v>4</v>
      </c>
      <c r="E46" t="s">
        <v>149</v>
      </c>
      <c r="F46" t="s">
        <v>121</v>
      </c>
      <c r="P46">
        <v>233</v>
      </c>
      <c r="Q46" t="s">
        <v>33</v>
      </c>
      <c r="R46" t="s">
        <v>30</v>
      </c>
      <c r="S46" t="s">
        <v>144</v>
      </c>
      <c r="U46" t="s">
        <v>7354</v>
      </c>
      <c r="V46">
        <v>405</v>
      </c>
      <c r="W46" t="s">
        <v>79</v>
      </c>
    </row>
    <row r="47" spans="1:23" x14ac:dyDescent="0.25">
      <c r="A47" t="s">
        <v>157</v>
      </c>
      <c r="B47">
        <v>116</v>
      </c>
      <c r="P47">
        <v>330</v>
      </c>
      <c r="Q47" t="s">
        <v>33</v>
      </c>
      <c r="R47" t="s">
        <v>30</v>
      </c>
      <c r="S47" t="s">
        <v>144</v>
      </c>
      <c r="U47" t="s">
        <v>7354</v>
      </c>
      <c r="V47">
        <v>406</v>
      </c>
      <c r="W47" t="s">
        <v>80</v>
      </c>
    </row>
    <row r="48" spans="1:23" x14ac:dyDescent="0.25">
      <c r="P48">
        <v>231</v>
      </c>
      <c r="Q48" t="s">
        <v>33</v>
      </c>
      <c r="R48" t="s">
        <v>30</v>
      </c>
      <c r="S48" t="s">
        <v>144</v>
      </c>
      <c r="U48" t="s">
        <v>7354</v>
      </c>
      <c r="V48">
        <v>407</v>
      </c>
      <c r="W48" t="s">
        <v>81</v>
      </c>
    </row>
    <row r="49" spans="16:23" x14ac:dyDescent="0.25">
      <c r="P49">
        <v>65</v>
      </c>
      <c r="Q49" t="s">
        <v>33</v>
      </c>
      <c r="R49" t="s">
        <v>30</v>
      </c>
      <c r="S49" t="s">
        <v>144</v>
      </c>
      <c r="U49" t="s">
        <v>7354</v>
      </c>
      <c r="V49">
        <v>408</v>
      </c>
      <c r="W49" t="s">
        <v>82</v>
      </c>
    </row>
    <row r="50" spans="16:23" x14ac:dyDescent="0.25">
      <c r="P50">
        <v>224</v>
      </c>
      <c r="Q50" t="s">
        <v>33</v>
      </c>
      <c r="R50" t="s">
        <v>30</v>
      </c>
      <c r="S50" t="s">
        <v>144</v>
      </c>
      <c r="U50" t="s">
        <v>7354</v>
      </c>
      <c r="V50">
        <v>409</v>
      </c>
      <c r="W50" t="s">
        <v>83</v>
      </c>
    </row>
    <row r="51" spans="16:23" x14ac:dyDescent="0.25">
      <c r="P51">
        <v>367</v>
      </c>
      <c r="Q51" t="s">
        <v>33</v>
      </c>
      <c r="R51" t="s">
        <v>30</v>
      </c>
      <c r="S51" t="s">
        <v>144</v>
      </c>
      <c r="U51" t="s">
        <v>7354</v>
      </c>
      <c r="V51">
        <v>410</v>
      </c>
      <c r="W51" t="s">
        <v>84</v>
      </c>
    </row>
    <row r="52" spans="16:23" x14ac:dyDescent="0.25">
      <c r="P52">
        <v>341</v>
      </c>
      <c r="Q52" t="s">
        <v>33</v>
      </c>
      <c r="R52" t="s">
        <v>30</v>
      </c>
      <c r="S52" t="s">
        <v>144</v>
      </c>
      <c r="U52" t="s">
        <v>7354</v>
      </c>
      <c r="V52">
        <v>411</v>
      </c>
      <c r="W52" t="s">
        <v>85</v>
      </c>
    </row>
    <row r="53" spans="16:23" x14ac:dyDescent="0.25">
      <c r="P53">
        <v>454</v>
      </c>
      <c r="Q53" t="s">
        <v>33</v>
      </c>
      <c r="R53" t="s">
        <v>30</v>
      </c>
      <c r="S53" t="s">
        <v>144</v>
      </c>
      <c r="U53" t="s">
        <v>7354</v>
      </c>
      <c r="V53">
        <v>412</v>
      </c>
      <c r="W53" t="s">
        <v>86</v>
      </c>
    </row>
    <row r="54" spans="16:23" x14ac:dyDescent="0.25">
      <c r="P54">
        <v>387</v>
      </c>
      <c r="Q54" t="s">
        <v>33</v>
      </c>
      <c r="R54" t="s">
        <v>30</v>
      </c>
      <c r="S54" t="s">
        <v>144</v>
      </c>
      <c r="U54" t="s">
        <v>7354</v>
      </c>
      <c r="V54">
        <v>413</v>
      </c>
      <c r="W54" t="s">
        <v>87</v>
      </c>
    </row>
    <row r="55" spans="16:23" x14ac:dyDescent="0.25">
      <c r="P55">
        <v>1752</v>
      </c>
      <c r="Q55" t="s">
        <v>34</v>
      </c>
      <c r="R55" t="s">
        <v>30</v>
      </c>
      <c r="S55" t="s">
        <v>144</v>
      </c>
      <c r="U55" t="s">
        <v>7354</v>
      </c>
      <c r="V55">
        <v>414</v>
      </c>
      <c r="W55" t="s">
        <v>88</v>
      </c>
    </row>
    <row r="56" spans="16:23" x14ac:dyDescent="0.25">
      <c r="P56">
        <v>903</v>
      </c>
      <c r="Q56" t="s">
        <v>34</v>
      </c>
      <c r="R56" t="s">
        <v>30</v>
      </c>
      <c r="S56" t="s">
        <v>144</v>
      </c>
      <c r="U56" t="s">
        <v>7354</v>
      </c>
      <c r="V56">
        <v>401</v>
      </c>
      <c r="W56" t="s">
        <v>74</v>
      </c>
    </row>
    <row r="57" spans="16:23" x14ac:dyDescent="0.25">
      <c r="P57">
        <v>1262</v>
      </c>
      <c r="Q57" t="s">
        <v>34</v>
      </c>
      <c r="R57" t="s">
        <v>30</v>
      </c>
      <c r="S57" t="s">
        <v>144</v>
      </c>
      <c r="U57" t="s">
        <v>7354</v>
      </c>
      <c r="V57">
        <v>402</v>
      </c>
      <c r="W57" t="s">
        <v>76</v>
      </c>
    </row>
    <row r="58" spans="16:23" x14ac:dyDescent="0.25">
      <c r="P58">
        <v>4154</v>
      </c>
      <c r="Q58" t="s">
        <v>34</v>
      </c>
      <c r="R58" t="s">
        <v>30</v>
      </c>
      <c r="S58" t="s">
        <v>144</v>
      </c>
      <c r="U58" t="s">
        <v>7354</v>
      </c>
      <c r="V58">
        <v>403</v>
      </c>
      <c r="W58" t="s">
        <v>77</v>
      </c>
    </row>
    <row r="59" spans="16:23" x14ac:dyDescent="0.25">
      <c r="P59">
        <v>1057</v>
      </c>
      <c r="Q59" t="s">
        <v>34</v>
      </c>
      <c r="R59" t="s">
        <v>30</v>
      </c>
      <c r="S59" t="s">
        <v>144</v>
      </c>
      <c r="U59" t="s">
        <v>7354</v>
      </c>
      <c r="V59">
        <v>415</v>
      </c>
      <c r="W59" t="s">
        <v>89</v>
      </c>
    </row>
    <row r="60" spans="16:23" x14ac:dyDescent="0.25">
      <c r="P60">
        <v>1136</v>
      </c>
      <c r="Q60" t="s">
        <v>34</v>
      </c>
      <c r="R60" t="s">
        <v>30</v>
      </c>
      <c r="S60" t="s">
        <v>144</v>
      </c>
      <c r="U60" t="s">
        <v>7354</v>
      </c>
      <c r="V60">
        <v>416</v>
      </c>
      <c r="W60" t="s">
        <v>90</v>
      </c>
    </row>
    <row r="61" spans="16:23" x14ac:dyDescent="0.25">
      <c r="P61">
        <v>917</v>
      </c>
      <c r="Q61" t="s">
        <v>34</v>
      </c>
      <c r="R61" t="s">
        <v>30</v>
      </c>
      <c r="S61" t="s">
        <v>144</v>
      </c>
      <c r="U61" t="s">
        <v>7354</v>
      </c>
      <c r="V61">
        <v>417</v>
      </c>
      <c r="W61" t="s">
        <v>91</v>
      </c>
    </row>
    <row r="62" spans="16:23" x14ac:dyDescent="0.25">
      <c r="P62">
        <v>2165</v>
      </c>
      <c r="Q62" t="s">
        <v>34</v>
      </c>
      <c r="R62" t="s">
        <v>30</v>
      </c>
      <c r="S62" t="s">
        <v>144</v>
      </c>
      <c r="U62" t="s">
        <v>7354</v>
      </c>
      <c r="V62">
        <v>418</v>
      </c>
      <c r="W62" t="s">
        <v>92</v>
      </c>
    </row>
    <row r="63" spans="16:23" x14ac:dyDescent="0.25">
      <c r="P63">
        <v>1956</v>
      </c>
      <c r="Q63" t="s">
        <v>34</v>
      </c>
      <c r="R63" t="s">
        <v>30</v>
      </c>
      <c r="S63" t="s">
        <v>144</v>
      </c>
      <c r="U63" t="s">
        <v>146</v>
      </c>
      <c r="V63">
        <v>502</v>
      </c>
      <c r="W63" t="s">
        <v>95</v>
      </c>
    </row>
    <row r="64" spans="16:23" x14ac:dyDescent="0.25">
      <c r="P64">
        <v>703</v>
      </c>
      <c r="Q64" t="s">
        <v>34</v>
      </c>
      <c r="R64" t="s">
        <v>30</v>
      </c>
      <c r="S64" t="s">
        <v>144</v>
      </c>
      <c r="U64" t="s">
        <v>146</v>
      </c>
      <c r="V64">
        <v>501</v>
      </c>
      <c r="W64" t="s">
        <v>7430</v>
      </c>
    </row>
    <row r="65" spans="16:23" x14ac:dyDescent="0.25">
      <c r="P65">
        <v>768</v>
      </c>
      <c r="Q65" t="s">
        <v>34</v>
      </c>
      <c r="R65" t="s">
        <v>30</v>
      </c>
      <c r="S65" t="s">
        <v>144</v>
      </c>
      <c r="U65" t="s">
        <v>146</v>
      </c>
      <c r="V65">
        <v>503</v>
      </c>
      <c r="W65" t="s">
        <v>96</v>
      </c>
    </row>
    <row r="66" spans="16:23" x14ac:dyDescent="0.25">
      <c r="P66">
        <v>385</v>
      </c>
      <c r="Q66" t="s">
        <v>34</v>
      </c>
      <c r="R66" t="s">
        <v>30</v>
      </c>
      <c r="S66" t="s">
        <v>144</v>
      </c>
      <c r="U66" t="s">
        <v>146</v>
      </c>
      <c r="V66">
        <v>504</v>
      </c>
      <c r="W66" t="s">
        <v>97</v>
      </c>
    </row>
    <row r="67" spans="16:23" x14ac:dyDescent="0.25">
      <c r="P67">
        <v>1244</v>
      </c>
      <c r="Q67" t="s">
        <v>35</v>
      </c>
      <c r="R67" t="s">
        <v>30</v>
      </c>
      <c r="S67" t="s">
        <v>144</v>
      </c>
      <c r="U67" t="s">
        <v>146</v>
      </c>
      <c r="V67">
        <v>505</v>
      </c>
      <c r="W67" t="s">
        <v>98</v>
      </c>
    </row>
    <row r="68" spans="16:23" x14ac:dyDescent="0.25">
      <c r="P68">
        <v>2802</v>
      </c>
      <c r="Q68" t="s">
        <v>35</v>
      </c>
      <c r="R68" t="s">
        <v>30</v>
      </c>
      <c r="S68" t="s">
        <v>144</v>
      </c>
      <c r="U68" t="s">
        <v>146</v>
      </c>
      <c r="V68">
        <v>506</v>
      </c>
      <c r="W68" t="s">
        <v>99</v>
      </c>
    </row>
    <row r="69" spans="16:23" x14ac:dyDescent="0.25">
      <c r="P69">
        <v>1037</v>
      </c>
      <c r="Q69" t="s">
        <v>35</v>
      </c>
      <c r="R69" t="s">
        <v>30</v>
      </c>
      <c r="S69" t="s">
        <v>144</v>
      </c>
      <c r="U69" t="s">
        <v>150</v>
      </c>
      <c r="V69">
        <v>621</v>
      </c>
      <c r="W69" t="s">
        <v>111</v>
      </c>
    </row>
    <row r="70" spans="16:23" x14ac:dyDescent="0.25">
      <c r="P70">
        <v>1194</v>
      </c>
      <c r="Q70" t="s">
        <v>35</v>
      </c>
      <c r="R70" t="s">
        <v>30</v>
      </c>
      <c r="S70" t="s">
        <v>144</v>
      </c>
      <c r="U70" t="s">
        <v>150</v>
      </c>
      <c r="V70">
        <v>603</v>
      </c>
      <c r="W70" t="s">
        <v>102</v>
      </c>
    </row>
    <row r="71" spans="16:23" x14ac:dyDescent="0.25">
      <c r="P71">
        <v>2111</v>
      </c>
      <c r="Q71" t="s">
        <v>35</v>
      </c>
      <c r="R71" t="s">
        <v>30</v>
      </c>
      <c r="S71" t="s">
        <v>144</v>
      </c>
      <c r="U71" t="s">
        <v>150</v>
      </c>
      <c r="V71">
        <v>601</v>
      </c>
      <c r="W71" t="s">
        <v>7431</v>
      </c>
    </row>
    <row r="72" spans="16:23" x14ac:dyDescent="0.25">
      <c r="P72">
        <v>7558</v>
      </c>
      <c r="Q72" t="s">
        <v>35</v>
      </c>
      <c r="R72" t="s">
        <v>30</v>
      </c>
      <c r="S72" t="s">
        <v>144</v>
      </c>
      <c r="U72" t="s">
        <v>150</v>
      </c>
      <c r="V72">
        <v>606</v>
      </c>
      <c r="W72" t="s">
        <v>103</v>
      </c>
    </row>
    <row r="73" spans="16:23" x14ac:dyDescent="0.25">
      <c r="P73">
        <v>4853</v>
      </c>
      <c r="Q73" t="s">
        <v>35</v>
      </c>
      <c r="R73" t="s">
        <v>30</v>
      </c>
      <c r="S73" t="s">
        <v>144</v>
      </c>
      <c r="U73" t="s">
        <v>150</v>
      </c>
      <c r="V73">
        <v>622</v>
      </c>
      <c r="W73" t="s">
        <v>112</v>
      </c>
    </row>
    <row r="74" spans="16:23" x14ac:dyDescent="0.25">
      <c r="P74">
        <v>771</v>
      </c>
      <c r="Q74" t="s">
        <v>35</v>
      </c>
      <c r="R74" t="s">
        <v>30</v>
      </c>
      <c r="S74" t="s">
        <v>144</v>
      </c>
      <c r="U74" t="s">
        <v>150</v>
      </c>
      <c r="V74">
        <v>610</v>
      </c>
      <c r="W74" t="s">
        <v>104</v>
      </c>
    </row>
    <row r="75" spans="16:23" x14ac:dyDescent="0.25">
      <c r="P75">
        <v>2985</v>
      </c>
      <c r="Q75" t="s">
        <v>35</v>
      </c>
      <c r="R75" t="s">
        <v>30</v>
      </c>
      <c r="S75" t="s">
        <v>144</v>
      </c>
      <c r="U75" t="s">
        <v>150</v>
      </c>
      <c r="V75">
        <v>611</v>
      </c>
      <c r="W75" t="s">
        <v>105</v>
      </c>
    </row>
    <row r="76" spans="16:23" x14ac:dyDescent="0.25">
      <c r="P76">
        <v>2614</v>
      </c>
      <c r="Q76" t="s">
        <v>35</v>
      </c>
      <c r="R76" t="s">
        <v>30</v>
      </c>
      <c r="S76" t="s">
        <v>144</v>
      </c>
      <c r="U76" t="s">
        <v>150</v>
      </c>
      <c r="V76">
        <v>612</v>
      </c>
      <c r="W76" t="s">
        <v>106</v>
      </c>
    </row>
    <row r="77" spans="16:23" x14ac:dyDescent="0.25">
      <c r="P77">
        <v>2252</v>
      </c>
      <c r="Q77" t="s">
        <v>35</v>
      </c>
      <c r="R77" t="s">
        <v>30</v>
      </c>
      <c r="S77" t="s">
        <v>144</v>
      </c>
      <c r="U77" t="s">
        <v>150</v>
      </c>
      <c r="V77">
        <v>614</v>
      </c>
      <c r="W77" t="s">
        <v>107</v>
      </c>
    </row>
    <row r="78" spans="16:23" x14ac:dyDescent="0.25">
      <c r="P78">
        <v>2397</v>
      </c>
      <c r="Q78" t="s">
        <v>35</v>
      </c>
      <c r="R78" t="s">
        <v>30</v>
      </c>
      <c r="S78" t="s">
        <v>144</v>
      </c>
      <c r="U78" t="s">
        <v>150</v>
      </c>
      <c r="V78">
        <v>620</v>
      </c>
      <c r="W78" t="s">
        <v>110</v>
      </c>
    </row>
    <row r="79" spans="16:23" x14ac:dyDescent="0.25">
      <c r="P79">
        <v>1269</v>
      </c>
      <c r="Q79" t="s">
        <v>35</v>
      </c>
      <c r="R79" t="s">
        <v>30</v>
      </c>
      <c r="S79" t="s">
        <v>144</v>
      </c>
      <c r="U79" t="s">
        <v>150</v>
      </c>
      <c r="V79">
        <v>623</v>
      </c>
      <c r="W79" t="s">
        <v>113</v>
      </c>
    </row>
    <row r="80" spans="16:23" x14ac:dyDescent="0.25">
      <c r="P80">
        <v>1157</v>
      </c>
      <c r="Q80" t="s">
        <v>35</v>
      </c>
      <c r="R80" t="s">
        <v>30</v>
      </c>
      <c r="S80" t="s">
        <v>144</v>
      </c>
      <c r="U80" t="s">
        <v>150</v>
      </c>
      <c r="V80">
        <v>616</v>
      </c>
      <c r="W80" t="s">
        <v>108</v>
      </c>
    </row>
    <row r="81" spans="16:23" x14ac:dyDescent="0.25">
      <c r="P81">
        <v>2758</v>
      </c>
      <c r="Q81" t="s">
        <v>35</v>
      </c>
      <c r="R81" t="s">
        <v>30</v>
      </c>
      <c r="S81" t="s">
        <v>144</v>
      </c>
      <c r="U81" t="s">
        <v>150</v>
      </c>
      <c r="V81">
        <v>617</v>
      </c>
      <c r="W81" t="s">
        <v>109</v>
      </c>
    </row>
    <row r="82" spans="16:23" x14ac:dyDescent="0.25">
      <c r="P82">
        <v>783</v>
      </c>
      <c r="Q82" t="s">
        <v>35</v>
      </c>
      <c r="R82" t="s">
        <v>30</v>
      </c>
      <c r="S82" t="s">
        <v>144</v>
      </c>
      <c r="U82" t="s">
        <v>147</v>
      </c>
      <c r="V82">
        <v>702</v>
      </c>
      <c r="W82" t="s">
        <v>1</v>
      </c>
    </row>
    <row r="83" spans="16:23" x14ac:dyDescent="0.25">
      <c r="P83">
        <v>912</v>
      </c>
      <c r="Q83" t="s">
        <v>35</v>
      </c>
      <c r="R83" t="s">
        <v>30</v>
      </c>
      <c r="S83" t="s">
        <v>144</v>
      </c>
      <c r="U83" t="s">
        <v>147</v>
      </c>
      <c r="V83">
        <v>703</v>
      </c>
      <c r="W83" t="s">
        <v>2</v>
      </c>
    </row>
    <row r="84" spans="16:23" x14ac:dyDescent="0.25">
      <c r="P84">
        <v>1255</v>
      </c>
      <c r="Q84" t="s">
        <v>35</v>
      </c>
      <c r="R84" t="s">
        <v>30</v>
      </c>
      <c r="S84" t="s">
        <v>144</v>
      </c>
      <c r="U84" t="s">
        <v>147</v>
      </c>
      <c r="V84">
        <v>701</v>
      </c>
      <c r="W84" t="s">
        <v>3</v>
      </c>
    </row>
    <row r="85" spans="16:23" x14ac:dyDescent="0.25">
      <c r="P85">
        <v>641</v>
      </c>
      <c r="Q85" t="s">
        <v>35</v>
      </c>
      <c r="R85" t="s">
        <v>30</v>
      </c>
      <c r="S85" t="s">
        <v>144</v>
      </c>
      <c r="U85" t="s">
        <v>147</v>
      </c>
      <c r="V85">
        <v>704</v>
      </c>
      <c r="W85" t="s">
        <v>9</v>
      </c>
    </row>
    <row r="86" spans="16:23" x14ac:dyDescent="0.25">
      <c r="P86">
        <v>2254</v>
      </c>
      <c r="Q86" t="s">
        <v>36</v>
      </c>
      <c r="R86" t="s">
        <v>30</v>
      </c>
      <c r="S86" t="s">
        <v>144</v>
      </c>
      <c r="U86" t="s">
        <v>147</v>
      </c>
      <c r="V86">
        <v>705</v>
      </c>
      <c r="W86" t="s">
        <v>4</v>
      </c>
    </row>
    <row r="87" spans="16:23" x14ac:dyDescent="0.25">
      <c r="P87">
        <v>1734</v>
      </c>
      <c r="Q87" t="s">
        <v>36</v>
      </c>
      <c r="R87" t="s">
        <v>30</v>
      </c>
      <c r="S87" t="s">
        <v>144</v>
      </c>
      <c r="U87" t="s">
        <v>147</v>
      </c>
      <c r="V87">
        <v>706</v>
      </c>
      <c r="W87" t="s">
        <v>5</v>
      </c>
    </row>
    <row r="88" spans="16:23" x14ac:dyDescent="0.25">
      <c r="P88">
        <v>3042</v>
      </c>
      <c r="Q88" t="s">
        <v>36</v>
      </c>
      <c r="R88" t="s">
        <v>30</v>
      </c>
      <c r="S88" t="s">
        <v>144</v>
      </c>
      <c r="U88" t="s">
        <v>147</v>
      </c>
      <c r="V88">
        <v>707</v>
      </c>
      <c r="W88" t="s">
        <v>6</v>
      </c>
    </row>
    <row r="89" spans="16:23" x14ac:dyDescent="0.25">
      <c r="P89">
        <v>656</v>
      </c>
      <c r="Q89" t="s">
        <v>36</v>
      </c>
      <c r="R89" t="s">
        <v>30</v>
      </c>
      <c r="S89" t="s">
        <v>144</v>
      </c>
      <c r="U89" t="s">
        <v>147</v>
      </c>
      <c r="V89">
        <v>708</v>
      </c>
      <c r="W89" t="s">
        <v>7</v>
      </c>
    </row>
    <row r="90" spans="16:23" x14ac:dyDescent="0.25">
      <c r="P90">
        <v>2875</v>
      </c>
      <c r="Q90" t="s">
        <v>36</v>
      </c>
      <c r="R90" t="s">
        <v>30</v>
      </c>
      <c r="S90" t="s">
        <v>144</v>
      </c>
      <c r="U90" t="s">
        <v>147</v>
      </c>
      <c r="V90">
        <v>709</v>
      </c>
      <c r="W90" t="s">
        <v>8</v>
      </c>
    </row>
    <row r="91" spans="16:23" x14ac:dyDescent="0.25">
      <c r="P91">
        <v>1442</v>
      </c>
      <c r="Q91" t="s">
        <v>36</v>
      </c>
      <c r="R91" t="s">
        <v>30</v>
      </c>
      <c r="S91" t="s">
        <v>144</v>
      </c>
      <c r="U91" t="s">
        <v>148</v>
      </c>
      <c r="V91">
        <v>801</v>
      </c>
      <c r="W91" t="s">
        <v>115</v>
      </c>
    </row>
    <row r="92" spans="16:23" x14ac:dyDescent="0.25">
      <c r="P92">
        <v>3960</v>
      </c>
      <c r="Q92" t="s">
        <v>36</v>
      </c>
      <c r="R92" t="s">
        <v>30</v>
      </c>
      <c r="S92" t="s">
        <v>144</v>
      </c>
      <c r="U92" t="s">
        <v>148</v>
      </c>
      <c r="V92">
        <v>802</v>
      </c>
      <c r="W92" t="s">
        <v>117</v>
      </c>
    </row>
    <row r="93" spans="16:23" x14ac:dyDescent="0.25">
      <c r="P93">
        <v>1926</v>
      </c>
      <c r="Q93" t="s">
        <v>36</v>
      </c>
      <c r="R93" t="s">
        <v>30</v>
      </c>
      <c r="S93" t="s">
        <v>144</v>
      </c>
      <c r="U93" t="s">
        <v>148</v>
      </c>
      <c r="V93">
        <v>803</v>
      </c>
      <c r="W93" t="s">
        <v>118</v>
      </c>
    </row>
    <row r="94" spans="16:23" x14ac:dyDescent="0.25">
      <c r="P94">
        <v>2372</v>
      </c>
      <c r="Q94" t="s">
        <v>36</v>
      </c>
      <c r="R94" t="s">
        <v>30</v>
      </c>
      <c r="S94" t="s">
        <v>144</v>
      </c>
      <c r="U94" t="s">
        <v>148</v>
      </c>
      <c r="V94">
        <v>804</v>
      </c>
      <c r="W94" t="s">
        <v>119</v>
      </c>
    </row>
    <row r="95" spans="16:23" x14ac:dyDescent="0.25">
      <c r="P95">
        <v>1626</v>
      </c>
      <c r="Q95" t="s">
        <v>36</v>
      </c>
      <c r="R95" t="s">
        <v>30</v>
      </c>
      <c r="S95" t="s">
        <v>144</v>
      </c>
      <c r="U95" t="s">
        <v>149</v>
      </c>
      <c r="V95">
        <v>901</v>
      </c>
      <c r="W95" t="s">
        <v>120</v>
      </c>
    </row>
    <row r="96" spans="16:23" x14ac:dyDescent="0.25">
      <c r="P96">
        <v>3506</v>
      </c>
      <c r="Q96" t="s">
        <v>36</v>
      </c>
      <c r="R96" t="s">
        <v>30</v>
      </c>
      <c r="S96" t="s">
        <v>144</v>
      </c>
      <c r="U96" t="s">
        <v>149</v>
      </c>
      <c r="V96">
        <v>902</v>
      </c>
      <c r="W96" t="s">
        <v>122</v>
      </c>
    </row>
    <row r="97" spans="16:23" x14ac:dyDescent="0.25">
      <c r="P97">
        <v>2194</v>
      </c>
      <c r="Q97" t="s">
        <v>36</v>
      </c>
      <c r="R97" t="s">
        <v>30</v>
      </c>
      <c r="S97" t="s">
        <v>144</v>
      </c>
      <c r="U97" t="s">
        <v>149</v>
      </c>
      <c r="V97">
        <v>903</v>
      </c>
      <c r="W97" t="s">
        <v>123</v>
      </c>
    </row>
    <row r="98" spans="16:23" x14ac:dyDescent="0.25">
      <c r="P98">
        <v>8657</v>
      </c>
      <c r="Q98" t="s">
        <v>36</v>
      </c>
      <c r="R98" t="s">
        <v>30</v>
      </c>
      <c r="S98" t="s">
        <v>144</v>
      </c>
      <c r="U98" t="s">
        <v>149</v>
      </c>
      <c r="V98">
        <v>904</v>
      </c>
      <c r="W98" t="s">
        <v>124</v>
      </c>
    </row>
    <row r="99" spans="16:23" x14ac:dyDescent="0.25">
      <c r="P99">
        <v>1830</v>
      </c>
      <c r="Q99" t="s">
        <v>36</v>
      </c>
      <c r="R99" t="s">
        <v>30</v>
      </c>
      <c r="S99" t="s">
        <v>144</v>
      </c>
      <c r="U99" t="s">
        <v>149</v>
      </c>
      <c r="V99">
        <v>905</v>
      </c>
      <c r="W99" t="s">
        <v>125</v>
      </c>
    </row>
    <row r="100" spans="16:23" x14ac:dyDescent="0.25">
      <c r="P100">
        <v>1250</v>
      </c>
      <c r="Q100" t="s">
        <v>36</v>
      </c>
      <c r="R100" t="s">
        <v>30</v>
      </c>
      <c r="S100" t="s">
        <v>144</v>
      </c>
      <c r="U100" t="s">
        <v>149</v>
      </c>
      <c r="V100">
        <v>906</v>
      </c>
      <c r="W100" t="s">
        <v>126</v>
      </c>
    </row>
    <row r="101" spans="16:23" x14ac:dyDescent="0.25">
      <c r="P101">
        <v>1547</v>
      </c>
      <c r="Q101" t="s">
        <v>36</v>
      </c>
      <c r="R101" t="s">
        <v>30</v>
      </c>
      <c r="S101" t="s">
        <v>144</v>
      </c>
      <c r="U101" t="s">
        <v>149</v>
      </c>
      <c r="V101">
        <v>907</v>
      </c>
      <c r="W101" t="s">
        <v>127</v>
      </c>
    </row>
    <row r="102" spans="16:23" x14ac:dyDescent="0.25">
      <c r="P102">
        <v>5209</v>
      </c>
      <c r="Q102" t="s">
        <v>36</v>
      </c>
      <c r="R102" t="s">
        <v>30</v>
      </c>
      <c r="S102" t="s">
        <v>144</v>
      </c>
      <c r="U102" t="s">
        <v>149</v>
      </c>
      <c r="V102">
        <v>908</v>
      </c>
      <c r="W102" t="s">
        <v>128</v>
      </c>
    </row>
    <row r="103" spans="16:23" x14ac:dyDescent="0.25">
      <c r="P103">
        <v>2137</v>
      </c>
      <c r="Q103" t="s">
        <v>36</v>
      </c>
      <c r="R103" t="s">
        <v>30</v>
      </c>
      <c r="S103" t="s">
        <v>144</v>
      </c>
      <c r="U103" t="s">
        <v>149</v>
      </c>
      <c r="V103">
        <v>909</v>
      </c>
      <c r="W103" t="s">
        <v>129</v>
      </c>
    </row>
    <row r="104" spans="16:23" x14ac:dyDescent="0.25">
      <c r="P104">
        <v>1381</v>
      </c>
      <c r="Q104" t="s">
        <v>36</v>
      </c>
      <c r="R104" t="s">
        <v>30</v>
      </c>
      <c r="S104" t="s">
        <v>144</v>
      </c>
      <c r="U104" t="s">
        <v>149</v>
      </c>
      <c r="V104">
        <v>910</v>
      </c>
      <c r="W104" t="s">
        <v>130</v>
      </c>
    </row>
    <row r="105" spans="16:23" x14ac:dyDescent="0.25">
      <c r="P105">
        <v>1162</v>
      </c>
      <c r="Q105" t="s">
        <v>36</v>
      </c>
      <c r="R105" t="s">
        <v>30</v>
      </c>
      <c r="S105" t="s">
        <v>144</v>
      </c>
      <c r="U105" t="s">
        <v>149</v>
      </c>
      <c r="V105">
        <v>911</v>
      </c>
      <c r="W105" t="s">
        <v>131</v>
      </c>
    </row>
    <row r="106" spans="16:23" x14ac:dyDescent="0.25">
      <c r="P106">
        <v>1664</v>
      </c>
      <c r="Q106" t="s">
        <v>36</v>
      </c>
      <c r="R106" t="s">
        <v>30</v>
      </c>
      <c r="S106" t="s">
        <v>144</v>
      </c>
      <c r="U106" t="s">
        <v>149</v>
      </c>
      <c r="V106">
        <v>912</v>
      </c>
      <c r="W106" t="s">
        <v>132</v>
      </c>
    </row>
    <row r="107" spans="16:23" x14ac:dyDescent="0.25">
      <c r="P107">
        <v>2555</v>
      </c>
      <c r="Q107" t="s">
        <v>36</v>
      </c>
      <c r="R107" t="s">
        <v>30</v>
      </c>
      <c r="S107" t="s">
        <v>144</v>
      </c>
      <c r="U107" t="s">
        <v>149</v>
      </c>
      <c r="V107">
        <v>913</v>
      </c>
      <c r="W107" t="s">
        <v>133</v>
      </c>
    </row>
    <row r="108" spans="16:23" x14ac:dyDescent="0.25">
      <c r="P108">
        <v>1390</v>
      </c>
      <c r="Q108" t="s">
        <v>36</v>
      </c>
      <c r="R108" t="s">
        <v>30</v>
      </c>
      <c r="S108" t="s">
        <v>144</v>
      </c>
      <c r="U108" t="s">
        <v>149</v>
      </c>
      <c r="V108">
        <v>914</v>
      </c>
      <c r="W108" t="s">
        <v>134</v>
      </c>
    </row>
    <row r="109" spans="16:23" x14ac:dyDescent="0.25">
      <c r="P109">
        <v>2267</v>
      </c>
      <c r="Q109" t="s">
        <v>36</v>
      </c>
      <c r="R109" t="s">
        <v>30</v>
      </c>
      <c r="S109" t="s">
        <v>144</v>
      </c>
      <c r="U109" t="s">
        <v>149</v>
      </c>
      <c r="V109">
        <v>915</v>
      </c>
      <c r="W109" t="s">
        <v>135</v>
      </c>
    </row>
    <row r="110" spans="16:23" x14ac:dyDescent="0.25">
      <c r="P110">
        <v>735</v>
      </c>
      <c r="Q110" t="s">
        <v>36</v>
      </c>
      <c r="R110" t="s">
        <v>30</v>
      </c>
      <c r="S110" t="s">
        <v>144</v>
      </c>
      <c r="U110" t="s">
        <v>149</v>
      </c>
      <c r="V110">
        <v>916</v>
      </c>
      <c r="W110" t="s">
        <v>136</v>
      </c>
    </row>
    <row r="111" spans="16:23" x14ac:dyDescent="0.25">
      <c r="P111">
        <v>636</v>
      </c>
      <c r="Q111" t="s">
        <v>36</v>
      </c>
      <c r="R111" t="s">
        <v>30</v>
      </c>
      <c r="S111" t="s">
        <v>144</v>
      </c>
      <c r="U111" t="s">
        <v>149</v>
      </c>
      <c r="V111">
        <v>917</v>
      </c>
      <c r="W111" t="s">
        <v>137</v>
      </c>
    </row>
    <row r="112" spans="16:23" x14ac:dyDescent="0.25">
      <c r="P112">
        <v>799</v>
      </c>
      <c r="Q112" t="s">
        <v>36</v>
      </c>
      <c r="R112" t="s">
        <v>30</v>
      </c>
      <c r="S112" t="s">
        <v>144</v>
      </c>
      <c r="U112" t="s">
        <v>149</v>
      </c>
      <c r="V112">
        <v>918</v>
      </c>
      <c r="W112" t="s">
        <v>138</v>
      </c>
    </row>
    <row r="113" spans="16:23" x14ac:dyDescent="0.25">
      <c r="P113">
        <v>3160</v>
      </c>
      <c r="Q113" t="s">
        <v>37</v>
      </c>
      <c r="R113" t="s">
        <v>30</v>
      </c>
      <c r="S113" t="s">
        <v>144</v>
      </c>
      <c r="U113" t="s">
        <v>149</v>
      </c>
      <c r="V113">
        <v>919</v>
      </c>
      <c r="W113" t="s">
        <v>139</v>
      </c>
    </row>
    <row r="114" spans="16:23" x14ac:dyDescent="0.25">
      <c r="P114">
        <v>1359</v>
      </c>
      <c r="Q114" t="s">
        <v>37</v>
      </c>
      <c r="R114" t="s">
        <v>30</v>
      </c>
      <c r="S114" t="s">
        <v>144</v>
      </c>
      <c r="U114" t="s">
        <v>149</v>
      </c>
      <c r="V114">
        <v>920</v>
      </c>
      <c r="W114" t="s">
        <v>140</v>
      </c>
    </row>
    <row r="115" spans="16:23" x14ac:dyDescent="0.25">
      <c r="P115">
        <v>1057</v>
      </c>
      <c r="Q115" t="s">
        <v>37</v>
      </c>
      <c r="R115" t="s">
        <v>30</v>
      </c>
      <c r="S115" t="s">
        <v>144</v>
      </c>
      <c r="U115" t="s">
        <v>149</v>
      </c>
      <c r="V115">
        <v>921</v>
      </c>
      <c r="W115" t="s">
        <v>141</v>
      </c>
    </row>
    <row r="116" spans="16:23" x14ac:dyDescent="0.25">
      <c r="P116">
        <v>1351</v>
      </c>
      <c r="Q116" t="s">
        <v>37</v>
      </c>
      <c r="R116" t="s">
        <v>30</v>
      </c>
      <c r="S116" t="s">
        <v>144</v>
      </c>
      <c r="U116" t="s">
        <v>149</v>
      </c>
      <c r="V116">
        <v>922</v>
      </c>
      <c r="W116" t="s">
        <v>142</v>
      </c>
    </row>
    <row r="117" spans="16:23" x14ac:dyDescent="0.25">
      <c r="P117">
        <v>1827</v>
      </c>
      <c r="Q117" t="s">
        <v>37</v>
      </c>
      <c r="R117" t="s">
        <v>30</v>
      </c>
      <c r="S117" t="s">
        <v>144</v>
      </c>
      <c r="U117" t="s">
        <v>149</v>
      </c>
      <c r="V117">
        <v>923</v>
      </c>
      <c r="W117" t="s">
        <v>143</v>
      </c>
    </row>
    <row r="118" spans="16:23" x14ac:dyDescent="0.25">
      <c r="P118">
        <v>606</v>
      </c>
      <c r="Q118" t="s">
        <v>37</v>
      </c>
      <c r="R118" t="s">
        <v>30</v>
      </c>
      <c r="S118" t="s">
        <v>144</v>
      </c>
    </row>
    <row r="119" spans="16:23" x14ac:dyDescent="0.25">
      <c r="P119">
        <v>1896</v>
      </c>
      <c r="Q119" t="s">
        <v>37</v>
      </c>
      <c r="R119" t="s">
        <v>30</v>
      </c>
      <c r="S119" t="s">
        <v>144</v>
      </c>
    </row>
    <row r="120" spans="16:23" x14ac:dyDescent="0.25">
      <c r="P120">
        <v>1154</v>
      </c>
      <c r="Q120" t="s">
        <v>37</v>
      </c>
      <c r="R120" t="s">
        <v>30</v>
      </c>
      <c r="S120" t="s">
        <v>144</v>
      </c>
    </row>
    <row r="121" spans="16:23" x14ac:dyDescent="0.25">
      <c r="P121">
        <v>2017</v>
      </c>
      <c r="Q121" t="s">
        <v>37</v>
      </c>
      <c r="R121" t="s">
        <v>30</v>
      </c>
      <c r="S121" t="s">
        <v>144</v>
      </c>
    </row>
    <row r="122" spans="16:23" x14ac:dyDescent="0.25">
      <c r="P122">
        <v>828</v>
      </c>
      <c r="Q122" t="s">
        <v>37</v>
      </c>
      <c r="R122" t="s">
        <v>30</v>
      </c>
      <c r="S122" t="s">
        <v>144</v>
      </c>
    </row>
    <row r="123" spans="16:23" x14ac:dyDescent="0.25">
      <c r="P123">
        <v>1777</v>
      </c>
      <c r="Q123" t="s">
        <v>37</v>
      </c>
      <c r="R123" t="s">
        <v>30</v>
      </c>
      <c r="S123" t="s">
        <v>144</v>
      </c>
    </row>
    <row r="124" spans="16:23" x14ac:dyDescent="0.25">
      <c r="P124">
        <v>1273</v>
      </c>
      <c r="Q124" t="s">
        <v>37</v>
      </c>
      <c r="R124" t="s">
        <v>30</v>
      </c>
      <c r="S124" t="s">
        <v>144</v>
      </c>
    </row>
    <row r="125" spans="16:23" x14ac:dyDescent="0.25">
      <c r="P125">
        <v>1658</v>
      </c>
      <c r="Q125" t="s">
        <v>37</v>
      </c>
      <c r="R125" t="s">
        <v>30</v>
      </c>
      <c r="S125" t="s">
        <v>144</v>
      </c>
    </row>
    <row r="126" spans="16:23" x14ac:dyDescent="0.25">
      <c r="P126">
        <v>1128</v>
      </c>
      <c r="Q126" t="s">
        <v>37</v>
      </c>
      <c r="R126" t="s">
        <v>30</v>
      </c>
      <c r="S126" t="s">
        <v>144</v>
      </c>
    </row>
    <row r="127" spans="16:23" x14ac:dyDescent="0.25">
      <c r="P127">
        <v>1413</v>
      </c>
      <c r="Q127" t="s">
        <v>37</v>
      </c>
      <c r="R127" t="s">
        <v>30</v>
      </c>
      <c r="S127" t="s">
        <v>144</v>
      </c>
    </row>
    <row r="128" spans="16:23" x14ac:dyDescent="0.25">
      <c r="P128">
        <v>3259</v>
      </c>
      <c r="Q128" t="s">
        <v>37</v>
      </c>
      <c r="R128" t="s">
        <v>30</v>
      </c>
      <c r="S128" t="s">
        <v>144</v>
      </c>
    </row>
    <row r="129" spans="16:19" x14ac:dyDescent="0.25">
      <c r="P129">
        <v>1606</v>
      </c>
      <c r="Q129" t="s">
        <v>37</v>
      </c>
      <c r="R129" t="s">
        <v>30</v>
      </c>
      <c r="S129" t="s">
        <v>144</v>
      </c>
    </row>
    <row r="130" spans="16:19" x14ac:dyDescent="0.25">
      <c r="P130">
        <v>843</v>
      </c>
      <c r="Q130" t="s">
        <v>37</v>
      </c>
      <c r="R130" t="s">
        <v>30</v>
      </c>
      <c r="S130" t="s">
        <v>144</v>
      </c>
    </row>
    <row r="131" spans="16:19" x14ac:dyDescent="0.25">
      <c r="P131">
        <v>895</v>
      </c>
      <c r="Q131" t="s">
        <v>37</v>
      </c>
      <c r="R131" t="s">
        <v>30</v>
      </c>
      <c r="S131" t="s">
        <v>144</v>
      </c>
    </row>
    <row r="132" spans="16:19" x14ac:dyDescent="0.25">
      <c r="P132">
        <v>908</v>
      </c>
      <c r="Q132" t="s">
        <v>37</v>
      </c>
      <c r="R132" t="s">
        <v>30</v>
      </c>
      <c r="S132" t="s">
        <v>144</v>
      </c>
    </row>
    <row r="133" spans="16:19" x14ac:dyDescent="0.25">
      <c r="P133">
        <v>1286</v>
      </c>
      <c r="Q133" t="s">
        <v>37</v>
      </c>
      <c r="R133" t="s">
        <v>30</v>
      </c>
      <c r="S133" t="s">
        <v>144</v>
      </c>
    </row>
    <row r="134" spans="16:19" x14ac:dyDescent="0.25">
      <c r="P134">
        <v>1359</v>
      </c>
      <c r="Q134" t="s">
        <v>37</v>
      </c>
      <c r="R134" t="s">
        <v>30</v>
      </c>
      <c r="S134" t="s">
        <v>144</v>
      </c>
    </row>
    <row r="135" spans="16:19" x14ac:dyDescent="0.25">
      <c r="P135">
        <v>1829</v>
      </c>
      <c r="Q135" t="s">
        <v>37</v>
      </c>
      <c r="R135" t="s">
        <v>30</v>
      </c>
      <c r="S135" t="s">
        <v>144</v>
      </c>
    </row>
    <row r="136" spans="16:19" x14ac:dyDescent="0.25">
      <c r="P136">
        <v>596</v>
      </c>
      <c r="Q136" t="s">
        <v>37</v>
      </c>
      <c r="R136" t="s">
        <v>30</v>
      </c>
      <c r="S136" t="s">
        <v>144</v>
      </c>
    </row>
    <row r="137" spans="16:19" x14ac:dyDescent="0.25">
      <c r="P137">
        <v>653</v>
      </c>
      <c r="Q137" t="s">
        <v>37</v>
      </c>
      <c r="R137" t="s">
        <v>30</v>
      </c>
      <c r="S137" t="s">
        <v>144</v>
      </c>
    </row>
    <row r="138" spans="16:19" x14ac:dyDescent="0.25">
      <c r="P138">
        <v>634</v>
      </c>
      <c r="Q138" t="s">
        <v>37</v>
      </c>
      <c r="R138" t="s">
        <v>30</v>
      </c>
      <c r="S138" t="s">
        <v>144</v>
      </c>
    </row>
    <row r="139" spans="16:19" x14ac:dyDescent="0.25">
      <c r="P139">
        <v>355</v>
      </c>
      <c r="Q139" t="s">
        <v>37</v>
      </c>
      <c r="R139" t="s">
        <v>30</v>
      </c>
      <c r="S139" t="s">
        <v>144</v>
      </c>
    </row>
    <row r="140" spans="16:19" x14ac:dyDescent="0.25">
      <c r="P140">
        <v>797</v>
      </c>
      <c r="Q140" t="s">
        <v>37</v>
      </c>
      <c r="R140" t="s">
        <v>30</v>
      </c>
      <c r="S140" t="s">
        <v>144</v>
      </c>
    </row>
    <row r="141" spans="16:19" x14ac:dyDescent="0.25">
      <c r="P141">
        <v>1628</v>
      </c>
      <c r="Q141" t="s">
        <v>38</v>
      </c>
      <c r="R141" t="s">
        <v>30</v>
      </c>
      <c r="S141" t="s">
        <v>144</v>
      </c>
    </row>
    <row r="142" spans="16:19" x14ac:dyDescent="0.25">
      <c r="P142">
        <v>2079</v>
      </c>
      <c r="Q142" t="s">
        <v>38</v>
      </c>
      <c r="R142" t="s">
        <v>30</v>
      </c>
      <c r="S142" t="s">
        <v>144</v>
      </c>
    </row>
    <row r="143" spans="16:19" x14ac:dyDescent="0.25">
      <c r="P143">
        <v>1079</v>
      </c>
      <c r="Q143" t="s">
        <v>38</v>
      </c>
      <c r="R143" t="s">
        <v>30</v>
      </c>
      <c r="S143" t="s">
        <v>144</v>
      </c>
    </row>
    <row r="144" spans="16:19" x14ac:dyDescent="0.25">
      <c r="P144">
        <v>1243</v>
      </c>
      <c r="Q144" t="s">
        <v>38</v>
      </c>
      <c r="R144" t="s">
        <v>30</v>
      </c>
      <c r="S144" t="s">
        <v>144</v>
      </c>
    </row>
    <row r="145" spans="16:19" x14ac:dyDescent="0.25">
      <c r="P145">
        <v>3560</v>
      </c>
      <c r="Q145" t="s">
        <v>38</v>
      </c>
      <c r="R145" t="s">
        <v>30</v>
      </c>
      <c r="S145" t="s">
        <v>144</v>
      </c>
    </row>
    <row r="146" spans="16:19" x14ac:dyDescent="0.25">
      <c r="P146">
        <v>741</v>
      </c>
      <c r="Q146" t="s">
        <v>38</v>
      </c>
      <c r="R146" t="s">
        <v>30</v>
      </c>
      <c r="S146" t="s">
        <v>144</v>
      </c>
    </row>
    <row r="147" spans="16:19" x14ac:dyDescent="0.25">
      <c r="P147">
        <v>1512</v>
      </c>
      <c r="Q147" t="s">
        <v>38</v>
      </c>
      <c r="R147" t="s">
        <v>30</v>
      </c>
      <c r="S147" t="s">
        <v>144</v>
      </c>
    </row>
    <row r="148" spans="16:19" x14ac:dyDescent="0.25">
      <c r="P148">
        <v>1467</v>
      </c>
      <c r="Q148" t="s">
        <v>38</v>
      </c>
      <c r="R148" t="s">
        <v>30</v>
      </c>
      <c r="S148" t="s">
        <v>144</v>
      </c>
    </row>
    <row r="149" spans="16:19" x14ac:dyDescent="0.25">
      <c r="P149">
        <v>1151</v>
      </c>
      <c r="Q149" t="s">
        <v>38</v>
      </c>
      <c r="R149" t="s">
        <v>30</v>
      </c>
      <c r="S149" t="s">
        <v>144</v>
      </c>
    </row>
    <row r="150" spans="16:19" x14ac:dyDescent="0.25">
      <c r="P150">
        <v>1339</v>
      </c>
      <c r="Q150" t="s">
        <v>38</v>
      </c>
      <c r="R150" t="s">
        <v>30</v>
      </c>
      <c r="S150" t="s">
        <v>144</v>
      </c>
    </row>
    <row r="151" spans="16:19" x14ac:dyDescent="0.25">
      <c r="P151">
        <v>1144</v>
      </c>
      <c r="Q151" t="s">
        <v>38</v>
      </c>
      <c r="R151" t="s">
        <v>30</v>
      </c>
      <c r="S151" t="s">
        <v>144</v>
      </c>
    </row>
    <row r="152" spans="16:19" x14ac:dyDescent="0.25">
      <c r="P152">
        <v>1910</v>
      </c>
      <c r="Q152" t="s">
        <v>38</v>
      </c>
      <c r="R152" t="s">
        <v>30</v>
      </c>
      <c r="S152" t="s">
        <v>144</v>
      </c>
    </row>
    <row r="153" spans="16:19" x14ac:dyDescent="0.25">
      <c r="P153">
        <v>662</v>
      </c>
      <c r="Q153" t="s">
        <v>38</v>
      </c>
      <c r="R153" t="s">
        <v>30</v>
      </c>
      <c r="S153" t="s">
        <v>144</v>
      </c>
    </row>
    <row r="154" spans="16:19" x14ac:dyDescent="0.25">
      <c r="P154">
        <v>1492</v>
      </c>
      <c r="Q154" t="s">
        <v>38</v>
      </c>
      <c r="R154" t="s">
        <v>30</v>
      </c>
      <c r="S154" t="s">
        <v>144</v>
      </c>
    </row>
    <row r="155" spans="16:19" x14ac:dyDescent="0.25">
      <c r="P155">
        <v>997</v>
      </c>
      <c r="Q155" t="s">
        <v>38</v>
      </c>
      <c r="R155" t="s">
        <v>30</v>
      </c>
      <c r="S155" t="s">
        <v>144</v>
      </c>
    </row>
    <row r="156" spans="16:19" x14ac:dyDescent="0.25">
      <c r="P156">
        <v>2457</v>
      </c>
      <c r="Q156" t="s">
        <v>38</v>
      </c>
      <c r="R156" t="s">
        <v>30</v>
      </c>
      <c r="S156" t="s">
        <v>144</v>
      </c>
    </row>
    <row r="157" spans="16:19" x14ac:dyDescent="0.25">
      <c r="P157">
        <v>7723</v>
      </c>
      <c r="Q157" t="s">
        <v>38</v>
      </c>
      <c r="R157" t="s">
        <v>30</v>
      </c>
      <c r="S157" t="s">
        <v>144</v>
      </c>
    </row>
    <row r="158" spans="16:19" x14ac:dyDescent="0.25">
      <c r="P158">
        <v>5915</v>
      </c>
      <c r="Q158" t="s">
        <v>38</v>
      </c>
      <c r="R158" t="s">
        <v>30</v>
      </c>
      <c r="S158" t="s">
        <v>144</v>
      </c>
    </row>
    <row r="159" spans="16:19" x14ac:dyDescent="0.25">
      <c r="P159">
        <v>2987</v>
      </c>
      <c r="Q159" t="s">
        <v>38</v>
      </c>
      <c r="R159" t="s">
        <v>30</v>
      </c>
      <c r="S159" t="s">
        <v>144</v>
      </c>
    </row>
    <row r="160" spans="16:19" x14ac:dyDescent="0.25">
      <c r="P160">
        <v>1639</v>
      </c>
      <c r="Q160" t="s">
        <v>38</v>
      </c>
      <c r="R160" t="s">
        <v>30</v>
      </c>
      <c r="S160" t="s">
        <v>144</v>
      </c>
    </row>
    <row r="161" spans="16:19" x14ac:dyDescent="0.25">
      <c r="P161">
        <v>1447</v>
      </c>
      <c r="Q161" t="s">
        <v>38</v>
      </c>
      <c r="R161" t="s">
        <v>30</v>
      </c>
      <c r="S161" t="s">
        <v>144</v>
      </c>
    </row>
    <row r="162" spans="16:19" x14ac:dyDescent="0.25">
      <c r="P162">
        <v>758</v>
      </c>
      <c r="Q162" t="s">
        <v>38</v>
      </c>
      <c r="R162" t="s">
        <v>30</v>
      </c>
      <c r="S162" t="s">
        <v>144</v>
      </c>
    </row>
    <row r="163" spans="16:19" x14ac:dyDescent="0.25">
      <c r="P163">
        <v>1980</v>
      </c>
      <c r="Q163" t="s">
        <v>38</v>
      </c>
      <c r="R163" t="s">
        <v>30</v>
      </c>
      <c r="S163" t="s">
        <v>144</v>
      </c>
    </row>
    <row r="164" spans="16:19" x14ac:dyDescent="0.25">
      <c r="P164">
        <v>972</v>
      </c>
      <c r="Q164" t="s">
        <v>38</v>
      </c>
      <c r="R164" t="s">
        <v>30</v>
      </c>
      <c r="S164" t="s">
        <v>144</v>
      </c>
    </row>
    <row r="165" spans="16:19" x14ac:dyDescent="0.25">
      <c r="P165">
        <v>967</v>
      </c>
      <c r="Q165" t="s">
        <v>38</v>
      </c>
      <c r="R165" t="s">
        <v>30</v>
      </c>
      <c r="S165" t="s">
        <v>144</v>
      </c>
    </row>
    <row r="166" spans="16:19" x14ac:dyDescent="0.25">
      <c r="P166">
        <v>809</v>
      </c>
      <c r="Q166" t="s">
        <v>38</v>
      </c>
      <c r="R166" t="s">
        <v>30</v>
      </c>
      <c r="S166" t="s">
        <v>144</v>
      </c>
    </row>
    <row r="167" spans="16:19" x14ac:dyDescent="0.25">
      <c r="P167">
        <v>1154</v>
      </c>
      <c r="Q167" t="s">
        <v>38</v>
      </c>
      <c r="R167" t="s">
        <v>30</v>
      </c>
      <c r="S167" t="s">
        <v>144</v>
      </c>
    </row>
    <row r="168" spans="16:19" x14ac:dyDescent="0.25">
      <c r="P168">
        <v>1450</v>
      </c>
      <c r="Q168" t="s">
        <v>38</v>
      </c>
      <c r="R168" t="s">
        <v>30</v>
      </c>
      <c r="S168" t="s">
        <v>144</v>
      </c>
    </row>
    <row r="169" spans="16:19" x14ac:dyDescent="0.25">
      <c r="P169">
        <v>792</v>
      </c>
      <c r="Q169" t="s">
        <v>38</v>
      </c>
      <c r="R169" t="s">
        <v>30</v>
      </c>
      <c r="S169" t="s">
        <v>144</v>
      </c>
    </row>
    <row r="170" spans="16:19" x14ac:dyDescent="0.25">
      <c r="P170">
        <v>752</v>
      </c>
      <c r="Q170" t="s">
        <v>38</v>
      </c>
      <c r="R170" t="s">
        <v>30</v>
      </c>
      <c r="S170" t="s">
        <v>144</v>
      </c>
    </row>
    <row r="171" spans="16:19" x14ac:dyDescent="0.25">
      <c r="P171">
        <v>279</v>
      </c>
      <c r="Q171" t="s">
        <v>38</v>
      </c>
      <c r="R171" t="s">
        <v>30</v>
      </c>
      <c r="S171" t="s">
        <v>144</v>
      </c>
    </row>
    <row r="172" spans="16:19" x14ac:dyDescent="0.25">
      <c r="P172">
        <v>268</v>
      </c>
      <c r="Q172" t="s">
        <v>38</v>
      </c>
      <c r="R172" t="s">
        <v>30</v>
      </c>
      <c r="S172" t="s">
        <v>144</v>
      </c>
    </row>
    <row r="173" spans="16:19" x14ac:dyDescent="0.25">
      <c r="P173">
        <v>102618</v>
      </c>
      <c r="Q173" t="s">
        <v>39</v>
      </c>
      <c r="R173" t="s">
        <v>40</v>
      </c>
      <c r="S173" t="s">
        <v>145</v>
      </c>
    </row>
    <row r="174" spans="16:19" x14ac:dyDescent="0.25">
      <c r="P174">
        <v>64071</v>
      </c>
      <c r="Q174" t="s">
        <v>41</v>
      </c>
      <c r="R174" t="s">
        <v>40</v>
      </c>
      <c r="S174" t="s">
        <v>145</v>
      </c>
    </row>
    <row r="175" spans="16:19" x14ac:dyDescent="0.25">
      <c r="P175">
        <v>1201</v>
      </c>
      <c r="Q175" t="s">
        <v>42</v>
      </c>
      <c r="R175" t="s">
        <v>40</v>
      </c>
      <c r="S175" t="s">
        <v>145</v>
      </c>
    </row>
    <row r="176" spans="16:19" x14ac:dyDescent="0.25">
      <c r="P176">
        <v>6921</v>
      </c>
      <c r="Q176" t="s">
        <v>42</v>
      </c>
      <c r="R176" t="s">
        <v>40</v>
      </c>
      <c r="S176" t="s">
        <v>145</v>
      </c>
    </row>
    <row r="177" spans="16:19" x14ac:dyDescent="0.25">
      <c r="P177">
        <v>2503</v>
      </c>
      <c r="Q177" t="s">
        <v>42</v>
      </c>
      <c r="R177" t="s">
        <v>40</v>
      </c>
      <c r="S177" t="s">
        <v>145</v>
      </c>
    </row>
    <row r="178" spans="16:19" x14ac:dyDescent="0.25">
      <c r="P178">
        <v>3310</v>
      </c>
      <c r="Q178" t="s">
        <v>42</v>
      </c>
      <c r="R178" t="s">
        <v>40</v>
      </c>
      <c r="S178" t="s">
        <v>145</v>
      </c>
    </row>
    <row r="179" spans="16:19" x14ac:dyDescent="0.25">
      <c r="P179">
        <v>1584</v>
      </c>
      <c r="Q179" t="s">
        <v>42</v>
      </c>
      <c r="R179" t="s">
        <v>40</v>
      </c>
      <c r="S179" t="s">
        <v>145</v>
      </c>
    </row>
    <row r="180" spans="16:19" x14ac:dyDescent="0.25">
      <c r="P180">
        <v>1235</v>
      </c>
      <c r="Q180" t="s">
        <v>42</v>
      </c>
      <c r="R180" t="s">
        <v>40</v>
      </c>
      <c r="S180" t="s">
        <v>145</v>
      </c>
    </row>
    <row r="181" spans="16:19" x14ac:dyDescent="0.25">
      <c r="P181">
        <v>1276</v>
      </c>
      <c r="Q181" t="s">
        <v>42</v>
      </c>
      <c r="R181" t="s">
        <v>40</v>
      </c>
      <c r="S181" t="s">
        <v>145</v>
      </c>
    </row>
    <row r="182" spans="16:19" x14ac:dyDescent="0.25">
      <c r="P182">
        <v>8137</v>
      </c>
      <c r="Q182" t="s">
        <v>43</v>
      </c>
      <c r="R182" t="s">
        <v>40</v>
      </c>
      <c r="S182" t="s">
        <v>145</v>
      </c>
    </row>
    <row r="183" spans="16:19" x14ac:dyDescent="0.25">
      <c r="P183">
        <v>2545</v>
      </c>
      <c r="Q183" t="s">
        <v>43</v>
      </c>
      <c r="R183" t="s">
        <v>40</v>
      </c>
      <c r="S183" t="s">
        <v>145</v>
      </c>
    </row>
    <row r="184" spans="16:19" x14ac:dyDescent="0.25">
      <c r="P184">
        <v>7253</v>
      </c>
      <c r="Q184" t="s">
        <v>43</v>
      </c>
      <c r="R184" t="s">
        <v>40</v>
      </c>
      <c r="S184" t="s">
        <v>145</v>
      </c>
    </row>
    <row r="185" spans="16:19" x14ac:dyDescent="0.25">
      <c r="P185">
        <v>3048</v>
      </c>
      <c r="Q185" t="s">
        <v>43</v>
      </c>
      <c r="R185" t="s">
        <v>40</v>
      </c>
      <c r="S185" t="s">
        <v>145</v>
      </c>
    </row>
    <row r="186" spans="16:19" x14ac:dyDescent="0.25">
      <c r="P186">
        <v>2405</v>
      </c>
      <c r="Q186" t="s">
        <v>43</v>
      </c>
      <c r="R186" t="s">
        <v>40</v>
      </c>
      <c r="S186" t="s">
        <v>145</v>
      </c>
    </row>
    <row r="187" spans="16:19" x14ac:dyDescent="0.25">
      <c r="P187">
        <v>3129</v>
      </c>
      <c r="Q187" t="s">
        <v>43</v>
      </c>
      <c r="R187" t="s">
        <v>40</v>
      </c>
      <c r="S187" t="s">
        <v>145</v>
      </c>
    </row>
    <row r="188" spans="16:19" x14ac:dyDescent="0.25">
      <c r="P188">
        <v>3502</v>
      </c>
      <c r="Q188" t="s">
        <v>43</v>
      </c>
      <c r="R188" t="s">
        <v>40</v>
      </c>
      <c r="S188" t="s">
        <v>145</v>
      </c>
    </row>
    <row r="189" spans="16:19" x14ac:dyDescent="0.25">
      <c r="P189">
        <v>1818</v>
      </c>
      <c r="Q189" t="s">
        <v>43</v>
      </c>
      <c r="R189" t="s">
        <v>40</v>
      </c>
      <c r="S189" t="s">
        <v>145</v>
      </c>
    </row>
    <row r="190" spans="16:19" x14ac:dyDescent="0.25">
      <c r="P190">
        <v>2680</v>
      </c>
      <c r="Q190" t="s">
        <v>43</v>
      </c>
      <c r="R190" t="s">
        <v>40</v>
      </c>
      <c r="S190" t="s">
        <v>145</v>
      </c>
    </row>
    <row r="191" spans="16:19" x14ac:dyDescent="0.25">
      <c r="P191">
        <v>3947</v>
      </c>
      <c r="Q191" t="s">
        <v>43</v>
      </c>
      <c r="R191" t="s">
        <v>40</v>
      </c>
      <c r="S191" t="s">
        <v>145</v>
      </c>
    </row>
    <row r="192" spans="16:19" x14ac:dyDescent="0.25">
      <c r="P192">
        <v>1609</v>
      </c>
      <c r="Q192" t="s">
        <v>43</v>
      </c>
      <c r="R192" t="s">
        <v>40</v>
      </c>
      <c r="S192" t="s">
        <v>145</v>
      </c>
    </row>
    <row r="193" spans="16:19" x14ac:dyDescent="0.25">
      <c r="P193">
        <v>4531</v>
      </c>
      <c r="Q193" t="s">
        <v>43</v>
      </c>
      <c r="R193" t="s">
        <v>40</v>
      </c>
      <c r="S193" t="s">
        <v>145</v>
      </c>
    </row>
    <row r="194" spans="16:19" x14ac:dyDescent="0.25">
      <c r="P194">
        <v>2869</v>
      </c>
      <c r="Q194" t="s">
        <v>43</v>
      </c>
      <c r="R194" t="s">
        <v>40</v>
      </c>
      <c r="S194" t="s">
        <v>145</v>
      </c>
    </row>
    <row r="195" spans="16:19" x14ac:dyDescent="0.25">
      <c r="P195">
        <v>3264</v>
      </c>
      <c r="Q195" t="s">
        <v>43</v>
      </c>
      <c r="R195" t="s">
        <v>40</v>
      </c>
      <c r="S195" t="s">
        <v>145</v>
      </c>
    </row>
    <row r="196" spans="16:19" x14ac:dyDescent="0.25">
      <c r="P196">
        <v>1092</v>
      </c>
      <c r="Q196" t="s">
        <v>43</v>
      </c>
      <c r="R196" t="s">
        <v>40</v>
      </c>
      <c r="S196" t="s">
        <v>145</v>
      </c>
    </row>
    <row r="197" spans="16:19" x14ac:dyDescent="0.25">
      <c r="P197">
        <v>2655</v>
      </c>
      <c r="Q197" t="s">
        <v>43</v>
      </c>
      <c r="R197" t="s">
        <v>40</v>
      </c>
      <c r="S197" t="s">
        <v>145</v>
      </c>
    </row>
    <row r="198" spans="16:19" x14ac:dyDescent="0.25">
      <c r="P198">
        <v>2240</v>
      </c>
      <c r="Q198" t="s">
        <v>43</v>
      </c>
      <c r="R198" t="s">
        <v>40</v>
      </c>
      <c r="S198" t="s">
        <v>145</v>
      </c>
    </row>
    <row r="199" spans="16:19" x14ac:dyDescent="0.25">
      <c r="P199">
        <v>597</v>
      </c>
      <c r="Q199" t="s">
        <v>43</v>
      </c>
      <c r="R199" t="s">
        <v>40</v>
      </c>
      <c r="S199" t="s">
        <v>145</v>
      </c>
    </row>
    <row r="200" spans="16:19" x14ac:dyDescent="0.25">
      <c r="P200">
        <v>3650</v>
      </c>
      <c r="Q200" t="s">
        <v>43</v>
      </c>
      <c r="R200" t="s">
        <v>40</v>
      </c>
      <c r="S200" t="s">
        <v>145</v>
      </c>
    </row>
    <row r="201" spans="16:19" x14ac:dyDescent="0.25">
      <c r="P201">
        <v>4702</v>
      </c>
      <c r="Q201" t="s">
        <v>44</v>
      </c>
      <c r="R201" t="s">
        <v>40</v>
      </c>
      <c r="S201" t="s">
        <v>145</v>
      </c>
    </row>
    <row r="202" spans="16:19" x14ac:dyDescent="0.25">
      <c r="P202">
        <v>2719</v>
      </c>
      <c r="Q202" t="s">
        <v>44</v>
      </c>
      <c r="R202" t="s">
        <v>40</v>
      </c>
      <c r="S202" t="s">
        <v>145</v>
      </c>
    </row>
    <row r="203" spans="16:19" x14ac:dyDescent="0.25">
      <c r="P203">
        <v>854</v>
      </c>
      <c r="Q203" t="s">
        <v>44</v>
      </c>
      <c r="R203" t="s">
        <v>40</v>
      </c>
      <c r="S203" t="s">
        <v>145</v>
      </c>
    </row>
    <row r="204" spans="16:19" x14ac:dyDescent="0.25">
      <c r="P204">
        <v>1230</v>
      </c>
      <c r="Q204" t="s">
        <v>44</v>
      </c>
      <c r="R204" t="s">
        <v>40</v>
      </c>
      <c r="S204" t="s">
        <v>145</v>
      </c>
    </row>
    <row r="205" spans="16:19" x14ac:dyDescent="0.25">
      <c r="P205">
        <v>4893</v>
      </c>
      <c r="Q205" t="s">
        <v>44</v>
      </c>
      <c r="R205" t="s">
        <v>40</v>
      </c>
      <c r="S205" t="s">
        <v>145</v>
      </c>
    </row>
    <row r="206" spans="16:19" x14ac:dyDescent="0.25">
      <c r="P206">
        <v>825</v>
      </c>
      <c r="Q206" t="s">
        <v>44</v>
      </c>
      <c r="R206" t="s">
        <v>40</v>
      </c>
      <c r="S206" t="s">
        <v>145</v>
      </c>
    </row>
    <row r="207" spans="16:19" x14ac:dyDescent="0.25">
      <c r="P207">
        <v>1199</v>
      </c>
      <c r="Q207" t="s">
        <v>44</v>
      </c>
      <c r="R207" t="s">
        <v>40</v>
      </c>
      <c r="S207" t="s">
        <v>145</v>
      </c>
    </row>
    <row r="208" spans="16:19" x14ac:dyDescent="0.25">
      <c r="P208">
        <v>1496</v>
      </c>
      <c r="Q208" t="s">
        <v>44</v>
      </c>
      <c r="R208" t="s">
        <v>40</v>
      </c>
      <c r="S208" t="s">
        <v>145</v>
      </c>
    </row>
    <row r="209" spans="16:19" x14ac:dyDescent="0.25">
      <c r="P209">
        <v>1312</v>
      </c>
      <c r="Q209" t="s">
        <v>44</v>
      </c>
      <c r="R209" t="s">
        <v>40</v>
      </c>
      <c r="S209" t="s">
        <v>145</v>
      </c>
    </row>
    <row r="210" spans="16:19" x14ac:dyDescent="0.25">
      <c r="P210">
        <v>1961</v>
      </c>
      <c r="Q210" t="s">
        <v>44</v>
      </c>
      <c r="R210" t="s">
        <v>40</v>
      </c>
      <c r="S210" t="s">
        <v>145</v>
      </c>
    </row>
    <row r="211" spans="16:19" x14ac:dyDescent="0.25">
      <c r="P211">
        <v>1745</v>
      </c>
      <c r="Q211" t="s">
        <v>44</v>
      </c>
      <c r="R211" t="s">
        <v>40</v>
      </c>
      <c r="S211" t="s">
        <v>145</v>
      </c>
    </row>
    <row r="212" spans="16:19" x14ac:dyDescent="0.25">
      <c r="P212">
        <v>3388</v>
      </c>
      <c r="Q212" t="s">
        <v>44</v>
      </c>
      <c r="R212" t="s">
        <v>40</v>
      </c>
      <c r="S212" t="s">
        <v>145</v>
      </c>
    </row>
    <row r="213" spans="16:19" x14ac:dyDescent="0.25">
      <c r="P213">
        <v>1891</v>
      </c>
      <c r="Q213" t="s">
        <v>44</v>
      </c>
      <c r="R213" t="s">
        <v>40</v>
      </c>
      <c r="S213" t="s">
        <v>145</v>
      </c>
    </row>
    <row r="214" spans="16:19" x14ac:dyDescent="0.25">
      <c r="P214">
        <v>993</v>
      </c>
      <c r="Q214" t="s">
        <v>44</v>
      </c>
      <c r="R214" t="s">
        <v>40</v>
      </c>
      <c r="S214" t="s">
        <v>145</v>
      </c>
    </row>
    <row r="215" spans="16:19" x14ac:dyDescent="0.25">
      <c r="P215">
        <v>1338</v>
      </c>
      <c r="Q215" t="s">
        <v>44</v>
      </c>
      <c r="R215" t="s">
        <v>40</v>
      </c>
      <c r="S215" t="s">
        <v>145</v>
      </c>
    </row>
    <row r="216" spans="16:19" x14ac:dyDescent="0.25">
      <c r="P216">
        <v>3564</v>
      </c>
      <c r="Q216" t="s">
        <v>44</v>
      </c>
      <c r="R216" t="s">
        <v>40</v>
      </c>
      <c r="S216" t="s">
        <v>145</v>
      </c>
    </row>
    <row r="217" spans="16:19" x14ac:dyDescent="0.25">
      <c r="P217">
        <v>12232</v>
      </c>
      <c r="Q217" t="s">
        <v>44</v>
      </c>
      <c r="R217" t="s">
        <v>40</v>
      </c>
      <c r="S217" t="s">
        <v>145</v>
      </c>
    </row>
    <row r="218" spans="16:19" x14ac:dyDescent="0.25">
      <c r="P218">
        <v>1998</v>
      </c>
      <c r="Q218" t="s">
        <v>44</v>
      </c>
      <c r="R218" t="s">
        <v>40</v>
      </c>
      <c r="S218" t="s">
        <v>145</v>
      </c>
    </row>
    <row r="219" spans="16:19" x14ac:dyDescent="0.25">
      <c r="P219">
        <v>2008</v>
      </c>
      <c r="Q219" t="s">
        <v>44</v>
      </c>
      <c r="R219" t="s">
        <v>40</v>
      </c>
      <c r="S219" t="s">
        <v>145</v>
      </c>
    </row>
    <row r="220" spans="16:19" x14ac:dyDescent="0.25">
      <c r="P220">
        <v>3550</v>
      </c>
      <c r="Q220" t="s">
        <v>44</v>
      </c>
      <c r="R220" t="s">
        <v>40</v>
      </c>
      <c r="S220" t="s">
        <v>145</v>
      </c>
    </row>
    <row r="221" spans="16:19" x14ac:dyDescent="0.25">
      <c r="P221">
        <v>1664</v>
      </c>
      <c r="Q221" t="s">
        <v>10</v>
      </c>
      <c r="R221" t="s">
        <v>40</v>
      </c>
      <c r="S221" t="s">
        <v>145</v>
      </c>
    </row>
    <row r="222" spans="16:19" x14ac:dyDescent="0.25">
      <c r="P222">
        <v>1835</v>
      </c>
      <c r="Q222" t="s">
        <v>10</v>
      </c>
      <c r="R222" t="s">
        <v>40</v>
      </c>
      <c r="S222" t="s">
        <v>145</v>
      </c>
    </row>
    <row r="223" spans="16:19" x14ac:dyDescent="0.25">
      <c r="P223">
        <v>1237</v>
      </c>
      <c r="Q223" t="s">
        <v>10</v>
      </c>
      <c r="R223" t="s">
        <v>40</v>
      </c>
      <c r="S223" t="s">
        <v>145</v>
      </c>
    </row>
    <row r="224" spans="16:19" x14ac:dyDescent="0.25">
      <c r="P224">
        <v>1583</v>
      </c>
      <c r="Q224" t="s">
        <v>10</v>
      </c>
      <c r="R224" t="s">
        <v>40</v>
      </c>
      <c r="S224" t="s">
        <v>145</v>
      </c>
    </row>
    <row r="225" spans="16:19" x14ac:dyDescent="0.25">
      <c r="P225">
        <v>1316</v>
      </c>
      <c r="Q225" t="s">
        <v>10</v>
      </c>
      <c r="R225" t="s">
        <v>40</v>
      </c>
      <c r="S225" t="s">
        <v>145</v>
      </c>
    </row>
    <row r="226" spans="16:19" x14ac:dyDescent="0.25">
      <c r="P226">
        <v>1187</v>
      </c>
      <c r="Q226" t="s">
        <v>10</v>
      </c>
      <c r="R226" t="s">
        <v>40</v>
      </c>
      <c r="S226" t="s">
        <v>145</v>
      </c>
    </row>
    <row r="227" spans="16:19" x14ac:dyDescent="0.25">
      <c r="P227">
        <v>2534</v>
      </c>
      <c r="Q227" t="s">
        <v>10</v>
      </c>
      <c r="R227" t="s">
        <v>40</v>
      </c>
      <c r="S227" t="s">
        <v>145</v>
      </c>
    </row>
    <row r="228" spans="16:19" x14ac:dyDescent="0.25">
      <c r="P228">
        <v>1721</v>
      </c>
      <c r="Q228" t="s">
        <v>10</v>
      </c>
      <c r="R228" t="s">
        <v>40</v>
      </c>
      <c r="S228" t="s">
        <v>145</v>
      </c>
    </row>
    <row r="229" spans="16:19" x14ac:dyDescent="0.25">
      <c r="P229">
        <v>966</v>
      </c>
      <c r="Q229" t="s">
        <v>10</v>
      </c>
      <c r="R229" t="s">
        <v>40</v>
      </c>
      <c r="S229" t="s">
        <v>145</v>
      </c>
    </row>
    <row r="230" spans="16:19" x14ac:dyDescent="0.25">
      <c r="P230">
        <v>1960</v>
      </c>
      <c r="Q230" t="s">
        <v>10</v>
      </c>
      <c r="R230" t="s">
        <v>40</v>
      </c>
      <c r="S230" t="s">
        <v>145</v>
      </c>
    </row>
    <row r="231" spans="16:19" x14ac:dyDescent="0.25">
      <c r="P231">
        <v>1162</v>
      </c>
      <c r="Q231" t="s">
        <v>10</v>
      </c>
      <c r="R231" t="s">
        <v>40</v>
      </c>
      <c r="S231" t="s">
        <v>145</v>
      </c>
    </row>
    <row r="232" spans="16:19" x14ac:dyDescent="0.25">
      <c r="P232">
        <v>1725</v>
      </c>
      <c r="Q232" t="s">
        <v>10</v>
      </c>
      <c r="R232" t="s">
        <v>40</v>
      </c>
      <c r="S232" t="s">
        <v>145</v>
      </c>
    </row>
    <row r="233" spans="16:19" x14ac:dyDescent="0.25">
      <c r="P233">
        <v>756</v>
      </c>
      <c r="Q233" t="s">
        <v>10</v>
      </c>
      <c r="R233" t="s">
        <v>40</v>
      </c>
      <c r="S233" t="s">
        <v>145</v>
      </c>
    </row>
    <row r="234" spans="16:19" x14ac:dyDescent="0.25">
      <c r="P234">
        <v>1926</v>
      </c>
      <c r="Q234" t="s">
        <v>10</v>
      </c>
      <c r="R234" t="s">
        <v>40</v>
      </c>
      <c r="S234" t="s">
        <v>145</v>
      </c>
    </row>
    <row r="235" spans="16:19" x14ac:dyDescent="0.25">
      <c r="P235">
        <v>3466</v>
      </c>
      <c r="Q235" t="s">
        <v>10</v>
      </c>
      <c r="R235" t="s">
        <v>40</v>
      </c>
      <c r="S235" t="s">
        <v>145</v>
      </c>
    </row>
    <row r="236" spans="16:19" x14ac:dyDescent="0.25">
      <c r="P236">
        <v>818</v>
      </c>
      <c r="Q236" t="s">
        <v>10</v>
      </c>
      <c r="R236" t="s">
        <v>40</v>
      </c>
      <c r="S236" t="s">
        <v>145</v>
      </c>
    </row>
    <row r="237" spans="16:19" x14ac:dyDescent="0.25">
      <c r="P237">
        <v>1000</v>
      </c>
      <c r="Q237" t="s">
        <v>10</v>
      </c>
      <c r="R237" t="s">
        <v>40</v>
      </c>
      <c r="S237" t="s">
        <v>145</v>
      </c>
    </row>
    <row r="238" spans="16:19" x14ac:dyDescent="0.25">
      <c r="P238">
        <v>1176</v>
      </c>
      <c r="Q238" t="s">
        <v>10</v>
      </c>
      <c r="R238" t="s">
        <v>40</v>
      </c>
      <c r="S238" t="s">
        <v>145</v>
      </c>
    </row>
    <row r="239" spans="16:19" x14ac:dyDescent="0.25">
      <c r="P239">
        <v>2204</v>
      </c>
      <c r="Q239" t="s">
        <v>10</v>
      </c>
      <c r="R239" t="s">
        <v>40</v>
      </c>
      <c r="S239" t="s">
        <v>145</v>
      </c>
    </row>
    <row r="240" spans="16:19" x14ac:dyDescent="0.25">
      <c r="P240">
        <v>5752</v>
      </c>
      <c r="Q240" t="s">
        <v>10</v>
      </c>
      <c r="R240" t="s">
        <v>40</v>
      </c>
      <c r="S240" t="s">
        <v>145</v>
      </c>
    </row>
    <row r="241" spans="16:19" x14ac:dyDescent="0.25">
      <c r="P241">
        <v>1698</v>
      </c>
      <c r="Q241" t="s">
        <v>10</v>
      </c>
      <c r="R241" t="s">
        <v>40</v>
      </c>
      <c r="S241" t="s">
        <v>145</v>
      </c>
    </row>
    <row r="242" spans="16:19" x14ac:dyDescent="0.25">
      <c r="P242">
        <v>1724</v>
      </c>
      <c r="Q242" t="s">
        <v>10</v>
      </c>
      <c r="R242" t="s">
        <v>40</v>
      </c>
      <c r="S242" t="s">
        <v>145</v>
      </c>
    </row>
    <row r="243" spans="16:19" x14ac:dyDescent="0.25">
      <c r="P243">
        <v>1369</v>
      </c>
      <c r="Q243" t="s">
        <v>10</v>
      </c>
      <c r="R243" t="s">
        <v>40</v>
      </c>
      <c r="S243" t="s">
        <v>145</v>
      </c>
    </row>
    <row r="244" spans="16:19" x14ac:dyDescent="0.25">
      <c r="P244">
        <v>6608</v>
      </c>
      <c r="Q244" t="s">
        <v>10</v>
      </c>
      <c r="R244" t="s">
        <v>40</v>
      </c>
      <c r="S244" t="s">
        <v>145</v>
      </c>
    </row>
    <row r="245" spans="16:19" x14ac:dyDescent="0.25">
      <c r="P245">
        <v>15151</v>
      </c>
      <c r="Q245" t="s">
        <v>10</v>
      </c>
      <c r="R245" t="s">
        <v>40</v>
      </c>
      <c r="S245" t="s">
        <v>145</v>
      </c>
    </row>
    <row r="246" spans="16:19" x14ac:dyDescent="0.25">
      <c r="P246">
        <v>1481</v>
      </c>
      <c r="Q246" t="s">
        <v>10</v>
      </c>
      <c r="R246" t="s">
        <v>40</v>
      </c>
      <c r="S246" t="s">
        <v>145</v>
      </c>
    </row>
    <row r="247" spans="16:19" x14ac:dyDescent="0.25">
      <c r="P247">
        <v>2021</v>
      </c>
      <c r="Q247" t="s">
        <v>10</v>
      </c>
      <c r="R247" t="s">
        <v>40</v>
      </c>
      <c r="S247" t="s">
        <v>145</v>
      </c>
    </row>
    <row r="248" spans="16:19" x14ac:dyDescent="0.25">
      <c r="P248">
        <v>1160</v>
      </c>
      <c r="Q248" t="s">
        <v>10</v>
      </c>
      <c r="R248" t="s">
        <v>40</v>
      </c>
      <c r="S248" t="s">
        <v>145</v>
      </c>
    </row>
    <row r="249" spans="16:19" x14ac:dyDescent="0.25">
      <c r="P249">
        <v>766</v>
      </c>
      <c r="Q249" t="s">
        <v>10</v>
      </c>
      <c r="R249" t="s">
        <v>40</v>
      </c>
      <c r="S249" t="s">
        <v>145</v>
      </c>
    </row>
    <row r="250" spans="16:19" x14ac:dyDescent="0.25">
      <c r="P250">
        <v>1199</v>
      </c>
      <c r="Q250" t="s">
        <v>10</v>
      </c>
      <c r="R250" t="s">
        <v>40</v>
      </c>
      <c r="S250" t="s">
        <v>145</v>
      </c>
    </row>
    <row r="251" spans="16:19" x14ac:dyDescent="0.25">
      <c r="P251">
        <v>1633</v>
      </c>
      <c r="Q251" t="s">
        <v>10</v>
      </c>
      <c r="R251" t="s">
        <v>40</v>
      </c>
      <c r="S251" t="s">
        <v>145</v>
      </c>
    </row>
    <row r="252" spans="16:19" x14ac:dyDescent="0.25">
      <c r="P252">
        <v>2655</v>
      </c>
      <c r="Q252" t="s">
        <v>10</v>
      </c>
      <c r="R252" t="s">
        <v>40</v>
      </c>
      <c r="S252" t="s">
        <v>145</v>
      </c>
    </row>
    <row r="253" spans="16:19" x14ac:dyDescent="0.25">
      <c r="P253">
        <v>2096</v>
      </c>
      <c r="Q253" t="s">
        <v>10</v>
      </c>
      <c r="R253" t="s">
        <v>40</v>
      </c>
      <c r="S253" t="s">
        <v>145</v>
      </c>
    </row>
    <row r="254" spans="16:19" x14ac:dyDescent="0.25">
      <c r="P254">
        <v>1422</v>
      </c>
      <c r="Q254" t="s">
        <v>45</v>
      </c>
      <c r="R254" t="s">
        <v>40</v>
      </c>
      <c r="S254" t="s">
        <v>145</v>
      </c>
    </row>
    <row r="255" spans="16:19" x14ac:dyDescent="0.25">
      <c r="P255">
        <v>7017</v>
      </c>
      <c r="Q255" t="s">
        <v>45</v>
      </c>
      <c r="R255" t="s">
        <v>40</v>
      </c>
      <c r="S255" t="s">
        <v>145</v>
      </c>
    </row>
    <row r="256" spans="16:19" x14ac:dyDescent="0.25">
      <c r="P256">
        <v>1317</v>
      </c>
      <c r="Q256" t="s">
        <v>45</v>
      </c>
      <c r="R256" t="s">
        <v>40</v>
      </c>
      <c r="S256" t="s">
        <v>145</v>
      </c>
    </row>
    <row r="257" spans="16:19" x14ac:dyDescent="0.25">
      <c r="P257">
        <v>2176</v>
      </c>
      <c r="Q257" t="s">
        <v>45</v>
      </c>
      <c r="R257" t="s">
        <v>40</v>
      </c>
      <c r="S257" t="s">
        <v>145</v>
      </c>
    </row>
    <row r="258" spans="16:19" x14ac:dyDescent="0.25">
      <c r="P258">
        <v>655</v>
      </c>
      <c r="Q258" t="s">
        <v>45</v>
      </c>
      <c r="R258" t="s">
        <v>40</v>
      </c>
      <c r="S258" t="s">
        <v>145</v>
      </c>
    </row>
    <row r="259" spans="16:19" x14ac:dyDescent="0.25">
      <c r="P259">
        <v>1071</v>
      </c>
      <c r="Q259" t="s">
        <v>45</v>
      </c>
      <c r="R259" t="s">
        <v>40</v>
      </c>
      <c r="S259" t="s">
        <v>145</v>
      </c>
    </row>
    <row r="260" spans="16:19" x14ac:dyDescent="0.25">
      <c r="P260">
        <v>2040</v>
      </c>
      <c r="Q260" t="s">
        <v>45</v>
      </c>
      <c r="R260" t="s">
        <v>40</v>
      </c>
      <c r="S260" t="s">
        <v>145</v>
      </c>
    </row>
    <row r="261" spans="16:19" x14ac:dyDescent="0.25">
      <c r="P261">
        <v>9285</v>
      </c>
      <c r="Q261" t="s">
        <v>45</v>
      </c>
      <c r="R261" t="s">
        <v>40</v>
      </c>
      <c r="S261" t="s">
        <v>145</v>
      </c>
    </row>
    <row r="262" spans="16:19" x14ac:dyDescent="0.25">
      <c r="P262">
        <v>1256</v>
      </c>
      <c r="Q262" t="s">
        <v>45</v>
      </c>
      <c r="R262" t="s">
        <v>40</v>
      </c>
      <c r="S262" t="s">
        <v>145</v>
      </c>
    </row>
    <row r="263" spans="16:19" x14ac:dyDescent="0.25">
      <c r="P263">
        <v>872</v>
      </c>
      <c r="Q263" t="s">
        <v>45</v>
      </c>
      <c r="R263" t="s">
        <v>40</v>
      </c>
      <c r="S263" t="s">
        <v>145</v>
      </c>
    </row>
    <row r="264" spans="16:19" x14ac:dyDescent="0.25">
      <c r="P264">
        <v>2319</v>
      </c>
      <c r="Q264" t="s">
        <v>45</v>
      </c>
      <c r="R264" t="s">
        <v>40</v>
      </c>
      <c r="S264" t="s">
        <v>145</v>
      </c>
    </row>
    <row r="265" spans="16:19" x14ac:dyDescent="0.25">
      <c r="P265">
        <v>5815</v>
      </c>
      <c r="Q265" t="s">
        <v>45</v>
      </c>
      <c r="R265" t="s">
        <v>40</v>
      </c>
      <c r="S265" t="s">
        <v>145</v>
      </c>
    </row>
    <row r="266" spans="16:19" x14ac:dyDescent="0.25">
      <c r="P266">
        <v>1891</v>
      </c>
      <c r="Q266" t="s">
        <v>45</v>
      </c>
      <c r="R266" t="s">
        <v>40</v>
      </c>
      <c r="S266" t="s">
        <v>145</v>
      </c>
    </row>
    <row r="267" spans="16:19" x14ac:dyDescent="0.25">
      <c r="P267">
        <v>4261</v>
      </c>
      <c r="Q267" t="s">
        <v>45</v>
      </c>
      <c r="R267" t="s">
        <v>40</v>
      </c>
      <c r="S267" t="s">
        <v>145</v>
      </c>
    </row>
    <row r="268" spans="16:19" x14ac:dyDescent="0.25">
      <c r="P268">
        <v>1589</v>
      </c>
      <c r="Q268" t="s">
        <v>45</v>
      </c>
      <c r="R268" t="s">
        <v>40</v>
      </c>
      <c r="S268" t="s">
        <v>145</v>
      </c>
    </row>
    <row r="269" spans="16:19" x14ac:dyDescent="0.25">
      <c r="P269">
        <v>4616</v>
      </c>
      <c r="Q269" t="s">
        <v>45</v>
      </c>
      <c r="R269" t="s">
        <v>40</v>
      </c>
      <c r="S269" t="s">
        <v>145</v>
      </c>
    </row>
    <row r="270" spans="16:19" x14ac:dyDescent="0.25">
      <c r="P270">
        <v>9151</v>
      </c>
      <c r="Q270" t="s">
        <v>45</v>
      </c>
      <c r="R270" t="s">
        <v>40</v>
      </c>
      <c r="S270" t="s">
        <v>145</v>
      </c>
    </row>
    <row r="271" spans="16:19" x14ac:dyDescent="0.25">
      <c r="P271">
        <v>2940</v>
      </c>
      <c r="Q271" t="s">
        <v>45</v>
      </c>
      <c r="R271" t="s">
        <v>40</v>
      </c>
      <c r="S271" t="s">
        <v>145</v>
      </c>
    </row>
    <row r="272" spans="16:19" x14ac:dyDescent="0.25">
      <c r="P272">
        <v>5592</v>
      </c>
      <c r="Q272" t="s">
        <v>45</v>
      </c>
      <c r="R272" t="s">
        <v>40</v>
      </c>
      <c r="S272" t="s">
        <v>145</v>
      </c>
    </row>
    <row r="273" spans="16:19" x14ac:dyDescent="0.25">
      <c r="P273">
        <v>4127</v>
      </c>
      <c r="Q273" t="s">
        <v>46</v>
      </c>
      <c r="R273" t="s">
        <v>40</v>
      </c>
      <c r="S273" t="s">
        <v>145</v>
      </c>
    </row>
    <row r="274" spans="16:19" x14ac:dyDescent="0.25">
      <c r="P274">
        <v>785</v>
      </c>
      <c r="Q274" t="s">
        <v>46</v>
      </c>
      <c r="R274" t="s">
        <v>40</v>
      </c>
      <c r="S274" t="s">
        <v>145</v>
      </c>
    </row>
    <row r="275" spans="16:19" x14ac:dyDescent="0.25">
      <c r="P275">
        <v>5919</v>
      </c>
      <c r="Q275" t="s">
        <v>46</v>
      </c>
      <c r="R275" t="s">
        <v>40</v>
      </c>
      <c r="S275" t="s">
        <v>145</v>
      </c>
    </row>
    <row r="276" spans="16:19" x14ac:dyDescent="0.25">
      <c r="P276">
        <v>2193</v>
      </c>
      <c r="Q276" t="s">
        <v>46</v>
      </c>
      <c r="R276" t="s">
        <v>40</v>
      </c>
      <c r="S276" t="s">
        <v>145</v>
      </c>
    </row>
    <row r="277" spans="16:19" x14ac:dyDescent="0.25">
      <c r="P277">
        <v>2182</v>
      </c>
      <c r="Q277" t="s">
        <v>46</v>
      </c>
      <c r="R277" t="s">
        <v>40</v>
      </c>
      <c r="S277" t="s">
        <v>145</v>
      </c>
    </row>
    <row r="278" spans="16:19" x14ac:dyDescent="0.25">
      <c r="P278">
        <v>1758</v>
      </c>
      <c r="Q278" t="s">
        <v>46</v>
      </c>
      <c r="R278" t="s">
        <v>40</v>
      </c>
      <c r="S278" t="s">
        <v>145</v>
      </c>
    </row>
    <row r="279" spans="16:19" x14ac:dyDescent="0.25">
      <c r="P279">
        <v>1583</v>
      </c>
      <c r="Q279" t="s">
        <v>46</v>
      </c>
      <c r="R279" t="s">
        <v>40</v>
      </c>
      <c r="S279" t="s">
        <v>145</v>
      </c>
    </row>
    <row r="280" spans="16:19" x14ac:dyDescent="0.25">
      <c r="P280">
        <v>3406</v>
      </c>
      <c r="Q280" t="s">
        <v>46</v>
      </c>
      <c r="R280" t="s">
        <v>40</v>
      </c>
      <c r="S280" t="s">
        <v>145</v>
      </c>
    </row>
    <row r="281" spans="16:19" x14ac:dyDescent="0.25">
      <c r="P281">
        <v>1015</v>
      </c>
      <c r="Q281" t="s">
        <v>46</v>
      </c>
      <c r="R281" t="s">
        <v>40</v>
      </c>
      <c r="S281" t="s">
        <v>145</v>
      </c>
    </row>
    <row r="282" spans="16:19" x14ac:dyDescent="0.25">
      <c r="P282">
        <v>1516</v>
      </c>
      <c r="Q282" t="s">
        <v>46</v>
      </c>
      <c r="R282" t="s">
        <v>40</v>
      </c>
      <c r="S282" t="s">
        <v>145</v>
      </c>
    </row>
    <row r="283" spans="16:19" x14ac:dyDescent="0.25">
      <c r="P283">
        <v>4564</v>
      </c>
      <c r="Q283" t="s">
        <v>46</v>
      </c>
      <c r="R283" t="s">
        <v>40</v>
      </c>
      <c r="S283" t="s">
        <v>145</v>
      </c>
    </row>
    <row r="284" spans="16:19" x14ac:dyDescent="0.25">
      <c r="P284">
        <v>1953</v>
      </c>
      <c r="Q284" t="s">
        <v>46</v>
      </c>
      <c r="R284" t="s">
        <v>40</v>
      </c>
      <c r="S284" t="s">
        <v>145</v>
      </c>
    </row>
    <row r="285" spans="16:19" x14ac:dyDescent="0.25">
      <c r="P285">
        <v>10904</v>
      </c>
      <c r="Q285" t="s">
        <v>46</v>
      </c>
      <c r="R285" t="s">
        <v>40</v>
      </c>
      <c r="S285" t="s">
        <v>145</v>
      </c>
    </row>
    <row r="286" spans="16:19" x14ac:dyDescent="0.25">
      <c r="P286">
        <v>4293</v>
      </c>
      <c r="Q286" t="s">
        <v>47</v>
      </c>
      <c r="R286" t="s">
        <v>40</v>
      </c>
      <c r="S286" t="s">
        <v>145</v>
      </c>
    </row>
    <row r="287" spans="16:19" x14ac:dyDescent="0.25">
      <c r="P287">
        <v>2487</v>
      </c>
      <c r="Q287" t="s">
        <v>47</v>
      </c>
      <c r="R287" t="s">
        <v>40</v>
      </c>
      <c r="S287" t="s">
        <v>145</v>
      </c>
    </row>
    <row r="288" spans="16:19" x14ac:dyDescent="0.25">
      <c r="P288">
        <v>2841</v>
      </c>
      <c r="Q288" t="s">
        <v>47</v>
      </c>
      <c r="R288" t="s">
        <v>40</v>
      </c>
      <c r="S288" t="s">
        <v>145</v>
      </c>
    </row>
    <row r="289" spans="16:19" x14ac:dyDescent="0.25">
      <c r="P289">
        <v>909</v>
      </c>
      <c r="Q289" t="s">
        <v>47</v>
      </c>
      <c r="R289" t="s">
        <v>40</v>
      </c>
      <c r="S289" t="s">
        <v>145</v>
      </c>
    </row>
    <row r="290" spans="16:19" x14ac:dyDescent="0.25">
      <c r="P290">
        <v>1749</v>
      </c>
      <c r="Q290" t="s">
        <v>47</v>
      </c>
      <c r="R290" t="s">
        <v>40</v>
      </c>
      <c r="S290" t="s">
        <v>145</v>
      </c>
    </row>
    <row r="291" spans="16:19" x14ac:dyDescent="0.25">
      <c r="P291">
        <v>9814</v>
      </c>
      <c r="Q291" t="s">
        <v>47</v>
      </c>
      <c r="R291" t="s">
        <v>40</v>
      </c>
      <c r="S291" t="s">
        <v>145</v>
      </c>
    </row>
    <row r="292" spans="16:19" x14ac:dyDescent="0.25">
      <c r="P292">
        <v>1943</v>
      </c>
      <c r="Q292" t="s">
        <v>47</v>
      </c>
      <c r="R292" t="s">
        <v>40</v>
      </c>
      <c r="S292" t="s">
        <v>145</v>
      </c>
    </row>
    <row r="293" spans="16:19" x14ac:dyDescent="0.25">
      <c r="P293">
        <v>3204</v>
      </c>
      <c r="Q293" t="s">
        <v>47</v>
      </c>
      <c r="R293" t="s">
        <v>40</v>
      </c>
      <c r="S293" t="s">
        <v>145</v>
      </c>
    </row>
    <row r="294" spans="16:19" x14ac:dyDescent="0.25">
      <c r="P294">
        <v>25056</v>
      </c>
      <c r="Q294" t="s">
        <v>47</v>
      </c>
      <c r="R294" t="s">
        <v>40</v>
      </c>
      <c r="S294" t="s">
        <v>145</v>
      </c>
    </row>
    <row r="295" spans="16:19" x14ac:dyDescent="0.25">
      <c r="P295">
        <v>1006</v>
      </c>
      <c r="Q295" t="s">
        <v>48</v>
      </c>
      <c r="R295" t="s">
        <v>40</v>
      </c>
      <c r="S295" t="s">
        <v>145</v>
      </c>
    </row>
    <row r="296" spans="16:19" x14ac:dyDescent="0.25">
      <c r="P296">
        <v>14284</v>
      </c>
      <c r="Q296" t="s">
        <v>48</v>
      </c>
      <c r="R296" t="s">
        <v>40</v>
      </c>
      <c r="S296" t="s">
        <v>145</v>
      </c>
    </row>
    <row r="297" spans="16:19" x14ac:dyDescent="0.25">
      <c r="P297">
        <v>1783</v>
      </c>
      <c r="Q297" t="s">
        <v>48</v>
      </c>
      <c r="R297" t="s">
        <v>40</v>
      </c>
      <c r="S297" t="s">
        <v>145</v>
      </c>
    </row>
    <row r="298" spans="16:19" x14ac:dyDescent="0.25">
      <c r="P298">
        <v>1026</v>
      </c>
      <c r="Q298" t="s">
        <v>48</v>
      </c>
      <c r="R298" t="s">
        <v>40</v>
      </c>
      <c r="S298" t="s">
        <v>145</v>
      </c>
    </row>
    <row r="299" spans="16:19" x14ac:dyDescent="0.25">
      <c r="P299">
        <v>2304</v>
      </c>
      <c r="Q299" t="s">
        <v>48</v>
      </c>
      <c r="R299" t="s">
        <v>40</v>
      </c>
      <c r="S299" t="s">
        <v>145</v>
      </c>
    </row>
    <row r="300" spans="16:19" x14ac:dyDescent="0.25">
      <c r="P300">
        <v>872</v>
      </c>
      <c r="Q300" t="s">
        <v>48</v>
      </c>
      <c r="R300" t="s">
        <v>40</v>
      </c>
      <c r="S300" t="s">
        <v>145</v>
      </c>
    </row>
    <row r="301" spans="16:19" x14ac:dyDescent="0.25">
      <c r="P301">
        <v>1765</v>
      </c>
      <c r="Q301" t="s">
        <v>48</v>
      </c>
      <c r="R301" t="s">
        <v>40</v>
      </c>
      <c r="S301" t="s">
        <v>145</v>
      </c>
    </row>
    <row r="302" spans="16:19" x14ac:dyDescent="0.25">
      <c r="P302">
        <v>1515</v>
      </c>
      <c r="Q302" t="s">
        <v>48</v>
      </c>
      <c r="R302" t="s">
        <v>40</v>
      </c>
      <c r="S302" t="s">
        <v>145</v>
      </c>
    </row>
    <row r="303" spans="16:19" x14ac:dyDescent="0.25">
      <c r="P303">
        <v>3753</v>
      </c>
      <c r="Q303" t="s">
        <v>48</v>
      </c>
      <c r="R303" t="s">
        <v>40</v>
      </c>
      <c r="S303" t="s">
        <v>145</v>
      </c>
    </row>
    <row r="304" spans="16:19" x14ac:dyDescent="0.25">
      <c r="P304">
        <v>1582</v>
      </c>
      <c r="Q304" t="s">
        <v>48</v>
      </c>
      <c r="R304" t="s">
        <v>40</v>
      </c>
      <c r="S304" t="s">
        <v>145</v>
      </c>
    </row>
    <row r="305" spans="16:19" x14ac:dyDescent="0.25">
      <c r="P305">
        <v>24921</v>
      </c>
      <c r="Q305" t="s">
        <v>49</v>
      </c>
      <c r="R305" t="s">
        <v>50</v>
      </c>
      <c r="S305" t="s">
        <v>7355</v>
      </c>
    </row>
    <row r="306" spans="16:19" x14ac:dyDescent="0.25">
      <c r="P306">
        <v>56360</v>
      </c>
      <c r="Q306" t="s">
        <v>51</v>
      </c>
      <c r="R306" t="s">
        <v>50</v>
      </c>
      <c r="S306" t="s">
        <v>7355</v>
      </c>
    </row>
    <row r="307" spans="16:19" x14ac:dyDescent="0.25">
      <c r="P307">
        <v>11092</v>
      </c>
      <c r="Q307" t="s">
        <v>52</v>
      </c>
      <c r="R307" t="s">
        <v>50</v>
      </c>
      <c r="S307" t="s">
        <v>7355</v>
      </c>
    </row>
    <row r="308" spans="16:19" x14ac:dyDescent="0.25">
      <c r="P308">
        <v>47106</v>
      </c>
      <c r="Q308" t="s">
        <v>53</v>
      </c>
      <c r="R308" t="s">
        <v>50</v>
      </c>
      <c r="S308" t="s">
        <v>7355</v>
      </c>
    </row>
    <row r="309" spans="16:19" x14ac:dyDescent="0.25">
      <c r="P309">
        <v>2186</v>
      </c>
      <c r="Q309" t="s">
        <v>54</v>
      </c>
      <c r="R309" t="s">
        <v>50</v>
      </c>
      <c r="S309" t="s">
        <v>7355</v>
      </c>
    </row>
    <row r="310" spans="16:19" x14ac:dyDescent="0.25">
      <c r="P310">
        <v>23653</v>
      </c>
      <c r="Q310" t="s">
        <v>54</v>
      </c>
      <c r="R310" t="s">
        <v>50</v>
      </c>
      <c r="S310" t="s">
        <v>7355</v>
      </c>
    </row>
    <row r="311" spans="16:19" x14ac:dyDescent="0.25">
      <c r="P311">
        <v>3595</v>
      </c>
      <c r="Q311" t="s">
        <v>54</v>
      </c>
      <c r="R311" t="s">
        <v>50</v>
      </c>
      <c r="S311" t="s">
        <v>7355</v>
      </c>
    </row>
    <row r="312" spans="16:19" x14ac:dyDescent="0.25">
      <c r="P312">
        <v>3781</v>
      </c>
      <c r="Q312" t="s">
        <v>54</v>
      </c>
      <c r="R312" t="s">
        <v>50</v>
      </c>
      <c r="S312" t="s">
        <v>7355</v>
      </c>
    </row>
    <row r="313" spans="16:19" x14ac:dyDescent="0.25">
      <c r="P313">
        <v>3496</v>
      </c>
      <c r="Q313" t="s">
        <v>54</v>
      </c>
      <c r="R313" t="s">
        <v>50</v>
      </c>
      <c r="S313" t="s">
        <v>7355</v>
      </c>
    </row>
    <row r="314" spans="16:19" x14ac:dyDescent="0.25">
      <c r="P314">
        <v>2307</v>
      </c>
      <c r="Q314" t="s">
        <v>54</v>
      </c>
      <c r="R314" t="s">
        <v>50</v>
      </c>
      <c r="S314" t="s">
        <v>7355</v>
      </c>
    </row>
    <row r="315" spans="16:19" x14ac:dyDescent="0.25">
      <c r="P315">
        <v>3188</v>
      </c>
      <c r="Q315" t="s">
        <v>54</v>
      </c>
      <c r="R315" t="s">
        <v>50</v>
      </c>
      <c r="S315" t="s">
        <v>7355</v>
      </c>
    </row>
    <row r="316" spans="16:19" x14ac:dyDescent="0.25">
      <c r="P316">
        <v>2286</v>
      </c>
      <c r="Q316" t="s">
        <v>54</v>
      </c>
      <c r="R316" t="s">
        <v>50</v>
      </c>
      <c r="S316" t="s">
        <v>7355</v>
      </c>
    </row>
    <row r="317" spans="16:19" x14ac:dyDescent="0.25">
      <c r="P317">
        <v>1235</v>
      </c>
      <c r="Q317" t="s">
        <v>54</v>
      </c>
      <c r="R317" t="s">
        <v>50</v>
      </c>
      <c r="S317" t="s">
        <v>7355</v>
      </c>
    </row>
    <row r="318" spans="16:19" x14ac:dyDescent="0.25">
      <c r="P318">
        <v>2701</v>
      </c>
      <c r="Q318" t="s">
        <v>54</v>
      </c>
      <c r="R318" t="s">
        <v>50</v>
      </c>
      <c r="S318" t="s">
        <v>7355</v>
      </c>
    </row>
    <row r="319" spans="16:19" x14ac:dyDescent="0.25">
      <c r="P319">
        <v>1827</v>
      </c>
      <c r="Q319" t="s">
        <v>54</v>
      </c>
      <c r="R319" t="s">
        <v>50</v>
      </c>
      <c r="S319" t="s">
        <v>7355</v>
      </c>
    </row>
    <row r="320" spans="16:19" x14ac:dyDescent="0.25">
      <c r="P320">
        <v>5680</v>
      </c>
      <c r="Q320" t="s">
        <v>54</v>
      </c>
      <c r="R320" t="s">
        <v>50</v>
      </c>
      <c r="S320" t="s">
        <v>7355</v>
      </c>
    </row>
    <row r="321" spans="16:19" x14ac:dyDescent="0.25">
      <c r="P321">
        <v>3691</v>
      </c>
      <c r="Q321" t="s">
        <v>54</v>
      </c>
      <c r="R321" t="s">
        <v>50</v>
      </c>
      <c r="S321" t="s">
        <v>7355</v>
      </c>
    </row>
    <row r="322" spans="16:19" x14ac:dyDescent="0.25">
      <c r="P322">
        <v>1678</v>
      </c>
      <c r="Q322" t="s">
        <v>54</v>
      </c>
      <c r="R322" t="s">
        <v>50</v>
      </c>
      <c r="S322" t="s">
        <v>7355</v>
      </c>
    </row>
    <row r="323" spans="16:19" x14ac:dyDescent="0.25">
      <c r="P323">
        <v>2691</v>
      </c>
      <c r="Q323" t="s">
        <v>54</v>
      </c>
      <c r="R323" t="s">
        <v>50</v>
      </c>
      <c r="S323" t="s">
        <v>7355</v>
      </c>
    </row>
    <row r="324" spans="16:19" x14ac:dyDescent="0.25">
      <c r="P324">
        <v>3048</v>
      </c>
      <c r="Q324" t="s">
        <v>54</v>
      </c>
      <c r="R324" t="s">
        <v>50</v>
      </c>
      <c r="S324" t="s">
        <v>7355</v>
      </c>
    </row>
    <row r="325" spans="16:19" x14ac:dyDescent="0.25">
      <c r="P325">
        <v>2153</v>
      </c>
      <c r="Q325" t="s">
        <v>54</v>
      </c>
      <c r="R325" t="s">
        <v>50</v>
      </c>
      <c r="S325" t="s">
        <v>7355</v>
      </c>
    </row>
    <row r="326" spans="16:19" x14ac:dyDescent="0.25">
      <c r="P326">
        <v>2032</v>
      </c>
      <c r="Q326" t="s">
        <v>54</v>
      </c>
      <c r="R326" t="s">
        <v>50</v>
      </c>
      <c r="S326" t="s">
        <v>7355</v>
      </c>
    </row>
    <row r="327" spans="16:19" x14ac:dyDescent="0.25">
      <c r="P327">
        <v>889</v>
      </c>
      <c r="Q327" t="s">
        <v>54</v>
      </c>
      <c r="R327" t="s">
        <v>50</v>
      </c>
      <c r="S327" t="s">
        <v>7355</v>
      </c>
    </row>
    <row r="328" spans="16:19" x14ac:dyDescent="0.25">
      <c r="P328">
        <v>537</v>
      </c>
      <c r="Q328" t="s">
        <v>54</v>
      </c>
      <c r="R328" t="s">
        <v>50</v>
      </c>
      <c r="S328" t="s">
        <v>7355</v>
      </c>
    </row>
    <row r="329" spans="16:19" x14ac:dyDescent="0.25">
      <c r="P329">
        <v>2871</v>
      </c>
      <c r="Q329" t="s">
        <v>54</v>
      </c>
      <c r="R329" t="s">
        <v>50</v>
      </c>
      <c r="S329" t="s">
        <v>7355</v>
      </c>
    </row>
    <row r="330" spans="16:19" x14ac:dyDescent="0.25">
      <c r="P330">
        <v>2641</v>
      </c>
      <c r="Q330" t="s">
        <v>54</v>
      </c>
      <c r="R330" t="s">
        <v>50</v>
      </c>
      <c r="S330" t="s">
        <v>7355</v>
      </c>
    </row>
    <row r="331" spans="16:19" x14ac:dyDescent="0.25">
      <c r="P331">
        <v>5176</v>
      </c>
      <c r="Q331" t="s">
        <v>54</v>
      </c>
      <c r="R331" t="s">
        <v>50</v>
      </c>
      <c r="S331" t="s">
        <v>7355</v>
      </c>
    </row>
    <row r="332" spans="16:19" x14ac:dyDescent="0.25">
      <c r="P332">
        <v>9339</v>
      </c>
      <c r="Q332" t="s">
        <v>54</v>
      </c>
      <c r="R332" t="s">
        <v>50</v>
      </c>
      <c r="S332" t="s">
        <v>7355</v>
      </c>
    </row>
    <row r="333" spans="16:19" x14ac:dyDescent="0.25">
      <c r="P333">
        <v>3437</v>
      </c>
      <c r="Q333" t="s">
        <v>54</v>
      </c>
      <c r="R333" t="s">
        <v>50</v>
      </c>
      <c r="S333" t="s">
        <v>7355</v>
      </c>
    </row>
    <row r="334" spans="16:19" x14ac:dyDescent="0.25">
      <c r="P334">
        <v>3705</v>
      </c>
      <c r="Q334" t="s">
        <v>54</v>
      </c>
      <c r="R334" t="s">
        <v>50</v>
      </c>
      <c r="S334" t="s">
        <v>7355</v>
      </c>
    </row>
    <row r="335" spans="16:19" x14ac:dyDescent="0.25">
      <c r="P335">
        <v>2120</v>
      </c>
      <c r="Q335" t="s">
        <v>54</v>
      </c>
      <c r="R335" t="s">
        <v>50</v>
      </c>
      <c r="S335" t="s">
        <v>7355</v>
      </c>
    </row>
    <row r="336" spans="16:19" x14ac:dyDescent="0.25">
      <c r="P336">
        <v>1352</v>
      </c>
      <c r="Q336" t="s">
        <v>54</v>
      </c>
      <c r="R336" t="s">
        <v>50</v>
      </c>
      <c r="S336" t="s">
        <v>7355</v>
      </c>
    </row>
    <row r="337" spans="16:19" x14ac:dyDescent="0.25">
      <c r="P337">
        <v>2168</v>
      </c>
      <c r="Q337" t="s">
        <v>54</v>
      </c>
      <c r="R337" t="s">
        <v>50</v>
      </c>
      <c r="S337" t="s">
        <v>7355</v>
      </c>
    </row>
    <row r="338" spans="16:19" x14ac:dyDescent="0.25">
      <c r="P338">
        <v>2286</v>
      </c>
      <c r="Q338" t="s">
        <v>54</v>
      </c>
      <c r="R338" t="s">
        <v>50</v>
      </c>
      <c r="S338" t="s">
        <v>7355</v>
      </c>
    </row>
    <row r="339" spans="16:19" x14ac:dyDescent="0.25">
      <c r="P339">
        <v>1837</v>
      </c>
      <c r="Q339" t="s">
        <v>54</v>
      </c>
      <c r="R339" t="s">
        <v>50</v>
      </c>
      <c r="S339" t="s">
        <v>7355</v>
      </c>
    </row>
    <row r="340" spans="16:19" x14ac:dyDescent="0.25">
      <c r="P340">
        <v>2125</v>
      </c>
      <c r="Q340" t="s">
        <v>54</v>
      </c>
      <c r="R340" t="s">
        <v>50</v>
      </c>
      <c r="S340" t="s">
        <v>7355</v>
      </c>
    </row>
    <row r="341" spans="16:19" x14ac:dyDescent="0.25">
      <c r="P341">
        <v>3350</v>
      </c>
      <c r="Q341" t="s">
        <v>54</v>
      </c>
      <c r="R341" t="s">
        <v>50</v>
      </c>
      <c r="S341" t="s">
        <v>7355</v>
      </c>
    </row>
    <row r="342" spans="16:19" x14ac:dyDescent="0.25">
      <c r="P342">
        <v>1923</v>
      </c>
      <c r="Q342" t="s">
        <v>54</v>
      </c>
      <c r="R342" t="s">
        <v>50</v>
      </c>
      <c r="S342" t="s">
        <v>7355</v>
      </c>
    </row>
    <row r="343" spans="16:19" x14ac:dyDescent="0.25">
      <c r="P343">
        <v>2631</v>
      </c>
      <c r="Q343" t="s">
        <v>55</v>
      </c>
      <c r="R343" t="s">
        <v>50</v>
      </c>
      <c r="S343" t="s">
        <v>7355</v>
      </c>
    </row>
    <row r="344" spans="16:19" x14ac:dyDescent="0.25">
      <c r="P344">
        <v>2174</v>
      </c>
      <c r="Q344" t="s">
        <v>55</v>
      </c>
      <c r="R344" t="s">
        <v>50</v>
      </c>
      <c r="S344" t="s">
        <v>7355</v>
      </c>
    </row>
    <row r="345" spans="16:19" x14ac:dyDescent="0.25">
      <c r="P345">
        <v>12424</v>
      </c>
      <c r="Q345" t="s">
        <v>55</v>
      </c>
      <c r="R345" t="s">
        <v>50</v>
      </c>
      <c r="S345" t="s">
        <v>7355</v>
      </c>
    </row>
    <row r="346" spans="16:19" x14ac:dyDescent="0.25">
      <c r="P346">
        <v>25783</v>
      </c>
      <c r="Q346" t="s">
        <v>55</v>
      </c>
      <c r="R346" t="s">
        <v>50</v>
      </c>
      <c r="S346" t="s">
        <v>7355</v>
      </c>
    </row>
    <row r="347" spans="16:19" x14ac:dyDescent="0.25">
      <c r="P347">
        <v>8990</v>
      </c>
      <c r="Q347" t="s">
        <v>55</v>
      </c>
      <c r="R347" t="s">
        <v>50</v>
      </c>
      <c r="S347" t="s">
        <v>7355</v>
      </c>
    </row>
    <row r="348" spans="16:19" x14ac:dyDescent="0.25">
      <c r="P348">
        <v>11550</v>
      </c>
      <c r="Q348" t="s">
        <v>55</v>
      </c>
      <c r="R348" t="s">
        <v>50</v>
      </c>
      <c r="S348" t="s">
        <v>7355</v>
      </c>
    </row>
    <row r="349" spans="16:19" x14ac:dyDescent="0.25">
      <c r="P349">
        <v>4188</v>
      </c>
      <c r="Q349" t="s">
        <v>55</v>
      </c>
      <c r="R349" t="s">
        <v>50</v>
      </c>
      <c r="S349" t="s">
        <v>7355</v>
      </c>
    </row>
    <row r="350" spans="16:19" x14ac:dyDescent="0.25">
      <c r="P350">
        <v>874</v>
      </c>
      <c r="Q350" t="s">
        <v>55</v>
      </c>
      <c r="R350" t="s">
        <v>50</v>
      </c>
      <c r="S350" t="s">
        <v>7355</v>
      </c>
    </row>
    <row r="351" spans="16:19" x14ac:dyDescent="0.25">
      <c r="P351">
        <v>1733</v>
      </c>
      <c r="Q351" t="s">
        <v>55</v>
      </c>
      <c r="R351" t="s">
        <v>50</v>
      </c>
      <c r="S351" t="s">
        <v>7355</v>
      </c>
    </row>
    <row r="352" spans="16:19" x14ac:dyDescent="0.25">
      <c r="P352">
        <v>1545</v>
      </c>
      <c r="Q352" t="s">
        <v>55</v>
      </c>
      <c r="R352" t="s">
        <v>50</v>
      </c>
      <c r="S352" t="s">
        <v>7355</v>
      </c>
    </row>
    <row r="353" spans="16:19" x14ac:dyDescent="0.25">
      <c r="P353">
        <v>1552</v>
      </c>
      <c r="Q353" t="s">
        <v>55</v>
      </c>
      <c r="R353" t="s">
        <v>50</v>
      </c>
      <c r="S353" t="s">
        <v>7355</v>
      </c>
    </row>
    <row r="354" spans="16:19" x14ac:dyDescent="0.25">
      <c r="P354">
        <v>2545</v>
      </c>
      <c r="Q354" t="s">
        <v>55</v>
      </c>
      <c r="R354" t="s">
        <v>50</v>
      </c>
      <c r="S354" t="s">
        <v>7355</v>
      </c>
    </row>
    <row r="355" spans="16:19" x14ac:dyDescent="0.25">
      <c r="P355">
        <v>1705</v>
      </c>
      <c r="Q355" t="s">
        <v>55</v>
      </c>
      <c r="R355" t="s">
        <v>50</v>
      </c>
      <c r="S355" t="s">
        <v>7355</v>
      </c>
    </row>
    <row r="356" spans="16:19" x14ac:dyDescent="0.25">
      <c r="P356">
        <v>7388</v>
      </c>
      <c r="Q356" t="s">
        <v>55</v>
      </c>
      <c r="R356" t="s">
        <v>50</v>
      </c>
      <c r="S356" t="s">
        <v>7355</v>
      </c>
    </row>
    <row r="357" spans="16:19" x14ac:dyDescent="0.25">
      <c r="P357">
        <v>5118</v>
      </c>
      <c r="Q357" t="s">
        <v>55</v>
      </c>
      <c r="R357" t="s">
        <v>50</v>
      </c>
      <c r="S357" t="s">
        <v>7355</v>
      </c>
    </row>
    <row r="358" spans="16:19" x14ac:dyDescent="0.25">
      <c r="P358">
        <v>3059</v>
      </c>
      <c r="Q358" t="s">
        <v>55</v>
      </c>
      <c r="R358" t="s">
        <v>50</v>
      </c>
      <c r="S358" t="s">
        <v>7355</v>
      </c>
    </row>
    <row r="359" spans="16:19" x14ac:dyDescent="0.25">
      <c r="P359">
        <v>4943</v>
      </c>
      <c r="Q359" t="s">
        <v>55</v>
      </c>
      <c r="R359" t="s">
        <v>50</v>
      </c>
      <c r="S359" t="s">
        <v>7355</v>
      </c>
    </row>
    <row r="360" spans="16:19" x14ac:dyDescent="0.25">
      <c r="P360">
        <v>3518</v>
      </c>
      <c r="Q360" t="s">
        <v>55</v>
      </c>
      <c r="R360" t="s">
        <v>50</v>
      </c>
      <c r="S360" t="s">
        <v>7355</v>
      </c>
    </row>
    <row r="361" spans="16:19" x14ac:dyDescent="0.25">
      <c r="P361">
        <v>7457</v>
      </c>
      <c r="Q361" t="s">
        <v>55</v>
      </c>
      <c r="R361" t="s">
        <v>50</v>
      </c>
      <c r="S361" t="s">
        <v>7355</v>
      </c>
    </row>
    <row r="362" spans="16:19" x14ac:dyDescent="0.25">
      <c r="P362">
        <v>2887</v>
      </c>
      <c r="Q362" t="s">
        <v>55</v>
      </c>
      <c r="R362" t="s">
        <v>50</v>
      </c>
      <c r="S362" t="s">
        <v>7355</v>
      </c>
    </row>
    <row r="363" spans="16:19" x14ac:dyDescent="0.25">
      <c r="P363">
        <v>1723</v>
      </c>
      <c r="Q363" t="s">
        <v>55</v>
      </c>
      <c r="R363" t="s">
        <v>50</v>
      </c>
      <c r="S363" t="s">
        <v>7355</v>
      </c>
    </row>
    <row r="364" spans="16:19" x14ac:dyDescent="0.25">
      <c r="P364">
        <v>2110</v>
      </c>
      <c r="Q364" t="s">
        <v>55</v>
      </c>
      <c r="R364" t="s">
        <v>50</v>
      </c>
      <c r="S364" t="s">
        <v>7355</v>
      </c>
    </row>
    <row r="365" spans="16:19" x14ac:dyDescent="0.25">
      <c r="P365">
        <v>1559</v>
      </c>
      <c r="Q365" t="s">
        <v>55</v>
      </c>
      <c r="R365" t="s">
        <v>50</v>
      </c>
      <c r="S365" t="s">
        <v>7355</v>
      </c>
    </row>
    <row r="366" spans="16:19" x14ac:dyDescent="0.25">
      <c r="P366">
        <v>1015</v>
      </c>
      <c r="Q366" t="s">
        <v>55</v>
      </c>
      <c r="R366" t="s">
        <v>50</v>
      </c>
      <c r="S366" t="s">
        <v>7355</v>
      </c>
    </row>
    <row r="367" spans="16:19" x14ac:dyDescent="0.25">
      <c r="P367">
        <v>1423</v>
      </c>
      <c r="Q367" t="s">
        <v>55</v>
      </c>
      <c r="R367" t="s">
        <v>50</v>
      </c>
      <c r="S367" t="s">
        <v>7355</v>
      </c>
    </row>
    <row r="368" spans="16:19" x14ac:dyDescent="0.25">
      <c r="P368">
        <v>1771</v>
      </c>
      <c r="Q368" t="s">
        <v>55</v>
      </c>
      <c r="R368" t="s">
        <v>50</v>
      </c>
      <c r="S368" t="s">
        <v>7355</v>
      </c>
    </row>
    <row r="369" spans="16:19" x14ac:dyDescent="0.25">
      <c r="P369">
        <v>18761</v>
      </c>
      <c r="Q369" t="s">
        <v>55</v>
      </c>
      <c r="R369" t="s">
        <v>50</v>
      </c>
      <c r="S369" t="s">
        <v>7355</v>
      </c>
    </row>
    <row r="370" spans="16:19" x14ac:dyDescent="0.25">
      <c r="P370">
        <v>3753</v>
      </c>
      <c r="Q370" t="s">
        <v>55</v>
      </c>
      <c r="R370" t="s">
        <v>50</v>
      </c>
      <c r="S370" t="s">
        <v>7355</v>
      </c>
    </row>
    <row r="371" spans="16:19" x14ac:dyDescent="0.25">
      <c r="P371">
        <v>1744</v>
      </c>
      <c r="Q371" t="s">
        <v>55</v>
      </c>
      <c r="R371" t="s">
        <v>50</v>
      </c>
      <c r="S371" t="s">
        <v>7355</v>
      </c>
    </row>
    <row r="372" spans="16:19" x14ac:dyDescent="0.25">
      <c r="P372">
        <v>1927</v>
      </c>
      <c r="Q372" t="s">
        <v>55</v>
      </c>
      <c r="R372" t="s">
        <v>50</v>
      </c>
      <c r="S372" t="s">
        <v>7355</v>
      </c>
    </row>
    <row r="373" spans="16:19" x14ac:dyDescent="0.25">
      <c r="P373">
        <v>953</v>
      </c>
      <c r="Q373" t="s">
        <v>56</v>
      </c>
      <c r="R373" t="s">
        <v>50</v>
      </c>
      <c r="S373" t="s">
        <v>7355</v>
      </c>
    </row>
    <row r="374" spans="16:19" x14ac:dyDescent="0.25">
      <c r="P374">
        <v>1946</v>
      </c>
      <c r="Q374" t="s">
        <v>56</v>
      </c>
      <c r="R374" t="s">
        <v>50</v>
      </c>
      <c r="S374" t="s">
        <v>7355</v>
      </c>
    </row>
    <row r="375" spans="16:19" x14ac:dyDescent="0.25">
      <c r="P375">
        <v>956</v>
      </c>
      <c r="Q375" t="s">
        <v>56</v>
      </c>
      <c r="R375" t="s">
        <v>50</v>
      </c>
      <c r="S375" t="s">
        <v>7355</v>
      </c>
    </row>
    <row r="376" spans="16:19" x14ac:dyDescent="0.25">
      <c r="P376">
        <v>8186</v>
      </c>
      <c r="Q376" t="s">
        <v>56</v>
      </c>
      <c r="R376" t="s">
        <v>50</v>
      </c>
      <c r="S376" t="s">
        <v>7355</v>
      </c>
    </row>
    <row r="377" spans="16:19" x14ac:dyDescent="0.25">
      <c r="P377">
        <v>3491</v>
      </c>
      <c r="Q377" t="s">
        <v>56</v>
      </c>
      <c r="R377" t="s">
        <v>50</v>
      </c>
      <c r="S377" t="s">
        <v>7355</v>
      </c>
    </row>
    <row r="378" spans="16:19" x14ac:dyDescent="0.25">
      <c r="P378">
        <v>1449</v>
      </c>
      <c r="Q378" t="s">
        <v>56</v>
      </c>
      <c r="R378" t="s">
        <v>50</v>
      </c>
      <c r="S378" t="s">
        <v>7355</v>
      </c>
    </row>
    <row r="379" spans="16:19" x14ac:dyDescent="0.25">
      <c r="P379">
        <v>2188</v>
      </c>
      <c r="Q379" t="s">
        <v>56</v>
      </c>
      <c r="R379" t="s">
        <v>50</v>
      </c>
      <c r="S379" t="s">
        <v>7355</v>
      </c>
    </row>
    <row r="380" spans="16:19" x14ac:dyDescent="0.25">
      <c r="P380">
        <v>6892</v>
      </c>
      <c r="Q380" t="s">
        <v>56</v>
      </c>
      <c r="R380" t="s">
        <v>50</v>
      </c>
      <c r="S380" t="s">
        <v>7355</v>
      </c>
    </row>
    <row r="381" spans="16:19" x14ac:dyDescent="0.25">
      <c r="P381">
        <v>2008</v>
      </c>
      <c r="Q381" t="s">
        <v>56</v>
      </c>
      <c r="R381" t="s">
        <v>50</v>
      </c>
      <c r="S381" t="s">
        <v>7355</v>
      </c>
    </row>
    <row r="382" spans="16:19" x14ac:dyDescent="0.25">
      <c r="P382">
        <v>1212</v>
      </c>
      <c r="Q382" t="s">
        <v>56</v>
      </c>
      <c r="R382" t="s">
        <v>50</v>
      </c>
      <c r="S382" t="s">
        <v>7355</v>
      </c>
    </row>
    <row r="383" spans="16:19" x14ac:dyDescent="0.25">
      <c r="P383">
        <v>1607</v>
      </c>
      <c r="Q383" t="s">
        <v>56</v>
      </c>
      <c r="R383" t="s">
        <v>50</v>
      </c>
      <c r="S383" t="s">
        <v>7355</v>
      </c>
    </row>
    <row r="384" spans="16:19" x14ac:dyDescent="0.25">
      <c r="P384">
        <v>636</v>
      </c>
      <c r="Q384" t="s">
        <v>56</v>
      </c>
      <c r="R384" t="s">
        <v>50</v>
      </c>
      <c r="S384" t="s">
        <v>7355</v>
      </c>
    </row>
    <row r="385" spans="16:19" x14ac:dyDescent="0.25">
      <c r="P385">
        <v>4150</v>
      </c>
      <c r="Q385" t="s">
        <v>56</v>
      </c>
      <c r="R385" t="s">
        <v>50</v>
      </c>
      <c r="S385" t="s">
        <v>7355</v>
      </c>
    </row>
    <row r="386" spans="16:19" x14ac:dyDescent="0.25">
      <c r="P386">
        <v>1285</v>
      </c>
      <c r="Q386" t="s">
        <v>56</v>
      </c>
      <c r="R386" t="s">
        <v>50</v>
      </c>
      <c r="S386" t="s">
        <v>7355</v>
      </c>
    </row>
    <row r="387" spans="16:19" x14ac:dyDescent="0.25">
      <c r="P387">
        <v>1658</v>
      </c>
      <c r="Q387" t="s">
        <v>56</v>
      </c>
      <c r="R387" t="s">
        <v>50</v>
      </c>
      <c r="S387" t="s">
        <v>7355</v>
      </c>
    </row>
    <row r="388" spans="16:19" x14ac:dyDescent="0.25">
      <c r="P388">
        <v>1665</v>
      </c>
      <c r="Q388" t="s">
        <v>56</v>
      </c>
      <c r="R388" t="s">
        <v>50</v>
      </c>
      <c r="S388" t="s">
        <v>7355</v>
      </c>
    </row>
    <row r="389" spans="16:19" x14ac:dyDescent="0.25">
      <c r="P389">
        <v>1227</v>
      </c>
      <c r="Q389" t="s">
        <v>56</v>
      </c>
      <c r="R389" t="s">
        <v>50</v>
      </c>
      <c r="S389" t="s">
        <v>7355</v>
      </c>
    </row>
    <row r="390" spans="16:19" x14ac:dyDescent="0.25">
      <c r="P390">
        <v>2162</v>
      </c>
      <c r="Q390" t="s">
        <v>56</v>
      </c>
      <c r="R390" t="s">
        <v>50</v>
      </c>
      <c r="S390" t="s">
        <v>7355</v>
      </c>
    </row>
    <row r="391" spans="16:19" x14ac:dyDescent="0.25">
      <c r="P391">
        <v>2962</v>
      </c>
      <c r="Q391" t="s">
        <v>56</v>
      </c>
      <c r="R391" t="s">
        <v>50</v>
      </c>
      <c r="S391" t="s">
        <v>7355</v>
      </c>
    </row>
    <row r="392" spans="16:19" x14ac:dyDescent="0.25">
      <c r="P392">
        <v>1179</v>
      </c>
      <c r="Q392" t="s">
        <v>56</v>
      </c>
      <c r="R392" t="s">
        <v>50</v>
      </c>
      <c r="S392" t="s">
        <v>7355</v>
      </c>
    </row>
    <row r="393" spans="16:19" x14ac:dyDescent="0.25">
      <c r="P393">
        <v>4050</v>
      </c>
      <c r="Q393" t="s">
        <v>56</v>
      </c>
      <c r="R393" t="s">
        <v>50</v>
      </c>
      <c r="S393" t="s">
        <v>7355</v>
      </c>
    </row>
    <row r="394" spans="16:19" x14ac:dyDescent="0.25">
      <c r="P394">
        <v>5593</v>
      </c>
      <c r="Q394" t="s">
        <v>56</v>
      </c>
      <c r="R394" t="s">
        <v>50</v>
      </c>
      <c r="S394" t="s">
        <v>7355</v>
      </c>
    </row>
    <row r="395" spans="16:19" x14ac:dyDescent="0.25">
      <c r="P395">
        <v>3697</v>
      </c>
      <c r="Q395" t="s">
        <v>56</v>
      </c>
      <c r="R395" t="s">
        <v>50</v>
      </c>
      <c r="S395" t="s">
        <v>7355</v>
      </c>
    </row>
    <row r="396" spans="16:19" x14ac:dyDescent="0.25">
      <c r="P396">
        <v>7828</v>
      </c>
      <c r="Q396" t="s">
        <v>56</v>
      </c>
      <c r="R396" t="s">
        <v>50</v>
      </c>
      <c r="S396" t="s">
        <v>7355</v>
      </c>
    </row>
    <row r="397" spans="16:19" x14ac:dyDescent="0.25">
      <c r="P397">
        <v>957</v>
      </c>
      <c r="Q397" t="s">
        <v>56</v>
      </c>
      <c r="R397" t="s">
        <v>50</v>
      </c>
      <c r="S397" t="s">
        <v>7355</v>
      </c>
    </row>
    <row r="398" spans="16:19" x14ac:dyDescent="0.25">
      <c r="P398">
        <v>1901</v>
      </c>
      <c r="Q398" t="s">
        <v>56</v>
      </c>
      <c r="R398" t="s">
        <v>50</v>
      </c>
      <c r="S398" t="s">
        <v>7355</v>
      </c>
    </row>
    <row r="399" spans="16:19" x14ac:dyDescent="0.25">
      <c r="P399">
        <v>5288</v>
      </c>
      <c r="Q399" t="s">
        <v>56</v>
      </c>
      <c r="R399" t="s">
        <v>50</v>
      </c>
      <c r="S399" t="s">
        <v>7355</v>
      </c>
    </row>
    <row r="400" spans="16:19" x14ac:dyDescent="0.25">
      <c r="P400">
        <v>2193</v>
      </c>
      <c r="Q400" t="s">
        <v>56</v>
      </c>
      <c r="R400" t="s">
        <v>50</v>
      </c>
      <c r="S400" t="s">
        <v>7355</v>
      </c>
    </row>
    <row r="401" spans="16:19" x14ac:dyDescent="0.25">
      <c r="P401">
        <v>1804</v>
      </c>
      <c r="Q401" t="s">
        <v>56</v>
      </c>
      <c r="R401" t="s">
        <v>50</v>
      </c>
      <c r="S401" t="s">
        <v>7355</v>
      </c>
    </row>
    <row r="402" spans="16:19" x14ac:dyDescent="0.25">
      <c r="P402">
        <v>789</v>
      </c>
      <c r="Q402" t="s">
        <v>56</v>
      </c>
      <c r="R402" t="s">
        <v>50</v>
      </c>
      <c r="S402" t="s">
        <v>7355</v>
      </c>
    </row>
    <row r="403" spans="16:19" x14ac:dyDescent="0.25">
      <c r="P403">
        <v>2250</v>
      </c>
      <c r="Q403" t="s">
        <v>56</v>
      </c>
      <c r="R403" t="s">
        <v>50</v>
      </c>
      <c r="S403" t="s">
        <v>7355</v>
      </c>
    </row>
    <row r="404" spans="16:19" x14ac:dyDescent="0.25">
      <c r="P404">
        <v>20763</v>
      </c>
      <c r="Q404" t="s">
        <v>56</v>
      </c>
      <c r="R404" t="s">
        <v>50</v>
      </c>
      <c r="S404" t="s">
        <v>7355</v>
      </c>
    </row>
    <row r="405" spans="16:19" x14ac:dyDescent="0.25">
      <c r="P405">
        <v>1711</v>
      </c>
      <c r="Q405" t="s">
        <v>56</v>
      </c>
      <c r="R405" t="s">
        <v>50</v>
      </c>
      <c r="S405" t="s">
        <v>7355</v>
      </c>
    </row>
    <row r="406" spans="16:19" x14ac:dyDescent="0.25">
      <c r="P406">
        <v>196</v>
      </c>
      <c r="Q406" t="s">
        <v>57</v>
      </c>
      <c r="R406" t="s">
        <v>50</v>
      </c>
      <c r="S406" t="s">
        <v>7355</v>
      </c>
    </row>
    <row r="407" spans="16:19" x14ac:dyDescent="0.25">
      <c r="P407">
        <v>148</v>
      </c>
      <c r="Q407" t="s">
        <v>57</v>
      </c>
      <c r="R407" t="s">
        <v>50</v>
      </c>
      <c r="S407" t="s">
        <v>7355</v>
      </c>
    </row>
    <row r="408" spans="16:19" x14ac:dyDescent="0.25">
      <c r="P408">
        <v>3446</v>
      </c>
      <c r="Q408" t="s">
        <v>57</v>
      </c>
      <c r="R408" t="s">
        <v>50</v>
      </c>
      <c r="S408" t="s">
        <v>7355</v>
      </c>
    </row>
    <row r="409" spans="16:19" x14ac:dyDescent="0.25">
      <c r="P409">
        <v>1954</v>
      </c>
      <c r="Q409" t="s">
        <v>57</v>
      </c>
      <c r="R409" t="s">
        <v>50</v>
      </c>
      <c r="S409" t="s">
        <v>7355</v>
      </c>
    </row>
    <row r="410" spans="16:19" x14ac:dyDescent="0.25">
      <c r="P410">
        <v>1791</v>
      </c>
      <c r="Q410" t="s">
        <v>57</v>
      </c>
      <c r="R410" t="s">
        <v>50</v>
      </c>
      <c r="S410" t="s">
        <v>7355</v>
      </c>
    </row>
    <row r="411" spans="16:19" x14ac:dyDescent="0.25">
      <c r="P411">
        <v>9126</v>
      </c>
      <c r="Q411" t="s">
        <v>57</v>
      </c>
      <c r="R411" t="s">
        <v>50</v>
      </c>
      <c r="S411" t="s">
        <v>7355</v>
      </c>
    </row>
    <row r="412" spans="16:19" x14ac:dyDescent="0.25">
      <c r="P412">
        <v>1096</v>
      </c>
      <c r="Q412" t="s">
        <v>57</v>
      </c>
      <c r="R412" t="s">
        <v>50</v>
      </c>
      <c r="S412" t="s">
        <v>7355</v>
      </c>
    </row>
    <row r="413" spans="16:19" x14ac:dyDescent="0.25">
      <c r="P413">
        <v>2272</v>
      </c>
      <c r="Q413" t="s">
        <v>57</v>
      </c>
      <c r="R413" t="s">
        <v>50</v>
      </c>
      <c r="S413" t="s">
        <v>7355</v>
      </c>
    </row>
    <row r="414" spans="16:19" x14ac:dyDescent="0.25">
      <c r="P414">
        <v>925</v>
      </c>
      <c r="Q414" t="s">
        <v>57</v>
      </c>
      <c r="R414" t="s">
        <v>50</v>
      </c>
      <c r="S414" t="s">
        <v>7355</v>
      </c>
    </row>
    <row r="415" spans="16:19" x14ac:dyDescent="0.25">
      <c r="P415">
        <v>1342</v>
      </c>
      <c r="Q415" t="s">
        <v>57</v>
      </c>
      <c r="R415" t="s">
        <v>50</v>
      </c>
      <c r="S415" t="s">
        <v>7355</v>
      </c>
    </row>
    <row r="416" spans="16:19" x14ac:dyDescent="0.25">
      <c r="P416">
        <v>2128</v>
      </c>
      <c r="Q416" t="s">
        <v>57</v>
      </c>
      <c r="R416" t="s">
        <v>50</v>
      </c>
      <c r="S416" t="s">
        <v>7355</v>
      </c>
    </row>
    <row r="417" spans="16:19" x14ac:dyDescent="0.25">
      <c r="P417">
        <v>11950</v>
      </c>
      <c r="Q417" t="s">
        <v>57</v>
      </c>
      <c r="R417" t="s">
        <v>50</v>
      </c>
      <c r="S417" t="s">
        <v>7355</v>
      </c>
    </row>
    <row r="418" spans="16:19" x14ac:dyDescent="0.25">
      <c r="P418">
        <v>345</v>
      </c>
      <c r="Q418" t="s">
        <v>57</v>
      </c>
      <c r="R418" t="s">
        <v>50</v>
      </c>
      <c r="S418" t="s">
        <v>7355</v>
      </c>
    </row>
    <row r="419" spans="16:19" x14ac:dyDescent="0.25">
      <c r="P419">
        <v>11817</v>
      </c>
      <c r="Q419" t="s">
        <v>57</v>
      </c>
      <c r="R419" t="s">
        <v>50</v>
      </c>
      <c r="S419" t="s">
        <v>7355</v>
      </c>
    </row>
    <row r="420" spans="16:19" x14ac:dyDescent="0.25">
      <c r="P420">
        <v>104</v>
      </c>
      <c r="Q420" t="s">
        <v>57</v>
      </c>
      <c r="R420" t="s">
        <v>50</v>
      </c>
      <c r="S420" t="s">
        <v>7355</v>
      </c>
    </row>
    <row r="421" spans="16:19" x14ac:dyDescent="0.25">
      <c r="P421">
        <v>1321</v>
      </c>
      <c r="Q421" t="s">
        <v>57</v>
      </c>
      <c r="R421" t="s">
        <v>50</v>
      </c>
      <c r="S421" t="s">
        <v>7355</v>
      </c>
    </row>
    <row r="422" spans="16:19" x14ac:dyDescent="0.25">
      <c r="P422">
        <v>1172</v>
      </c>
      <c r="Q422" t="s">
        <v>57</v>
      </c>
      <c r="R422" t="s">
        <v>50</v>
      </c>
      <c r="S422" t="s">
        <v>7355</v>
      </c>
    </row>
    <row r="423" spans="16:19" x14ac:dyDescent="0.25">
      <c r="P423">
        <v>1299</v>
      </c>
      <c r="Q423" t="s">
        <v>57</v>
      </c>
      <c r="R423" t="s">
        <v>50</v>
      </c>
      <c r="S423" t="s">
        <v>7355</v>
      </c>
    </row>
    <row r="424" spans="16:19" x14ac:dyDescent="0.25">
      <c r="P424">
        <v>2755</v>
      </c>
      <c r="Q424" t="s">
        <v>57</v>
      </c>
      <c r="R424" t="s">
        <v>50</v>
      </c>
      <c r="S424" t="s">
        <v>7355</v>
      </c>
    </row>
    <row r="425" spans="16:19" x14ac:dyDescent="0.25">
      <c r="P425">
        <v>933</v>
      </c>
      <c r="Q425" t="s">
        <v>57</v>
      </c>
      <c r="R425" t="s">
        <v>50</v>
      </c>
      <c r="S425" t="s">
        <v>7355</v>
      </c>
    </row>
    <row r="426" spans="16:19" x14ac:dyDescent="0.25">
      <c r="P426">
        <v>1117</v>
      </c>
      <c r="Q426" t="s">
        <v>57</v>
      </c>
      <c r="R426" t="s">
        <v>50</v>
      </c>
      <c r="S426" t="s">
        <v>7355</v>
      </c>
    </row>
    <row r="427" spans="16:19" x14ac:dyDescent="0.25">
      <c r="P427">
        <v>2971</v>
      </c>
      <c r="Q427" t="s">
        <v>57</v>
      </c>
      <c r="R427" t="s">
        <v>50</v>
      </c>
      <c r="S427" t="s">
        <v>7355</v>
      </c>
    </row>
    <row r="428" spans="16:19" x14ac:dyDescent="0.25">
      <c r="P428">
        <v>2910</v>
      </c>
      <c r="Q428" t="s">
        <v>57</v>
      </c>
      <c r="R428" t="s">
        <v>50</v>
      </c>
      <c r="S428" t="s">
        <v>7355</v>
      </c>
    </row>
    <row r="429" spans="16:19" x14ac:dyDescent="0.25">
      <c r="P429">
        <v>355</v>
      </c>
      <c r="Q429" t="s">
        <v>57</v>
      </c>
      <c r="R429" t="s">
        <v>50</v>
      </c>
      <c r="S429" t="s">
        <v>7355</v>
      </c>
    </row>
    <row r="430" spans="16:19" x14ac:dyDescent="0.25">
      <c r="P430">
        <v>3009</v>
      </c>
      <c r="Q430" t="s">
        <v>57</v>
      </c>
      <c r="R430" t="s">
        <v>50</v>
      </c>
      <c r="S430" t="s">
        <v>7355</v>
      </c>
    </row>
    <row r="431" spans="16:19" x14ac:dyDescent="0.25">
      <c r="P431">
        <v>903</v>
      </c>
      <c r="Q431" t="s">
        <v>57</v>
      </c>
      <c r="R431" t="s">
        <v>50</v>
      </c>
      <c r="S431" t="s">
        <v>7355</v>
      </c>
    </row>
    <row r="432" spans="16:19" x14ac:dyDescent="0.25">
      <c r="P432">
        <v>2786</v>
      </c>
      <c r="Q432" t="s">
        <v>57</v>
      </c>
      <c r="R432" t="s">
        <v>50</v>
      </c>
      <c r="S432" t="s">
        <v>7355</v>
      </c>
    </row>
    <row r="433" spans="16:19" x14ac:dyDescent="0.25">
      <c r="P433">
        <v>1227</v>
      </c>
      <c r="Q433" t="s">
        <v>57</v>
      </c>
      <c r="R433" t="s">
        <v>50</v>
      </c>
      <c r="S433" t="s">
        <v>7355</v>
      </c>
    </row>
    <row r="434" spans="16:19" x14ac:dyDescent="0.25">
      <c r="P434">
        <v>1775</v>
      </c>
      <c r="Q434" t="s">
        <v>57</v>
      </c>
      <c r="R434" t="s">
        <v>50</v>
      </c>
      <c r="S434" t="s">
        <v>7355</v>
      </c>
    </row>
    <row r="435" spans="16:19" x14ac:dyDescent="0.25">
      <c r="P435">
        <v>2159</v>
      </c>
      <c r="Q435" t="s">
        <v>57</v>
      </c>
      <c r="R435" t="s">
        <v>50</v>
      </c>
      <c r="S435" t="s">
        <v>7355</v>
      </c>
    </row>
    <row r="436" spans="16:19" x14ac:dyDescent="0.25">
      <c r="P436">
        <v>1368</v>
      </c>
      <c r="Q436" t="s">
        <v>57</v>
      </c>
      <c r="R436" t="s">
        <v>50</v>
      </c>
      <c r="S436" t="s">
        <v>7355</v>
      </c>
    </row>
    <row r="437" spans="16:19" x14ac:dyDescent="0.25">
      <c r="P437">
        <v>169</v>
      </c>
      <c r="Q437" t="s">
        <v>57</v>
      </c>
      <c r="R437" t="s">
        <v>50</v>
      </c>
      <c r="S437" t="s">
        <v>7355</v>
      </c>
    </row>
    <row r="438" spans="16:19" x14ac:dyDescent="0.25">
      <c r="P438">
        <v>1454</v>
      </c>
      <c r="Q438" t="s">
        <v>57</v>
      </c>
      <c r="R438" t="s">
        <v>50</v>
      </c>
      <c r="S438" t="s">
        <v>7355</v>
      </c>
    </row>
    <row r="439" spans="16:19" x14ac:dyDescent="0.25">
      <c r="P439">
        <v>662</v>
      </c>
      <c r="Q439" t="s">
        <v>57</v>
      </c>
      <c r="R439" t="s">
        <v>50</v>
      </c>
      <c r="S439" t="s">
        <v>7355</v>
      </c>
    </row>
    <row r="440" spans="16:19" x14ac:dyDescent="0.25">
      <c r="P440">
        <v>1271</v>
      </c>
      <c r="Q440" t="s">
        <v>57</v>
      </c>
      <c r="R440" t="s">
        <v>50</v>
      </c>
      <c r="S440" t="s">
        <v>7355</v>
      </c>
    </row>
    <row r="441" spans="16:19" x14ac:dyDescent="0.25">
      <c r="P441">
        <v>2016</v>
      </c>
      <c r="Q441" t="s">
        <v>57</v>
      </c>
      <c r="R441" t="s">
        <v>50</v>
      </c>
      <c r="S441" t="s">
        <v>7355</v>
      </c>
    </row>
    <row r="442" spans="16:19" x14ac:dyDescent="0.25">
      <c r="P442">
        <v>991</v>
      </c>
      <c r="Q442" t="s">
        <v>57</v>
      </c>
      <c r="R442" t="s">
        <v>50</v>
      </c>
      <c r="S442" t="s">
        <v>7355</v>
      </c>
    </row>
    <row r="443" spans="16:19" x14ac:dyDescent="0.25">
      <c r="P443">
        <v>11361</v>
      </c>
      <c r="Q443" t="s">
        <v>57</v>
      </c>
      <c r="R443" t="s">
        <v>50</v>
      </c>
      <c r="S443" t="s">
        <v>7355</v>
      </c>
    </row>
    <row r="444" spans="16:19" x14ac:dyDescent="0.25">
      <c r="P444">
        <v>1227</v>
      </c>
      <c r="Q444" t="s">
        <v>57</v>
      </c>
      <c r="R444" t="s">
        <v>50</v>
      </c>
      <c r="S444" t="s">
        <v>7355</v>
      </c>
    </row>
    <row r="445" spans="16:19" x14ac:dyDescent="0.25">
      <c r="P445">
        <v>1793</v>
      </c>
      <c r="Q445" t="s">
        <v>57</v>
      </c>
      <c r="R445" t="s">
        <v>50</v>
      </c>
      <c r="S445" t="s">
        <v>7355</v>
      </c>
    </row>
    <row r="446" spans="16:19" x14ac:dyDescent="0.25">
      <c r="P446">
        <v>770</v>
      </c>
      <c r="Q446" t="s">
        <v>57</v>
      </c>
      <c r="R446" t="s">
        <v>50</v>
      </c>
      <c r="S446" t="s">
        <v>7355</v>
      </c>
    </row>
    <row r="447" spans="16:19" x14ac:dyDescent="0.25">
      <c r="P447">
        <v>2022</v>
      </c>
      <c r="Q447" t="s">
        <v>57</v>
      </c>
      <c r="R447" t="s">
        <v>50</v>
      </c>
      <c r="S447" t="s">
        <v>7355</v>
      </c>
    </row>
    <row r="448" spans="16:19" x14ac:dyDescent="0.25">
      <c r="P448">
        <v>5409</v>
      </c>
      <c r="Q448" t="s">
        <v>57</v>
      </c>
      <c r="R448" t="s">
        <v>50</v>
      </c>
      <c r="S448" t="s">
        <v>7355</v>
      </c>
    </row>
    <row r="449" spans="16:19" x14ac:dyDescent="0.25">
      <c r="P449">
        <v>1001</v>
      </c>
      <c r="Q449" t="s">
        <v>57</v>
      </c>
      <c r="R449" t="s">
        <v>50</v>
      </c>
      <c r="S449" t="s">
        <v>7355</v>
      </c>
    </row>
    <row r="450" spans="16:19" x14ac:dyDescent="0.25">
      <c r="P450">
        <v>1116</v>
      </c>
      <c r="Q450" t="s">
        <v>58</v>
      </c>
      <c r="R450" t="s">
        <v>50</v>
      </c>
      <c r="S450" t="s">
        <v>7355</v>
      </c>
    </row>
    <row r="451" spans="16:19" x14ac:dyDescent="0.25">
      <c r="P451">
        <v>1469</v>
      </c>
      <c r="Q451" t="s">
        <v>58</v>
      </c>
      <c r="R451" t="s">
        <v>50</v>
      </c>
      <c r="S451" t="s">
        <v>7355</v>
      </c>
    </row>
    <row r="452" spans="16:19" x14ac:dyDescent="0.25">
      <c r="P452">
        <v>681</v>
      </c>
      <c r="Q452" t="s">
        <v>58</v>
      </c>
      <c r="R452" t="s">
        <v>50</v>
      </c>
      <c r="S452" t="s">
        <v>7355</v>
      </c>
    </row>
    <row r="453" spans="16:19" x14ac:dyDescent="0.25">
      <c r="P453">
        <v>696</v>
      </c>
      <c r="Q453" t="s">
        <v>58</v>
      </c>
      <c r="R453" t="s">
        <v>50</v>
      </c>
      <c r="S453" t="s">
        <v>7355</v>
      </c>
    </row>
    <row r="454" spans="16:19" x14ac:dyDescent="0.25">
      <c r="P454">
        <v>5182</v>
      </c>
      <c r="Q454" t="s">
        <v>58</v>
      </c>
      <c r="R454" t="s">
        <v>50</v>
      </c>
      <c r="S454" t="s">
        <v>7355</v>
      </c>
    </row>
    <row r="455" spans="16:19" x14ac:dyDescent="0.25">
      <c r="P455">
        <v>2175</v>
      </c>
      <c r="Q455" t="s">
        <v>58</v>
      </c>
      <c r="R455" t="s">
        <v>50</v>
      </c>
      <c r="S455" t="s">
        <v>7355</v>
      </c>
    </row>
    <row r="456" spans="16:19" x14ac:dyDescent="0.25">
      <c r="P456">
        <v>1292</v>
      </c>
      <c r="Q456" t="s">
        <v>58</v>
      </c>
      <c r="R456" t="s">
        <v>50</v>
      </c>
      <c r="S456" t="s">
        <v>7355</v>
      </c>
    </row>
    <row r="457" spans="16:19" x14ac:dyDescent="0.25">
      <c r="P457">
        <v>1230</v>
      </c>
      <c r="Q457" t="s">
        <v>58</v>
      </c>
      <c r="R457" t="s">
        <v>50</v>
      </c>
      <c r="S457" t="s">
        <v>7355</v>
      </c>
    </row>
    <row r="458" spans="16:19" x14ac:dyDescent="0.25">
      <c r="P458">
        <v>718</v>
      </c>
      <c r="Q458" t="s">
        <v>58</v>
      </c>
      <c r="R458" t="s">
        <v>50</v>
      </c>
      <c r="S458" t="s">
        <v>7355</v>
      </c>
    </row>
    <row r="459" spans="16:19" x14ac:dyDescent="0.25">
      <c r="P459">
        <v>480</v>
      </c>
      <c r="Q459" t="s">
        <v>58</v>
      </c>
      <c r="R459" t="s">
        <v>50</v>
      </c>
      <c r="S459" t="s">
        <v>7355</v>
      </c>
    </row>
    <row r="460" spans="16:19" x14ac:dyDescent="0.25">
      <c r="P460">
        <v>3864</v>
      </c>
      <c r="Q460" t="s">
        <v>58</v>
      </c>
      <c r="R460" t="s">
        <v>50</v>
      </c>
      <c r="S460" t="s">
        <v>7355</v>
      </c>
    </row>
    <row r="461" spans="16:19" x14ac:dyDescent="0.25">
      <c r="P461">
        <v>579</v>
      </c>
      <c r="Q461" t="s">
        <v>58</v>
      </c>
      <c r="R461" t="s">
        <v>50</v>
      </c>
      <c r="S461" t="s">
        <v>7355</v>
      </c>
    </row>
    <row r="462" spans="16:19" x14ac:dyDescent="0.25">
      <c r="P462">
        <v>1402</v>
      </c>
      <c r="Q462" t="s">
        <v>58</v>
      </c>
      <c r="R462" t="s">
        <v>50</v>
      </c>
      <c r="S462" t="s">
        <v>7355</v>
      </c>
    </row>
    <row r="463" spans="16:19" x14ac:dyDescent="0.25">
      <c r="P463">
        <v>1272</v>
      </c>
      <c r="Q463" t="s">
        <v>58</v>
      </c>
      <c r="R463" t="s">
        <v>50</v>
      </c>
      <c r="S463" t="s">
        <v>7355</v>
      </c>
    </row>
    <row r="464" spans="16:19" x14ac:dyDescent="0.25">
      <c r="P464">
        <v>2138</v>
      </c>
      <c r="Q464" t="s">
        <v>58</v>
      </c>
      <c r="R464" t="s">
        <v>50</v>
      </c>
      <c r="S464" t="s">
        <v>7355</v>
      </c>
    </row>
    <row r="465" spans="16:19" x14ac:dyDescent="0.25">
      <c r="P465">
        <v>624</v>
      </c>
      <c r="Q465" t="s">
        <v>58</v>
      </c>
      <c r="R465" t="s">
        <v>50</v>
      </c>
      <c r="S465" t="s">
        <v>7355</v>
      </c>
    </row>
    <row r="466" spans="16:19" x14ac:dyDescent="0.25">
      <c r="P466">
        <v>1053</v>
      </c>
      <c r="Q466" t="s">
        <v>58</v>
      </c>
      <c r="R466" t="s">
        <v>50</v>
      </c>
      <c r="S466" t="s">
        <v>7355</v>
      </c>
    </row>
    <row r="467" spans="16:19" x14ac:dyDescent="0.25">
      <c r="P467">
        <v>5324</v>
      </c>
      <c r="Q467" t="s">
        <v>58</v>
      </c>
      <c r="R467" t="s">
        <v>50</v>
      </c>
      <c r="S467" t="s">
        <v>7355</v>
      </c>
    </row>
    <row r="468" spans="16:19" x14ac:dyDescent="0.25">
      <c r="P468">
        <v>1007</v>
      </c>
      <c r="Q468" t="s">
        <v>58</v>
      </c>
      <c r="R468" t="s">
        <v>50</v>
      </c>
      <c r="S468" t="s">
        <v>7355</v>
      </c>
    </row>
    <row r="469" spans="16:19" x14ac:dyDescent="0.25">
      <c r="P469">
        <v>1174</v>
      </c>
      <c r="Q469" t="s">
        <v>58</v>
      </c>
      <c r="R469" t="s">
        <v>50</v>
      </c>
      <c r="S469" t="s">
        <v>7355</v>
      </c>
    </row>
    <row r="470" spans="16:19" x14ac:dyDescent="0.25">
      <c r="P470">
        <v>2609</v>
      </c>
      <c r="Q470" t="s">
        <v>58</v>
      </c>
      <c r="R470" t="s">
        <v>50</v>
      </c>
      <c r="S470" t="s">
        <v>7355</v>
      </c>
    </row>
    <row r="471" spans="16:19" x14ac:dyDescent="0.25">
      <c r="P471">
        <v>729</v>
      </c>
      <c r="Q471" t="s">
        <v>59</v>
      </c>
      <c r="R471" t="s">
        <v>50</v>
      </c>
      <c r="S471" t="s">
        <v>7355</v>
      </c>
    </row>
    <row r="472" spans="16:19" x14ac:dyDescent="0.25">
      <c r="P472">
        <v>3134</v>
      </c>
      <c r="Q472" t="s">
        <v>59</v>
      </c>
      <c r="R472" t="s">
        <v>50</v>
      </c>
      <c r="S472" t="s">
        <v>7355</v>
      </c>
    </row>
    <row r="473" spans="16:19" x14ac:dyDescent="0.25">
      <c r="P473">
        <v>1747</v>
      </c>
      <c r="Q473" t="s">
        <v>59</v>
      </c>
      <c r="R473" t="s">
        <v>50</v>
      </c>
      <c r="S473" t="s">
        <v>7355</v>
      </c>
    </row>
    <row r="474" spans="16:19" x14ac:dyDescent="0.25">
      <c r="P474">
        <v>1158</v>
      </c>
      <c r="Q474" t="s">
        <v>59</v>
      </c>
      <c r="R474" t="s">
        <v>50</v>
      </c>
      <c r="S474" t="s">
        <v>7355</v>
      </c>
    </row>
    <row r="475" spans="16:19" x14ac:dyDescent="0.25">
      <c r="P475">
        <v>1737</v>
      </c>
      <c r="Q475" t="s">
        <v>59</v>
      </c>
      <c r="R475" t="s">
        <v>50</v>
      </c>
      <c r="S475" t="s">
        <v>7355</v>
      </c>
    </row>
    <row r="476" spans="16:19" x14ac:dyDescent="0.25">
      <c r="P476">
        <v>1304</v>
      </c>
      <c r="Q476" t="s">
        <v>59</v>
      </c>
      <c r="R476" t="s">
        <v>50</v>
      </c>
      <c r="S476" t="s">
        <v>7355</v>
      </c>
    </row>
    <row r="477" spans="16:19" x14ac:dyDescent="0.25">
      <c r="P477">
        <v>1604</v>
      </c>
      <c r="Q477" t="s">
        <v>59</v>
      </c>
      <c r="R477" t="s">
        <v>50</v>
      </c>
      <c r="S477" t="s">
        <v>7355</v>
      </c>
    </row>
    <row r="478" spans="16:19" x14ac:dyDescent="0.25">
      <c r="P478">
        <v>1441</v>
      </c>
      <c r="Q478" t="s">
        <v>59</v>
      </c>
      <c r="R478" t="s">
        <v>50</v>
      </c>
      <c r="S478" t="s">
        <v>7355</v>
      </c>
    </row>
    <row r="479" spans="16:19" x14ac:dyDescent="0.25">
      <c r="P479">
        <v>1318</v>
      </c>
      <c r="Q479" t="s">
        <v>59</v>
      </c>
      <c r="R479" t="s">
        <v>50</v>
      </c>
      <c r="S479" t="s">
        <v>7355</v>
      </c>
    </row>
    <row r="480" spans="16:19" x14ac:dyDescent="0.25">
      <c r="P480">
        <v>12084</v>
      </c>
      <c r="Q480" t="s">
        <v>59</v>
      </c>
      <c r="R480" t="s">
        <v>50</v>
      </c>
      <c r="S480" t="s">
        <v>7355</v>
      </c>
    </row>
    <row r="481" spans="16:19" x14ac:dyDescent="0.25">
      <c r="P481">
        <v>567</v>
      </c>
      <c r="Q481" t="s">
        <v>59</v>
      </c>
      <c r="R481" t="s">
        <v>50</v>
      </c>
      <c r="S481" t="s">
        <v>7355</v>
      </c>
    </row>
    <row r="482" spans="16:19" x14ac:dyDescent="0.25">
      <c r="P482">
        <v>1966</v>
      </c>
      <c r="Q482" t="s">
        <v>59</v>
      </c>
      <c r="R482" t="s">
        <v>50</v>
      </c>
      <c r="S482" t="s">
        <v>7355</v>
      </c>
    </row>
    <row r="483" spans="16:19" x14ac:dyDescent="0.25">
      <c r="P483">
        <v>1185</v>
      </c>
      <c r="Q483" t="s">
        <v>59</v>
      </c>
      <c r="R483" t="s">
        <v>50</v>
      </c>
      <c r="S483" t="s">
        <v>7355</v>
      </c>
    </row>
    <row r="484" spans="16:19" x14ac:dyDescent="0.25">
      <c r="P484">
        <v>1050</v>
      </c>
      <c r="Q484" t="s">
        <v>59</v>
      </c>
      <c r="R484" t="s">
        <v>50</v>
      </c>
      <c r="S484" t="s">
        <v>7355</v>
      </c>
    </row>
    <row r="485" spans="16:19" x14ac:dyDescent="0.25">
      <c r="P485">
        <v>1498</v>
      </c>
      <c r="Q485" t="s">
        <v>59</v>
      </c>
      <c r="R485" t="s">
        <v>50</v>
      </c>
      <c r="S485" t="s">
        <v>7355</v>
      </c>
    </row>
    <row r="486" spans="16:19" x14ac:dyDescent="0.25">
      <c r="P486">
        <v>1614</v>
      </c>
      <c r="Q486" t="s">
        <v>59</v>
      </c>
      <c r="R486" t="s">
        <v>50</v>
      </c>
      <c r="S486" t="s">
        <v>7355</v>
      </c>
    </row>
    <row r="487" spans="16:19" x14ac:dyDescent="0.25">
      <c r="P487">
        <v>4286</v>
      </c>
      <c r="Q487" t="s">
        <v>59</v>
      </c>
      <c r="R487" t="s">
        <v>50</v>
      </c>
      <c r="S487" t="s">
        <v>7355</v>
      </c>
    </row>
    <row r="488" spans="16:19" x14ac:dyDescent="0.25">
      <c r="P488">
        <v>1002</v>
      </c>
      <c r="Q488" t="s">
        <v>59</v>
      </c>
      <c r="R488" t="s">
        <v>50</v>
      </c>
      <c r="S488" t="s">
        <v>7355</v>
      </c>
    </row>
    <row r="489" spans="16:19" x14ac:dyDescent="0.25">
      <c r="P489">
        <v>893</v>
      </c>
      <c r="Q489" t="s">
        <v>59</v>
      </c>
      <c r="R489" t="s">
        <v>50</v>
      </c>
      <c r="S489" t="s">
        <v>7355</v>
      </c>
    </row>
    <row r="490" spans="16:19" x14ac:dyDescent="0.25">
      <c r="P490">
        <v>976</v>
      </c>
      <c r="Q490" t="s">
        <v>59</v>
      </c>
      <c r="R490" t="s">
        <v>50</v>
      </c>
      <c r="S490" t="s">
        <v>7355</v>
      </c>
    </row>
    <row r="491" spans="16:19" x14ac:dyDescent="0.25">
      <c r="P491">
        <v>2163</v>
      </c>
      <c r="Q491" t="s">
        <v>59</v>
      </c>
      <c r="R491" t="s">
        <v>50</v>
      </c>
      <c r="S491" t="s">
        <v>7355</v>
      </c>
    </row>
    <row r="492" spans="16:19" x14ac:dyDescent="0.25">
      <c r="P492">
        <v>2385</v>
      </c>
      <c r="Q492" t="s">
        <v>59</v>
      </c>
      <c r="R492" t="s">
        <v>50</v>
      </c>
      <c r="S492" t="s">
        <v>7355</v>
      </c>
    </row>
    <row r="493" spans="16:19" x14ac:dyDescent="0.25">
      <c r="P493">
        <v>2405</v>
      </c>
      <c r="Q493" t="s">
        <v>59</v>
      </c>
      <c r="R493" t="s">
        <v>50</v>
      </c>
      <c r="S493" t="s">
        <v>7355</v>
      </c>
    </row>
    <row r="494" spans="16:19" x14ac:dyDescent="0.25">
      <c r="P494">
        <v>3400</v>
      </c>
      <c r="Q494" t="s">
        <v>59</v>
      </c>
      <c r="R494" t="s">
        <v>50</v>
      </c>
      <c r="S494" t="s">
        <v>7355</v>
      </c>
    </row>
    <row r="495" spans="16:19" x14ac:dyDescent="0.25">
      <c r="P495">
        <v>794</v>
      </c>
      <c r="Q495" t="s">
        <v>60</v>
      </c>
      <c r="R495" t="s">
        <v>50</v>
      </c>
      <c r="S495" t="s">
        <v>7355</v>
      </c>
    </row>
    <row r="496" spans="16:19" x14ac:dyDescent="0.25">
      <c r="P496">
        <v>833</v>
      </c>
      <c r="Q496" t="s">
        <v>60</v>
      </c>
      <c r="R496" t="s">
        <v>50</v>
      </c>
      <c r="S496" t="s">
        <v>7355</v>
      </c>
    </row>
    <row r="497" spans="16:19" x14ac:dyDescent="0.25">
      <c r="P497">
        <v>1328</v>
      </c>
      <c r="Q497" t="s">
        <v>60</v>
      </c>
      <c r="R497" t="s">
        <v>50</v>
      </c>
      <c r="S497" t="s">
        <v>7355</v>
      </c>
    </row>
    <row r="498" spans="16:19" x14ac:dyDescent="0.25">
      <c r="P498">
        <v>1167</v>
      </c>
      <c r="Q498" t="s">
        <v>60</v>
      </c>
      <c r="R498" t="s">
        <v>50</v>
      </c>
      <c r="S498" t="s">
        <v>7355</v>
      </c>
    </row>
    <row r="499" spans="16:19" x14ac:dyDescent="0.25">
      <c r="P499">
        <v>3499</v>
      </c>
      <c r="Q499" t="s">
        <v>60</v>
      </c>
      <c r="R499" t="s">
        <v>50</v>
      </c>
      <c r="S499" t="s">
        <v>7355</v>
      </c>
    </row>
    <row r="500" spans="16:19" x14ac:dyDescent="0.25">
      <c r="P500">
        <v>3480</v>
      </c>
      <c r="Q500" t="s">
        <v>60</v>
      </c>
      <c r="R500" t="s">
        <v>50</v>
      </c>
      <c r="S500" t="s">
        <v>7355</v>
      </c>
    </row>
    <row r="501" spans="16:19" x14ac:dyDescent="0.25">
      <c r="P501">
        <v>1283</v>
      </c>
      <c r="Q501" t="s">
        <v>60</v>
      </c>
      <c r="R501" t="s">
        <v>50</v>
      </c>
      <c r="S501" t="s">
        <v>7355</v>
      </c>
    </row>
    <row r="502" spans="16:19" x14ac:dyDescent="0.25">
      <c r="P502">
        <v>6457</v>
      </c>
      <c r="Q502" t="s">
        <v>60</v>
      </c>
      <c r="R502" t="s">
        <v>50</v>
      </c>
      <c r="S502" t="s">
        <v>7355</v>
      </c>
    </row>
    <row r="503" spans="16:19" x14ac:dyDescent="0.25">
      <c r="P503">
        <v>1428</v>
      </c>
      <c r="Q503" t="s">
        <v>60</v>
      </c>
      <c r="R503" t="s">
        <v>50</v>
      </c>
      <c r="S503" t="s">
        <v>7355</v>
      </c>
    </row>
    <row r="504" spans="16:19" x14ac:dyDescent="0.25">
      <c r="P504">
        <v>710</v>
      </c>
      <c r="Q504" t="s">
        <v>60</v>
      </c>
      <c r="R504" t="s">
        <v>50</v>
      </c>
      <c r="S504" t="s">
        <v>7355</v>
      </c>
    </row>
    <row r="505" spans="16:19" x14ac:dyDescent="0.25">
      <c r="P505">
        <v>690</v>
      </c>
      <c r="Q505" t="s">
        <v>60</v>
      </c>
      <c r="R505" t="s">
        <v>50</v>
      </c>
      <c r="S505" t="s">
        <v>7355</v>
      </c>
    </row>
    <row r="506" spans="16:19" x14ac:dyDescent="0.25">
      <c r="P506">
        <v>851</v>
      </c>
      <c r="Q506" t="s">
        <v>60</v>
      </c>
      <c r="R506" t="s">
        <v>50</v>
      </c>
      <c r="S506" t="s">
        <v>7355</v>
      </c>
    </row>
    <row r="507" spans="16:19" x14ac:dyDescent="0.25">
      <c r="P507">
        <v>688</v>
      </c>
      <c r="Q507" t="s">
        <v>60</v>
      </c>
      <c r="R507" t="s">
        <v>50</v>
      </c>
      <c r="S507" t="s">
        <v>7355</v>
      </c>
    </row>
    <row r="508" spans="16:19" x14ac:dyDescent="0.25">
      <c r="P508">
        <v>495</v>
      </c>
      <c r="Q508" t="s">
        <v>60</v>
      </c>
      <c r="R508" t="s">
        <v>50</v>
      </c>
      <c r="S508" t="s">
        <v>7355</v>
      </c>
    </row>
    <row r="509" spans="16:19" x14ac:dyDescent="0.25">
      <c r="P509">
        <v>1077</v>
      </c>
      <c r="Q509" t="s">
        <v>60</v>
      </c>
      <c r="R509" t="s">
        <v>50</v>
      </c>
      <c r="S509" t="s">
        <v>7355</v>
      </c>
    </row>
    <row r="510" spans="16:19" x14ac:dyDescent="0.25">
      <c r="P510">
        <v>830</v>
      </c>
      <c r="Q510" t="s">
        <v>60</v>
      </c>
      <c r="R510" t="s">
        <v>50</v>
      </c>
      <c r="S510" t="s">
        <v>7355</v>
      </c>
    </row>
    <row r="511" spans="16:19" x14ac:dyDescent="0.25">
      <c r="P511">
        <v>1288</v>
      </c>
      <c r="Q511" t="s">
        <v>60</v>
      </c>
      <c r="R511" t="s">
        <v>50</v>
      </c>
      <c r="S511" t="s">
        <v>7355</v>
      </c>
    </row>
    <row r="512" spans="16:19" x14ac:dyDescent="0.25">
      <c r="P512">
        <v>1680</v>
      </c>
      <c r="Q512" t="s">
        <v>60</v>
      </c>
      <c r="R512" t="s">
        <v>50</v>
      </c>
      <c r="S512" t="s">
        <v>7355</v>
      </c>
    </row>
    <row r="513" spans="16:19" x14ac:dyDescent="0.25">
      <c r="P513">
        <v>1516</v>
      </c>
      <c r="Q513" t="s">
        <v>60</v>
      </c>
      <c r="R513" t="s">
        <v>50</v>
      </c>
      <c r="S513" t="s">
        <v>7355</v>
      </c>
    </row>
    <row r="514" spans="16:19" x14ac:dyDescent="0.25">
      <c r="P514">
        <v>696</v>
      </c>
      <c r="Q514" t="s">
        <v>60</v>
      </c>
      <c r="R514" t="s">
        <v>50</v>
      </c>
      <c r="S514" t="s">
        <v>7355</v>
      </c>
    </row>
    <row r="515" spans="16:19" x14ac:dyDescent="0.25">
      <c r="P515">
        <v>4820</v>
      </c>
      <c r="Q515" t="s">
        <v>61</v>
      </c>
      <c r="R515" t="s">
        <v>50</v>
      </c>
      <c r="S515" t="s">
        <v>7355</v>
      </c>
    </row>
    <row r="516" spans="16:19" x14ac:dyDescent="0.25">
      <c r="P516">
        <v>1794</v>
      </c>
      <c r="Q516" t="s">
        <v>61</v>
      </c>
      <c r="R516" t="s">
        <v>50</v>
      </c>
      <c r="S516" t="s">
        <v>7355</v>
      </c>
    </row>
    <row r="517" spans="16:19" x14ac:dyDescent="0.25">
      <c r="P517">
        <v>3272</v>
      </c>
      <c r="Q517" t="s">
        <v>61</v>
      </c>
      <c r="R517" t="s">
        <v>50</v>
      </c>
      <c r="S517" t="s">
        <v>7355</v>
      </c>
    </row>
    <row r="518" spans="16:19" x14ac:dyDescent="0.25">
      <c r="P518">
        <v>1623</v>
      </c>
      <c r="Q518" t="s">
        <v>61</v>
      </c>
      <c r="R518" t="s">
        <v>50</v>
      </c>
      <c r="S518" t="s">
        <v>7355</v>
      </c>
    </row>
    <row r="519" spans="16:19" x14ac:dyDescent="0.25">
      <c r="P519">
        <v>2241</v>
      </c>
      <c r="Q519" t="s">
        <v>61</v>
      </c>
      <c r="R519" t="s">
        <v>50</v>
      </c>
      <c r="S519" t="s">
        <v>7355</v>
      </c>
    </row>
    <row r="520" spans="16:19" x14ac:dyDescent="0.25">
      <c r="P520">
        <v>2397</v>
      </c>
      <c r="Q520" t="s">
        <v>61</v>
      </c>
      <c r="R520" t="s">
        <v>50</v>
      </c>
      <c r="S520" t="s">
        <v>7355</v>
      </c>
    </row>
    <row r="521" spans="16:19" x14ac:dyDescent="0.25">
      <c r="P521">
        <v>4054</v>
      </c>
      <c r="Q521" t="s">
        <v>61</v>
      </c>
      <c r="R521" t="s">
        <v>50</v>
      </c>
      <c r="S521" t="s">
        <v>7355</v>
      </c>
    </row>
    <row r="522" spans="16:19" x14ac:dyDescent="0.25">
      <c r="P522">
        <v>3823</v>
      </c>
      <c r="Q522" t="s">
        <v>61</v>
      </c>
      <c r="R522" t="s">
        <v>50</v>
      </c>
      <c r="S522" t="s">
        <v>7355</v>
      </c>
    </row>
    <row r="523" spans="16:19" x14ac:dyDescent="0.25">
      <c r="P523">
        <v>13565</v>
      </c>
      <c r="Q523" t="s">
        <v>61</v>
      </c>
      <c r="R523" t="s">
        <v>50</v>
      </c>
      <c r="S523" t="s">
        <v>7355</v>
      </c>
    </row>
    <row r="524" spans="16:19" x14ac:dyDescent="0.25">
      <c r="P524">
        <v>8003</v>
      </c>
      <c r="Q524" t="s">
        <v>61</v>
      </c>
      <c r="R524" t="s">
        <v>50</v>
      </c>
      <c r="S524" t="s">
        <v>7355</v>
      </c>
    </row>
    <row r="525" spans="16:19" x14ac:dyDescent="0.25">
      <c r="P525">
        <v>1159</v>
      </c>
      <c r="Q525" t="s">
        <v>61</v>
      </c>
      <c r="R525" t="s">
        <v>50</v>
      </c>
      <c r="S525" t="s">
        <v>7355</v>
      </c>
    </row>
    <row r="526" spans="16:19" x14ac:dyDescent="0.25">
      <c r="P526">
        <v>4996</v>
      </c>
      <c r="Q526" t="s">
        <v>61</v>
      </c>
      <c r="R526" t="s">
        <v>50</v>
      </c>
      <c r="S526" t="s">
        <v>7355</v>
      </c>
    </row>
    <row r="527" spans="16:19" x14ac:dyDescent="0.25">
      <c r="P527">
        <v>1390</v>
      </c>
      <c r="Q527" t="s">
        <v>61</v>
      </c>
      <c r="R527" t="s">
        <v>50</v>
      </c>
      <c r="S527" t="s">
        <v>7355</v>
      </c>
    </row>
    <row r="528" spans="16:19" x14ac:dyDescent="0.25">
      <c r="P528">
        <v>3940</v>
      </c>
      <c r="Q528" t="s">
        <v>61</v>
      </c>
      <c r="R528" t="s">
        <v>50</v>
      </c>
      <c r="S528" t="s">
        <v>7355</v>
      </c>
    </row>
    <row r="529" spans="16:19" x14ac:dyDescent="0.25">
      <c r="P529">
        <v>2439</v>
      </c>
      <c r="Q529" t="s">
        <v>61</v>
      </c>
      <c r="R529" t="s">
        <v>50</v>
      </c>
      <c r="S529" t="s">
        <v>7355</v>
      </c>
    </row>
    <row r="530" spans="16:19" x14ac:dyDescent="0.25">
      <c r="P530">
        <v>1063</v>
      </c>
      <c r="Q530" t="s">
        <v>61</v>
      </c>
      <c r="R530" t="s">
        <v>50</v>
      </c>
      <c r="S530" t="s">
        <v>7355</v>
      </c>
    </row>
    <row r="531" spans="16:19" x14ac:dyDescent="0.25">
      <c r="P531">
        <v>1350</v>
      </c>
      <c r="Q531" t="s">
        <v>61</v>
      </c>
      <c r="R531" t="s">
        <v>50</v>
      </c>
      <c r="S531" t="s">
        <v>7355</v>
      </c>
    </row>
    <row r="532" spans="16:19" x14ac:dyDescent="0.25">
      <c r="P532">
        <v>16783</v>
      </c>
      <c r="Q532" t="s">
        <v>61</v>
      </c>
      <c r="R532" t="s">
        <v>50</v>
      </c>
      <c r="S532" t="s">
        <v>7355</v>
      </c>
    </row>
    <row r="533" spans="16:19" x14ac:dyDescent="0.25">
      <c r="P533">
        <v>1517</v>
      </c>
      <c r="Q533" t="s">
        <v>61</v>
      </c>
      <c r="R533" t="s">
        <v>50</v>
      </c>
      <c r="S533" t="s">
        <v>7355</v>
      </c>
    </row>
    <row r="534" spans="16:19" x14ac:dyDescent="0.25">
      <c r="P534">
        <v>11753</v>
      </c>
      <c r="Q534" t="s">
        <v>61</v>
      </c>
      <c r="R534" t="s">
        <v>50</v>
      </c>
      <c r="S534" t="s">
        <v>7355</v>
      </c>
    </row>
    <row r="535" spans="16:19" x14ac:dyDescent="0.25">
      <c r="P535">
        <v>639</v>
      </c>
      <c r="Q535" t="s">
        <v>62</v>
      </c>
      <c r="R535" t="s">
        <v>50</v>
      </c>
      <c r="S535" t="s">
        <v>7355</v>
      </c>
    </row>
    <row r="536" spans="16:19" x14ac:dyDescent="0.25">
      <c r="P536">
        <v>1009</v>
      </c>
      <c r="Q536" t="s">
        <v>62</v>
      </c>
      <c r="R536" t="s">
        <v>50</v>
      </c>
      <c r="S536" t="s">
        <v>7355</v>
      </c>
    </row>
    <row r="537" spans="16:19" x14ac:dyDescent="0.25">
      <c r="P537">
        <v>1333</v>
      </c>
      <c r="Q537" t="s">
        <v>62</v>
      </c>
      <c r="R537" t="s">
        <v>50</v>
      </c>
      <c r="S537" t="s">
        <v>7355</v>
      </c>
    </row>
    <row r="538" spans="16:19" x14ac:dyDescent="0.25">
      <c r="P538">
        <v>803</v>
      </c>
      <c r="Q538" t="s">
        <v>62</v>
      </c>
      <c r="R538" t="s">
        <v>50</v>
      </c>
      <c r="S538" t="s">
        <v>7355</v>
      </c>
    </row>
    <row r="539" spans="16:19" x14ac:dyDescent="0.25">
      <c r="P539">
        <v>3203</v>
      </c>
      <c r="Q539" t="s">
        <v>62</v>
      </c>
      <c r="R539" t="s">
        <v>50</v>
      </c>
      <c r="S539" t="s">
        <v>7355</v>
      </c>
    </row>
    <row r="540" spans="16:19" x14ac:dyDescent="0.25">
      <c r="P540">
        <v>2954</v>
      </c>
      <c r="Q540" t="s">
        <v>62</v>
      </c>
      <c r="R540" t="s">
        <v>50</v>
      </c>
      <c r="S540" t="s">
        <v>7355</v>
      </c>
    </row>
    <row r="541" spans="16:19" x14ac:dyDescent="0.25">
      <c r="P541">
        <v>2136</v>
      </c>
      <c r="Q541" t="s">
        <v>62</v>
      </c>
      <c r="R541" t="s">
        <v>50</v>
      </c>
      <c r="S541" t="s">
        <v>7355</v>
      </c>
    </row>
    <row r="542" spans="16:19" x14ac:dyDescent="0.25">
      <c r="P542">
        <v>3824</v>
      </c>
      <c r="Q542" t="s">
        <v>62</v>
      </c>
      <c r="R542" t="s">
        <v>50</v>
      </c>
      <c r="S542" t="s">
        <v>7355</v>
      </c>
    </row>
    <row r="543" spans="16:19" x14ac:dyDescent="0.25">
      <c r="P543">
        <v>1959</v>
      </c>
      <c r="Q543" t="s">
        <v>62</v>
      </c>
      <c r="R543" t="s">
        <v>50</v>
      </c>
      <c r="S543" t="s">
        <v>7355</v>
      </c>
    </row>
    <row r="544" spans="16:19" x14ac:dyDescent="0.25">
      <c r="P544">
        <v>1218</v>
      </c>
      <c r="Q544" t="s">
        <v>62</v>
      </c>
      <c r="R544" t="s">
        <v>50</v>
      </c>
      <c r="S544" t="s">
        <v>7355</v>
      </c>
    </row>
    <row r="545" spans="16:19" x14ac:dyDescent="0.25">
      <c r="P545">
        <v>748</v>
      </c>
      <c r="Q545" t="s">
        <v>62</v>
      </c>
      <c r="R545" t="s">
        <v>50</v>
      </c>
      <c r="S545" t="s">
        <v>7355</v>
      </c>
    </row>
    <row r="546" spans="16:19" x14ac:dyDescent="0.25">
      <c r="P546">
        <v>7499</v>
      </c>
      <c r="Q546" t="s">
        <v>62</v>
      </c>
      <c r="R546" t="s">
        <v>50</v>
      </c>
      <c r="S546" t="s">
        <v>7355</v>
      </c>
    </row>
    <row r="547" spans="16:19" x14ac:dyDescent="0.25">
      <c r="P547">
        <v>1425</v>
      </c>
      <c r="Q547" t="s">
        <v>62</v>
      </c>
      <c r="R547" t="s">
        <v>50</v>
      </c>
      <c r="S547" t="s">
        <v>7355</v>
      </c>
    </row>
    <row r="548" spans="16:19" x14ac:dyDescent="0.25">
      <c r="P548">
        <v>2067</v>
      </c>
      <c r="Q548" t="s">
        <v>62</v>
      </c>
      <c r="R548" t="s">
        <v>50</v>
      </c>
      <c r="S548" t="s">
        <v>7355</v>
      </c>
    </row>
    <row r="549" spans="16:19" x14ac:dyDescent="0.25">
      <c r="P549">
        <v>918</v>
      </c>
      <c r="Q549" t="s">
        <v>62</v>
      </c>
      <c r="R549" t="s">
        <v>50</v>
      </c>
      <c r="S549" t="s">
        <v>7355</v>
      </c>
    </row>
    <row r="550" spans="16:19" x14ac:dyDescent="0.25">
      <c r="P550">
        <v>3452</v>
      </c>
      <c r="Q550" t="s">
        <v>62</v>
      </c>
      <c r="R550" t="s">
        <v>50</v>
      </c>
      <c r="S550" t="s">
        <v>7355</v>
      </c>
    </row>
    <row r="551" spans="16:19" x14ac:dyDescent="0.25">
      <c r="P551">
        <v>1273</v>
      </c>
      <c r="Q551" t="s">
        <v>62</v>
      </c>
      <c r="R551" t="s">
        <v>50</v>
      </c>
      <c r="S551" t="s">
        <v>7355</v>
      </c>
    </row>
    <row r="552" spans="16:19" x14ac:dyDescent="0.25">
      <c r="P552">
        <v>2642</v>
      </c>
      <c r="Q552" t="s">
        <v>62</v>
      </c>
      <c r="R552" t="s">
        <v>50</v>
      </c>
      <c r="S552" t="s">
        <v>7355</v>
      </c>
    </row>
    <row r="553" spans="16:19" x14ac:dyDescent="0.25">
      <c r="P553">
        <v>1618</v>
      </c>
      <c r="Q553" t="s">
        <v>62</v>
      </c>
      <c r="R553" t="s">
        <v>50</v>
      </c>
      <c r="S553" t="s">
        <v>7355</v>
      </c>
    </row>
    <row r="554" spans="16:19" x14ac:dyDescent="0.25">
      <c r="P554">
        <v>2090</v>
      </c>
      <c r="Q554" t="s">
        <v>62</v>
      </c>
      <c r="R554" t="s">
        <v>50</v>
      </c>
      <c r="S554" t="s">
        <v>7355</v>
      </c>
    </row>
    <row r="555" spans="16:19" x14ac:dyDescent="0.25">
      <c r="P555">
        <v>1063</v>
      </c>
      <c r="Q555" t="s">
        <v>62</v>
      </c>
      <c r="R555" t="s">
        <v>50</v>
      </c>
      <c r="S555" t="s">
        <v>7355</v>
      </c>
    </row>
    <row r="556" spans="16:19" x14ac:dyDescent="0.25">
      <c r="P556">
        <v>1094</v>
      </c>
      <c r="Q556" t="s">
        <v>62</v>
      </c>
      <c r="R556" t="s">
        <v>50</v>
      </c>
      <c r="S556" t="s">
        <v>7355</v>
      </c>
    </row>
    <row r="557" spans="16:19" x14ac:dyDescent="0.25">
      <c r="P557">
        <v>1927</v>
      </c>
      <c r="Q557" t="s">
        <v>62</v>
      </c>
      <c r="R557" t="s">
        <v>50</v>
      </c>
      <c r="S557" t="s">
        <v>7355</v>
      </c>
    </row>
    <row r="558" spans="16:19" x14ac:dyDescent="0.25">
      <c r="P558">
        <v>1534</v>
      </c>
      <c r="Q558" t="s">
        <v>62</v>
      </c>
      <c r="R558" t="s">
        <v>50</v>
      </c>
      <c r="S558" t="s">
        <v>7355</v>
      </c>
    </row>
    <row r="559" spans="16:19" x14ac:dyDescent="0.25">
      <c r="P559">
        <v>1770</v>
      </c>
      <c r="Q559" t="s">
        <v>62</v>
      </c>
      <c r="R559" t="s">
        <v>50</v>
      </c>
      <c r="S559" t="s">
        <v>7355</v>
      </c>
    </row>
    <row r="560" spans="16:19" x14ac:dyDescent="0.25">
      <c r="P560">
        <v>908</v>
      </c>
      <c r="Q560" t="s">
        <v>62</v>
      </c>
      <c r="R560" t="s">
        <v>50</v>
      </c>
      <c r="S560" t="s">
        <v>7355</v>
      </c>
    </row>
    <row r="561" spans="16:19" x14ac:dyDescent="0.25">
      <c r="P561">
        <v>1235</v>
      </c>
      <c r="Q561" t="s">
        <v>62</v>
      </c>
      <c r="R561" t="s">
        <v>50</v>
      </c>
      <c r="S561" t="s">
        <v>7355</v>
      </c>
    </row>
    <row r="562" spans="16:19" x14ac:dyDescent="0.25">
      <c r="P562">
        <v>1396</v>
      </c>
      <c r="Q562" t="s">
        <v>62</v>
      </c>
      <c r="R562" t="s">
        <v>50</v>
      </c>
      <c r="S562" t="s">
        <v>7355</v>
      </c>
    </row>
    <row r="563" spans="16:19" x14ac:dyDescent="0.25">
      <c r="P563">
        <v>1843</v>
      </c>
      <c r="Q563" t="s">
        <v>62</v>
      </c>
      <c r="R563" t="s">
        <v>50</v>
      </c>
      <c r="S563" t="s">
        <v>7355</v>
      </c>
    </row>
    <row r="564" spans="16:19" x14ac:dyDescent="0.25">
      <c r="P564">
        <v>1032</v>
      </c>
      <c r="Q564" t="s">
        <v>62</v>
      </c>
      <c r="R564" t="s">
        <v>50</v>
      </c>
      <c r="S564" t="s">
        <v>7355</v>
      </c>
    </row>
    <row r="565" spans="16:19" x14ac:dyDescent="0.25">
      <c r="P565">
        <v>503</v>
      </c>
      <c r="Q565" t="s">
        <v>63</v>
      </c>
      <c r="R565" t="s">
        <v>50</v>
      </c>
      <c r="S565" t="s">
        <v>7355</v>
      </c>
    </row>
    <row r="566" spans="16:19" x14ac:dyDescent="0.25">
      <c r="P566">
        <v>1301</v>
      </c>
      <c r="Q566" t="s">
        <v>63</v>
      </c>
      <c r="R566" t="s">
        <v>50</v>
      </c>
      <c r="S566" t="s">
        <v>7355</v>
      </c>
    </row>
    <row r="567" spans="16:19" x14ac:dyDescent="0.25">
      <c r="P567">
        <v>3750</v>
      </c>
      <c r="Q567" t="s">
        <v>63</v>
      </c>
      <c r="R567" t="s">
        <v>50</v>
      </c>
      <c r="S567" t="s">
        <v>7355</v>
      </c>
    </row>
    <row r="568" spans="16:19" x14ac:dyDescent="0.25">
      <c r="P568">
        <v>1445</v>
      </c>
      <c r="Q568" t="s">
        <v>63</v>
      </c>
      <c r="R568" t="s">
        <v>50</v>
      </c>
      <c r="S568" t="s">
        <v>7355</v>
      </c>
    </row>
    <row r="569" spans="16:19" x14ac:dyDescent="0.25">
      <c r="P569">
        <v>1080</v>
      </c>
      <c r="Q569" t="s">
        <v>63</v>
      </c>
      <c r="R569" t="s">
        <v>50</v>
      </c>
      <c r="S569" t="s">
        <v>7355</v>
      </c>
    </row>
    <row r="570" spans="16:19" x14ac:dyDescent="0.25">
      <c r="P570">
        <v>864</v>
      </c>
      <c r="Q570" t="s">
        <v>63</v>
      </c>
      <c r="R570" t="s">
        <v>50</v>
      </c>
      <c r="S570" t="s">
        <v>7355</v>
      </c>
    </row>
    <row r="571" spans="16:19" x14ac:dyDescent="0.25">
      <c r="P571">
        <v>2645</v>
      </c>
      <c r="Q571" t="s">
        <v>63</v>
      </c>
      <c r="R571" t="s">
        <v>50</v>
      </c>
      <c r="S571" t="s">
        <v>7355</v>
      </c>
    </row>
    <row r="572" spans="16:19" x14ac:dyDescent="0.25">
      <c r="P572">
        <v>482</v>
      </c>
      <c r="Q572" t="s">
        <v>63</v>
      </c>
      <c r="R572" t="s">
        <v>50</v>
      </c>
      <c r="S572" t="s">
        <v>7355</v>
      </c>
    </row>
    <row r="573" spans="16:19" x14ac:dyDescent="0.25">
      <c r="P573">
        <v>823</v>
      </c>
      <c r="Q573" t="s">
        <v>63</v>
      </c>
      <c r="R573" t="s">
        <v>50</v>
      </c>
      <c r="S573" t="s">
        <v>7355</v>
      </c>
    </row>
    <row r="574" spans="16:19" x14ac:dyDescent="0.25">
      <c r="P574">
        <v>1543</v>
      </c>
      <c r="Q574" t="s">
        <v>63</v>
      </c>
      <c r="R574" t="s">
        <v>50</v>
      </c>
      <c r="S574" t="s">
        <v>7355</v>
      </c>
    </row>
    <row r="575" spans="16:19" x14ac:dyDescent="0.25">
      <c r="P575">
        <v>1818</v>
      </c>
      <c r="Q575" t="s">
        <v>63</v>
      </c>
      <c r="R575" t="s">
        <v>50</v>
      </c>
      <c r="S575" t="s">
        <v>7355</v>
      </c>
    </row>
    <row r="576" spans="16:19" x14ac:dyDescent="0.25">
      <c r="P576">
        <v>3861</v>
      </c>
      <c r="Q576" t="s">
        <v>63</v>
      </c>
      <c r="R576" t="s">
        <v>50</v>
      </c>
      <c r="S576" t="s">
        <v>7355</v>
      </c>
    </row>
    <row r="577" spans="16:19" x14ac:dyDescent="0.25">
      <c r="P577">
        <v>3408</v>
      </c>
      <c r="Q577" t="s">
        <v>63</v>
      </c>
      <c r="R577" t="s">
        <v>50</v>
      </c>
      <c r="S577" t="s">
        <v>7355</v>
      </c>
    </row>
    <row r="578" spans="16:19" x14ac:dyDescent="0.25">
      <c r="P578">
        <v>1879</v>
      </c>
      <c r="Q578" t="s">
        <v>63</v>
      </c>
      <c r="R578" t="s">
        <v>50</v>
      </c>
      <c r="S578" t="s">
        <v>7355</v>
      </c>
    </row>
    <row r="579" spans="16:19" x14ac:dyDescent="0.25">
      <c r="P579">
        <v>1232</v>
      </c>
      <c r="Q579" t="s">
        <v>64</v>
      </c>
      <c r="R579" t="s">
        <v>50</v>
      </c>
      <c r="S579" t="s">
        <v>7355</v>
      </c>
    </row>
    <row r="580" spans="16:19" x14ac:dyDescent="0.25">
      <c r="P580">
        <v>1902</v>
      </c>
      <c r="Q580" t="s">
        <v>64</v>
      </c>
      <c r="R580" t="s">
        <v>50</v>
      </c>
      <c r="S580" t="s">
        <v>7355</v>
      </c>
    </row>
    <row r="581" spans="16:19" x14ac:dyDescent="0.25">
      <c r="P581">
        <v>1216</v>
      </c>
      <c r="Q581" t="s">
        <v>64</v>
      </c>
      <c r="R581" t="s">
        <v>50</v>
      </c>
      <c r="S581" t="s">
        <v>7355</v>
      </c>
    </row>
    <row r="582" spans="16:19" x14ac:dyDescent="0.25">
      <c r="P582">
        <v>2749</v>
      </c>
      <c r="Q582" t="s">
        <v>64</v>
      </c>
      <c r="R582" t="s">
        <v>50</v>
      </c>
      <c r="S582" t="s">
        <v>7355</v>
      </c>
    </row>
    <row r="583" spans="16:19" x14ac:dyDescent="0.25">
      <c r="P583">
        <v>568</v>
      </c>
      <c r="Q583" t="s">
        <v>64</v>
      </c>
      <c r="R583" t="s">
        <v>50</v>
      </c>
      <c r="S583" t="s">
        <v>7355</v>
      </c>
    </row>
    <row r="584" spans="16:19" x14ac:dyDescent="0.25">
      <c r="P584">
        <v>2399</v>
      </c>
      <c r="Q584" t="s">
        <v>64</v>
      </c>
      <c r="R584" t="s">
        <v>50</v>
      </c>
      <c r="S584" t="s">
        <v>7355</v>
      </c>
    </row>
    <row r="585" spans="16:19" x14ac:dyDescent="0.25">
      <c r="P585">
        <v>1117</v>
      </c>
      <c r="Q585" t="s">
        <v>64</v>
      </c>
      <c r="R585" t="s">
        <v>50</v>
      </c>
      <c r="S585" t="s">
        <v>7355</v>
      </c>
    </row>
    <row r="586" spans="16:19" x14ac:dyDescent="0.25">
      <c r="P586">
        <v>1468</v>
      </c>
      <c r="Q586" t="s">
        <v>64</v>
      </c>
      <c r="R586" t="s">
        <v>50</v>
      </c>
      <c r="S586" t="s">
        <v>7355</v>
      </c>
    </row>
    <row r="587" spans="16:19" x14ac:dyDescent="0.25">
      <c r="P587">
        <v>1723</v>
      </c>
      <c r="Q587" t="s">
        <v>64</v>
      </c>
      <c r="R587" t="s">
        <v>50</v>
      </c>
      <c r="S587" t="s">
        <v>7355</v>
      </c>
    </row>
    <row r="588" spans="16:19" x14ac:dyDescent="0.25">
      <c r="P588">
        <v>1929</v>
      </c>
      <c r="Q588" t="s">
        <v>64</v>
      </c>
      <c r="R588" t="s">
        <v>50</v>
      </c>
      <c r="S588" t="s">
        <v>7355</v>
      </c>
    </row>
    <row r="589" spans="16:19" x14ac:dyDescent="0.25">
      <c r="P589">
        <v>2580</v>
      </c>
      <c r="Q589" t="s">
        <v>64</v>
      </c>
      <c r="R589" t="s">
        <v>50</v>
      </c>
      <c r="S589" t="s">
        <v>7355</v>
      </c>
    </row>
    <row r="590" spans="16:19" x14ac:dyDescent="0.25">
      <c r="P590">
        <v>1114</v>
      </c>
      <c r="Q590" t="s">
        <v>64</v>
      </c>
      <c r="R590" t="s">
        <v>50</v>
      </c>
      <c r="S590" t="s">
        <v>7355</v>
      </c>
    </row>
    <row r="591" spans="16:19" x14ac:dyDescent="0.25">
      <c r="P591">
        <v>1089</v>
      </c>
      <c r="Q591" t="s">
        <v>64</v>
      </c>
      <c r="R591" t="s">
        <v>50</v>
      </c>
      <c r="S591" t="s">
        <v>7355</v>
      </c>
    </row>
    <row r="592" spans="16:19" x14ac:dyDescent="0.25">
      <c r="P592">
        <v>1579</v>
      </c>
      <c r="Q592" t="s">
        <v>64</v>
      </c>
      <c r="R592" t="s">
        <v>50</v>
      </c>
      <c r="S592" t="s">
        <v>7355</v>
      </c>
    </row>
    <row r="593" spans="16:19" x14ac:dyDescent="0.25">
      <c r="P593">
        <v>1326</v>
      </c>
      <c r="Q593" t="s">
        <v>64</v>
      </c>
      <c r="R593" t="s">
        <v>50</v>
      </c>
      <c r="S593" t="s">
        <v>7355</v>
      </c>
    </row>
    <row r="594" spans="16:19" x14ac:dyDescent="0.25">
      <c r="P594">
        <v>3865</v>
      </c>
      <c r="Q594" t="s">
        <v>64</v>
      </c>
      <c r="R594" t="s">
        <v>50</v>
      </c>
      <c r="S594" t="s">
        <v>7355</v>
      </c>
    </row>
    <row r="595" spans="16:19" x14ac:dyDescent="0.25">
      <c r="P595">
        <v>3269</v>
      </c>
      <c r="Q595" t="s">
        <v>64</v>
      </c>
      <c r="R595" t="s">
        <v>50</v>
      </c>
      <c r="S595" t="s">
        <v>7355</v>
      </c>
    </row>
    <row r="596" spans="16:19" x14ac:dyDescent="0.25">
      <c r="P596">
        <v>1677</v>
      </c>
      <c r="Q596" t="s">
        <v>64</v>
      </c>
      <c r="R596" t="s">
        <v>50</v>
      </c>
      <c r="S596" t="s">
        <v>7355</v>
      </c>
    </row>
    <row r="597" spans="16:19" x14ac:dyDescent="0.25">
      <c r="P597">
        <v>942</v>
      </c>
      <c r="Q597" t="s">
        <v>64</v>
      </c>
      <c r="R597" t="s">
        <v>50</v>
      </c>
      <c r="S597" t="s">
        <v>7355</v>
      </c>
    </row>
    <row r="598" spans="16:19" x14ac:dyDescent="0.25">
      <c r="P598">
        <v>5556</v>
      </c>
      <c r="Q598" t="s">
        <v>64</v>
      </c>
      <c r="R598" t="s">
        <v>50</v>
      </c>
      <c r="S598" t="s">
        <v>7355</v>
      </c>
    </row>
    <row r="599" spans="16:19" x14ac:dyDescent="0.25">
      <c r="P599">
        <v>1665</v>
      </c>
      <c r="Q599" t="s">
        <v>64</v>
      </c>
      <c r="R599" t="s">
        <v>50</v>
      </c>
      <c r="S599" t="s">
        <v>7355</v>
      </c>
    </row>
    <row r="600" spans="16:19" x14ac:dyDescent="0.25">
      <c r="P600">
        <v>2060</v>
      </c>
      <c r="Q600" t="s">
        <v>64</v>
      </c>
      <c r="R600" t="s">
        <v>50</v>
      </c>
      <c r="S600" t="s">
        <v>7355</v>
      </c>
    </row>
    <row r="601" spans="16:19" x14ac:dyDescent="0.25">
      <c r="P601">
        <v>1023</v>
      </c>
      <c r="Q601" t="s">
        <v>64</v>
      </c>
      <c r="R601" t="s">
        <v>50</v>
      </c>
      <c r="S601" t="s">
        <v>7355</v>
      </c>
    </row>
    <row r="602" spans="16:19" x14ac:dyDescent="0.25">
      <c r="P602">
        <v>2150</v>
      </c>
      <c r="Q602" t="s">
        <v>64</v>
      </c>
      <c r="R602" t="s">
        <v>50</v>
      </c>
      <c r="S602" t="s">
        <v>7355</v>
      </c>
    </row>
    <row r="603" spans="16:19" x14ac:dyDescent="0.25">
      <c r="P603">
        <v>1466</v>
      </c>
      <c r="Q603" t="s">
        <v>64</v>
      </c>
      <c r="R603" t="s">
        <v>50</v>
      </c>
      <c r="S603" t="s">
        <v>7355</v>
      </c>
    </row>
    <row r="604" spans="16:19" x14ac:dyDescent="0.25">
      <c r="P604">
        <v>3958</v>
      </c>
      <c r="Q604" t="s">
        <v>64</v>
      </c>
      <c r="R604" t="s">
        <v>50</v>
      </c>
      <c r="S604" t="s">
        <v>7355</v>
      </c>
    </row>
    <row r="605" spans="16:19" x14ac:dyDescent="0.25">
      <c r="P605">
        <v>2401</v>
      </c>
      <c r="Q605" t="s">
        <v>64</v>
      </c>
      <c r="R605" t="s">
        <v>50</v>
      </c>
      <c r="S605" t="s">
        <v>7355</v>
      </c>
    </row>
    <row r="606" spans="16:19" x14ac:dyDescent="0.25">
      <c r="P606">
        <v>1024</v>
      </c>
      <c r="Q606" t="s">
        <v>64</v>
      </c>
      <c r="R606" t="s">
        <v>50</v>
      </c>
      <c r="S606" t="s">
        <v>7355</v>
      </c>
    </row>
    <row r="607" spans="16:19" x14ac:dyDescent="0.25">
      <c r="P607">
        <v>2303</v>
      </c>
      <c r="Q607" t="s">
        <v>64</v>
      </c>
      <c r="R607" t="s">
        <v>50</v>
      </c>
      <c r="S607" t="s">
        <v>7355</v>
      </c>
    </row>
    <row r="608" spans="16:19" x14ac:dyDescent="0.25">
      <c r="P608">
        <v>3048</v>
      </c>
      <c r="Q608" t="s">
        <v>64</v>
      </c>
      <c r="R608" t="s">
        <v>50</v>
      </c>
      <c r="S608" t="s">
        <v>7355</v>
      </c>
    </row>
    <row r="609" spans="16:19" x14ac:dyDescent="0.25">
      <c r="P609">
        <v>1623</v>
      </c>
      <c r="Q609" t="s">
        <v>64</v>
      </c>
      <c r="R609" t="s">
        <v>50</v>
      </c>
      <c r="S609" t="s">
        <v>7355</v>
      </c>
    </row>
    <row r="610" spans="16:19" x14ac:dyDescent="0.25">
      <c r="P610">
        <v>1112</v>
      </c>
      <c r="Q610" t="s">
        <v>64</v>
      </c>
      <c r="R610" t="s">
        <v>50</v>
      </c>
      <c r="S610" t="s">
        <v>7355</v>
      </c>
    </row>
    <row r="611" spans="16:19" x14ac:dyDescent="0.25">
      <c r="P611">
        <v>933</v>
      </c>
      <c r="Q611" t="s">
        <v>64</v>
      </c>
      <c r="R611" t="s">
        <v>50</v>
      </c>
      <c r="S611" t="s">
        <v>7355</v>
      </c>
    </row>
    <row r="612" spans="16:19" x14ac:dyDescent="0.25">
      <c r="P612">
        <v>1035</v>
      </c>
      <c r="Q612" t="s">
        <v>64</v>
      </c>
      <c r="R612" t="s">
        <v>50</v>
      </c>
      <c r="S612" t="s">
        <v>7355</v>
      </c>
    </row>
    <row r="613" spans="16:19" x14ac:dyDescent="0.25">
      <c r="P613">
        <v>1130</v>
      </c>
      <c r="Q613" t="s">
        <v>64</v>
      </c>
      <c r="R613" t="s">
        <v>50</v>
      </c>
      <c r="S613" t="s">
        <v>7355</v>
      </c>
    </row>
    <row r="614" spans="16:19" x14ac:dyDescent="0.25">
      <c r="P614">
        <v>5618</v>
      </c>
      <c r="Q614" t="s">
        <v>64</v>
      </c>
      <c r="R614" t="s">
        <v>50</v>
      </c>
      <c r="S614" t="s">
        <v>7355</v>
      </c>
    </row>
    <row r="615" spans="16:19" x14ac:dyDescent="0.25">
      <c r="P615">
        <v>1209</v>
      </c>
      <c r="Q615" t="s">
        <v>64</v>
      </c>
      <c r="R615" t="s">
        <v>50</v>
      </c>
      <c r="S615" t="s">
        <v>7355</v>
      </c>
    </row>
    <row r="616" spans="16:19" x14ac:dyDescent="0.25">
      <c r="P616">
        <v>1678</v>
      </c>
      <c r="Q616" t="s">
        <v>64</v>
      </c>
      <c r="R616" t="s">
        <v>50</v>
      </c>
      <c r="S616" t="s">
        <v>7355</v>
      </c>
    </row>
    <row r="617" spans="16:19" x14ac:dyDescent="0.25">
      <c r="P617">
        <v>2024</v>
      </c>
      <c r="Q617" t="s">
        <v>64</v>
      </c>
      <c r="R617" t="s">
        <v>50</v>
      </c>
      <c r="S617" t="s">
        <v>7355</v>
      </c>
    </row>
    <row r="618" spans="16:19" x14ac:dyDescent="0.25">
      <c r="P618">
        <v>1745</v>
      </c>
      <c r="Q618" t="s">
        <v>64</v>
      </c>
      <c r="R618" t="s">
        <v>50</v>
      </c>
      <c r="S618" t="s">
        <v>7355</v>
      </c>
    </row>
    <row r="619" spans="16:19" x14ac:dyDescent="0.25">
      <c r="P619">
        <v>773</v>
      </c>
      <c r="Q619" t="s">
        <v>65</v>
      </c>
      <c r="R619" t="s">
        <v>50</v>
      </c>
      <c r="S619" t="s">
        <v>7355</v>
      </c>
    </row>
    <row r="620" spans="16:19" x14ac:dyDescent="0.25">
      <c r="P620">
        <v>1912</v>
      </c>
      <c r="Q620" t="s">
        <v>65</v>
      </c>
      <c r="R620" t="s">
        <v>50</v>
      </c>
      <c r="S620" t="s">
        <v>7355</v>
      </c>
    </row>
    <row r="621" spans="16:19" x14ac:dyDescent="0.25">
      <c r="P621">
        <v>1595</v>
      </c>
      <c r="Q621" t="s">
        <v>65</v>
      </c>
      <c r="R621" t="s">
        <v>50</v>
      </c>
      <c r="S621" t="s">
        <v>7355</v>
      </c>
    </row>
    <row r="622" spans="16:19" x14ac:dyDescent="0.25">
      <c r="P622">
        <v>1315</v>
      </c>
      <c r="Q622" t="s">
        <v>65</v>
      </c>
      <c r="R622" t="s">
        <v>50</v>
      </c>
      <c r="S622" t="s">
        <v>7355</v>
      </c>
    </row>
    <row r="623" spans="16:19" x14ac:dyDescent="0.25">
      <c r="P623">
        <v>1082</v>
      </c>
      <c r="Q623" t="s">
        <v>65</v>
      </c>
      <c r="R623" t="s">
        <v>50</v>
      </c>
      <c r="S623" t="s">
        <v>7355</v>
      </c>
    </row>
    <row r="624" spans="16:19" x14ac:dyDescent="0.25">
      <c r="P624">
        <v>493</v>
      </c>
      <c r="Q624" t="s">
        <v>65</v>
      </c>
      <c r="R624" t="s">
        <v>50</v>
      </c>
      <c r="S624" t="s">
        <v>7355</v>
      </c>
    </row>
    <row r="625" spans="16:19" x14ac:dyDescent="0.25">
      <c r="P625">
        <v>791</v>
      </c>
      <c r="Q625" t="s">
        <v>65</v>
      </c>
      <c r="R625" t="s">
        <v>50</v>
      </c>
      <c r="S625" t="s">
        <v>7355</v>
      </c>
    </row>
    <row r="626" spans="16:19" x14ac:dyDescent="0.25">
      <c r="P626">
        <v>886</v>
      </c>
      <c r="Q626" t="s">
        <v>65</v>
      </c>
      <c r="R626" t="s">
        <v>50</v>
      </c>
      <c r="S626" t="s">
        <v>7355</v>
      </c>
    </row>
    <row r="627" spans="16:19" x14ac:dyDescent="0.25">
      <c r="P627">
        <v>4064</v>
      </c>
      <c r="Q627" t="s">
        <v>65</v>
      </c>
      <c r="R627" t="s">
        <v>50</v>
      </c>
      <c r="S627" t="s">
        <v>7355</v>
      </c>
    </row>
    <row r="628" spans="16:19" x14ac:dyDescent="0.25">
      <c r="P628">
        <v>1152</v>
      </c>
      <c r="Q628" t="s">
        <v>65</v>
      </c>
      <c r="R628" t="s">
        <v>50</v>
      </c>
      <c r="S628" t="s">
        <v>7355</v>
      </c>
    </row>
    <row r="629" spans="16:19" x14ac:dyDescent="0.25">
      <c r="P629">
        <v>2236</v>
      </c>
      <c r="Q629" t="s">
        <v>65</v>
      </c>
      <c r="R629" t="s">
        <v>50</v>
      </c>
      <c r="S629" t="s">
        <v>7355</v>
      </c>
    </row>
    <row r="630" spans="16:19" x14ac:dyDescent="0.25">
      <c r="P630">
        <v>1506</v>
      </c>
      <c r="Q630" t="s">
        <v>65</v>
      </c>
      <c r="R630" t="s">
        <v>50</v>
      </c>
      <c r="S630" t="s">
        <v>7355</v>
      </c>
    </row>
    <row r="631" spans="16:19" x14ac:dyDescent="0.25">
      <c r="P631">
        <v>1100</v>
      </c>
      <c r="Q631" t="s">
        <v>65</v>
      </c>
      <c r="R631" t="s">
        <v>50</v>
      </c>
      <c r="S631" t="s">
        <v>7355</v>
      </c>
    </row>
    <row r="632" spans="16:19" x14ac:dyDescent="0.25">
      <c r="P632">
        <v>1670</v>
      </c>
      <c r="Q632" t="s">
        <v>65</v>
      </c>
      <c r="R632" t="s">
        <v>50</v>
      </c>
      <c r="S632" t="s">
        <v>7355</v>
      </c>
    </row>
    <row r="633" spans="16:19" x14ac:dyDescent="0.25">
      <c r="P633">
        <v>863</v>
      </c>
      <c r="Q633" t="s">
        <v>65</v>
      </c>
      <c r="R633" t="s">
        <v>50</v>
      </c>
      <c r="S633" t="s">
        <v>7355</v>
      </c>
    </row>
    <row r="634" spans="16:19" x14ac:dyDescent="0.25">
      <c r="P634">
        <v>939</v>
      </c>
      <c r="Q634" t="s">
        <v>65</v>
      </c>
      <c r="R634" t="s">
        <v>50</v>
      </c>
      <c r="S634" t="s">
        <v>7355</v>
      </c>
    </row>
    <row r="635" spans="16:19" x14ac:dyDescent="0.25">
      <c r="P635">
        <v>1110</v>
      </c>
      <c r="Q635" t="s">
        <v>65</v>
      </c>
      <c r="R635" t="s">
        <v>50</v>
      </c>
      <c r="S635" t="s">
        <v>7355</v>
      </c>
    </row>
    <row r="636" spans="16:19" x14ac:dyDescent="0.25">
      <c r="P636">
        <v>1454</v>
      </c>
      <c r="Q636" t="s">
        <v>65</v>
      </c>
      <c r="R636" t="s">
        <v>50</v>
      </c>
      <c r="S636" t="s">
        <v>7355</v>
      </c>
    </row>
    <row r="637" spans="16:19" x14ac:dyDescent="0.25">
      <c r="P637">
        <v>1654</v>
      </c>
      <c r="Q637" t="s">
        <v>65</v>
      </c>
      <c r="R637" t="s">
        <v>50</v>
      </c>
      <c r="S637" t="s">
        <v>7355</v>
      </c>
    </row>
    <row r="638" spans="16:19" x14ac:dyDescent="0.25">
      <c r="P638">
        <v>6247</v>
      </c>
      <c r="Q638" t="s">
        <v>65</v>
      </c>
      <c r="R638" t="s">
        <v>50</v>
      </c>
      <c r="S638" t="s">
        <v>7355</v>
      </c>
    </row>
    <row r="639" spans="16:19" x14ac:dyDescent="0.25">
      <c r="P639">
        <v>2343</v>
      </c>
      <c r="Q639" t="s">
        <v>65</v>
      </c>
      <c r="R639" t="s">
        <v>50</v>
      </c>
      <c r="S639" t="s">
        <v>7355</v>
      </c>
    </row>
    <row r="640" spans="16:19" x14ac:dyDescent="0.25">
      <c r="P640">
        <v>11665</v>
      </c>
      <c r="Q640" t="s">
        <v>65</v>
      </c>
      <c r="R640" t="s">
        <v>50</v>
      </c>
      <c r="S640" t="s">
        <v>7355</v>
      </c>
    </row>
    <row r="641" spans="16:19" x14ac:dyDescent="0.25">
      <c r="P641">
        <v>1386</v>
      </c>
      <c r="Q641" t="s">
        <v>65</v>
      </c>
      <c r="R641" t="s">
        <v>50</v>
      </c>
      <c r="S641" t="s">
        <v>7355</v>
      </c>
    </row>
    <row r="642" spans="16:19" x14ac:dyDescent="0.25">
      <c r="P642">
        <v>898</v>
      </c>
      <c r="Q642" t="s">
        <v>65</v>
      </c>
      <c r="R642" t="s">
        <v>50</v>
      </c>
      <c r="S642" t="s">
        <v>7355</v>
      </c>
    </row>
    <row r="643" spans="16:19" x14ac:dyDescent="0.25">
      <c r="P643">
        <v>1184</v>
      </c>
      <c r="Q643" t="s">
        <v>65</v>
      </c>
      <c r="R643" t="s">
        <v>50</v>
      </c>
      <c r="S643" t="s">
        <v>7355</v>
      </c>
    </row>
    <row r="644" spans="16:19" x14ac:dyDescent="0.25">
      <c r="P644">
        <v>5538</v>
      </c>
      <c r="Q644" t="s">
        <v>65</v>
      </c>
      <c r="R644" t="s">
        <v>50</v>
      </c>
      <c r="S644" t="s">
        <v>7355</v>
      </c>
    </row>
    <row r="645" spans="16:19" x14ac:dyDescent="0.25">
      <c r="P645">
        <v>1085</v>
      </c>
      <c r="Q645" t="s">
        <v>65</v>
      </c>
      <c r="R645" t="s">
        <v>50</v>
      </c>
      <c r="S645" t="s">
        <v>7355</v>
      </c>
    </row>
    <row r="646" spans="16:19" x14ac:dyDescent="0.25">
      <c r="P646">
        <v>855</v>
      </c>
      <c r="Q646" t="s">
        <v>65</v>
      </c>
      <c r="R646" t="s">
        <v>50</v>
      </c>
      <c r="S646" t="s">
        <v>7355</v>
      </c>
    </row>
    <row r="647" spans="16:19" x14ac:dyDescent="0.25">
      <c r="P647">
        <v>1902</v>
      </c>
      <c r="Q647" t="s">
        <v>65</v>
      </c>
      <c r="R647" t="s">
        <v>50</v>
      </c>
      <c r="S647" t="s">
        <v>7355</v>
      </c>
    </row>
    <row r="648" spans="16:19" x14ac:dyDescent="0.25">
      <c r="P648">
        <v>1596</v>
      </c>
      <c r="Q648" t="s">
        <v>65</v>
      </c>
      <c r="R648" t="s">
        <v>50</v>
      </c>
      <c r="S648" t="s">
        <v>7355</v>
      </c>
    </row>
    <row r="649" spans="16:19" x14ac:dyDescent="0.25">
      <c r="P649">
        <v>2650</v>
      </c>
      <c r="Q649" t="s">
        <v>65</v>
      </c>
      <c r="R649" t="s">
        <v>50</v>
      </c>
      <c r="S649" t="s">
        <v>7355</v>
      </c>
    </row>
    <row r="650" spans="16:19" x14ac:dyDescent="0.25">
      <c r="P650">
        <v>546</v>
      </c>
      <c r="Q650" t="s">
        <v>65</v>
      </c>
      <c r="R650" t="s">
        <v>50</v>
      </c>
      <c r="S650" t="s">
        <v>7355</v>
      </c>
    </row>
    <row r="651" spans="16:19" x14ac:dyDescent="0.25">
      <c r="P651">
        <v>1572</v>
      </c>
      <c r="Q651" t="s">
        <v>65</v>
      </c>
      <c r="R651" t="s">
        <v>50</v>
      </c>
      <c r="S651" t="s">
        <v>7355</v>
      </c>
    </row>
    <row r="652" spans="16:19" x14ac:dyDescent="0.25">
      <c r="P652">
        <v>2097</v>
      </c>
      <c r="Q652" t="s">
        <v>65</v>
      </c>
      <c r="R652" t="s">
        <v>50</v>
      </c>
      <c r="S652" t="s">
        <v>7355</v>
      </c>
    </row>
    <row r="653" spans="16:19" x14ac:dyDescent="0.25">
      <c r="P653">
        <v>7379</v>
      </c>
      <c r="Q653" t="s">
        <v>65</v>
      </c>
      <c r="R653" t="s">
        <v>50</v>
      </c>
      <c r="S653" t="s">
        <v>7355</v>
      </c>
    </row>
    <row r="654" spans="16:19" x14ac:dyDescent="0.25">
      <c r="P654">
        <v>535</v>
      </c>
      <c r="Q654" t="s">
        <v>65</v>
      </c>
      <c r="R654" t="s">
        <v>50</v>
      </c>
      <c r="S654" t="s">
        <v>7355</v>
      </c>
    </row>
    <row r="655" spans="16:19" x14ac:dyDescent="0.25">
      <c r="P655">
        <v>1517</v>
      </c>
      <c r="Q655" t="s">
        <v>66</v>
      </c>
      <c r="R655" t="s">
        <v>50</v>
      </c>
      <c r="S655" t="s">
        <v>7355</v>
      </c>
    </row>
    <row r="656" spans="16:19" x14ac:dyDescent="0.25">
      <c r="P656">
        <v>3141</v>
      </c>
      <c r="Q656" t="s">
        <v>66</v>
      </c>
      <c r="R656" t="s">
        <v>50</v>
      </c>
      <c r="S656" t="s">
        <v>7355</v>
      </c>
    </row>
    <row r="657" spans="16:19" x14ac:dyDescent="0.25">
      <c r="P657">
        <v>5935</v>
      </c>
      <c r="Q657" t="s">
        <v>66</v>
      </c>
      <c r="R657" t="s">
        <v>50</v>
      </c>
      <c r="S657" t="s">
        <v>7355</v>
      </c>
    </row>
    <row r="658" spans="16:19" x14ac:dyDescent="0.25">
      <c r="P658">
        <v>12045</v>
      </c>
      <c r="Q658" t="s">
        <v>66</v>
      </c>
      <c r="R658" t="s">
        <v>50</v>
      </c>
      <c r="S658" t="s">
        <v>7355</v>
      </c>
    </row>
    <row r="659" spans="16:19" x14ac:dyDescent="0.25">
      <c r="P659">
        <v>1640</v>
      </c>
      <c r="Q659" t="s">
        <v>66</v>
      </c>
      <c r="R659" t="s">
        <v>50</v>
      </c>
      <c r="S659" t="s">
        <v>7355</v>
      </c>
    </row>
    <row r="660" spans="16:19" x14ac:dyDescent="0.25">
      <c r="P660">
        <v>2394</v>
      </c>
      <c r="Q660" t="s">
        <v>66</v>
      </c>
      <c r="R660" t="s">
        <v>50</v>
      </c>
      <c r="S660" t="s">
        <v>7355</v>
      </c>
    </row>
    <row r="661" spans="16:19" x14ac:dyDescent="0.25">
      <c r="P661">
        <v>3968</v>
      </c>
      <c r="Q661" t="s">
        <v>66</v>
      </c>
      <c r="R661" t="s">
        <v>50</v>
      </c>
      <c r="S661" t="s">
        <v>7355</v>
      </c>
    </row>
    <row r="662" spans="16:19" x14ac:dyDescent="0.25">
      <c r="P662">
        <v>9144</v>
      </c>
      <c r="Q662" t="s">
        <v>66</v>
      </c>
      <c r="R662" t="s">
        <v>50</v>
      </c>
      <c r="S662" t="s">
        <v>7355</v>
      </c>
    </row>
    <row r="663" spans="16:19" x14ac:dyDescent="0.25">
      <c r="P663">
        <v>1543</v>
      </c>
      <c r="Q663" t="s">
        <v>66</v>
      </c>
      <c r="R663" t="s">
        <v>50</v>
      </c>
      <c r="S663" t="s">
        <v>7355</v>
      </c>
    </row>
    <row r="664" spans="16:19" x14ac:dyDescent="0.25">
      <c r="P664">
        <v>3912</v>
      </c>
      <c r="Q664" t="s">
        <v>66</v>
      </c>
      <c r="R664" t="s">
        <v>50</v>
      </c>
      <c r="S664" t="s">
        <v>7355</v>
      </c>
    </row>
    <row r="665" spans="16:19" x14ac:dyDescent="0.25">
      <c r="P665">
        <v>3345</v>
      </c>
      <c r="Q665" t="s">
        <v>66</v>
      </c>
      <c r="R665" t="s">
        <v>50</v>
      </c>
      <c r="S665" t="s">
        <v>7355</v>
      </c>
    </row>
    <row r="666" spans="16:19" x14ac:dyDescent="0.25">
      <c r="P666">
        <v>1102</v>
      </c>
      <c r="Q666" t="s">
        <v>66</v>
      </c>
      <c r="R666" t="s">
        <v>50</v>
      </c>
      <c r="S666" t="s">
        <v>7355</v>
      </c>
    </row>
    <row r="667" spans="16:19" x14ac:dyDescent="0.25">
      <c r="P667">
        <v>2969</v>
      </c>
      <c r="Q667" t="s">
        <v>66</v>
      </c>
      <c r="R667" t="s">
        <v>50</v>
      </c>
      <c r="S667" t="s">
        <v>7355</v>
      </c>
    </row>
    <row r="668" spans="16:19" x14ac:dyDescent="0.25">
      <c r="P668">
        <v>8721</v>
      </c>
      <c r="Q668" t="s">
        <v>66</v>
      </c>
      <c r="R668" t="s">
        <v>50</v>
      </c>
      <c r="S668" t="s">
        <v>7355</v>
      </c>
    </row>
    <row r="669" spans="16:19" x14ac:dyDescent="0.25">
      <c r="P669">
        <v>20531</v>
      </c>
      <c r="Q669" t="s">
        <v>66</v>
      </c>
      <c r="R669" t="s">
        <v>50</v>
      </c>
      <c r="S669" t="s">
        <v>7355</v>
      </c>
    </row>
    <row r="670" spans="16:19" x14ac:dyDescent="0.25">
      <c r="P670">
        <v>3103</v>
      </c>
      <c r="Q670" t="s">
        <v>66</v>
      </c>
      <c r="R670" t="s">
        <v>50</v>
      </c>
      <c r="S670" t="s">
        <v>7355</v>
      </c>
    </row>
    <row r="671" spans="16:19" x14ac:dyDescent="0.25">
      <c r="P671">
        <v>14886</v>
      </c>
      <c r="Q671" t="s">
        <v>66</v>
      </c>
      <c r="R671" t="s">
        <v>50</v>
      </c>
      <c r="S671" t="s">
        <v>7355</v>
      </c>
    </row>
    <row r="672" spans="16:19" x14ac:dyDescent="0.25">
      <c r="P672">
        <v>7499</v>
      </c>
      <c r="Q672" t="s">
        <v>66</v>
      </c>
      <c r="R672" t="s">
        <v>50</v>
      </c>
      <c r="S672" t="s">
        <v>7355</v>
      </c>
    </row>
    <row r="673" spans="16:19" x14ac:dyDescent="0.25">
      <c r="P673">
        <v>9339</v>
      </c>
      <c r="Q673" t="s">
        <v>66</v>
      </c>
      <c r="R673" t="s">
        <v>50</v>
      </c>
      <c r="S673" t="s">
        <v>7355</v>
      </c>
    </row>
    <row r="674" spans="16:19" x14ac:dyDescent="0.25">
      <c r="P674">
        <v>2893</v>
      </c>
      <c r="Q674" t="s">
        <v>66</v>
      </c>
      <c r="R674" t="s">
        <v>50</v>
      </c>
      <c r="S674" t="s">
        <v>7355</v>
      </c>
    </row>
    <row r="675" spans="16:19" x14ac:dyDescent="0.25">
      <c r="P675">
        <v>357</v>
      </c>
      <c r="Q675" t="s">
        <v>67</v>
      </c>
      <c r="R675" t="s">
        <v>50</v>
      </c>
      <c r="S675" t="s">
        <v>7355</v>
      </c>
    </row>
    <row r="676" spans="16:19" x14ac:dyDescent="0.25">
      <c r="P676">
        <v>1779</v>
      </c>
      <c r="Q676" t="s">
        <v>67</v>
      </c>
      <c r="R676" t="s">
        <v>50</v>
      </c>
      <c r="S676" t="s">
        <v>7355</v>
      </c>
    </row>
    <row r="677" spans="16:19" x14ac:dyDescent="0.25">
      <c r="P677">
        <v>1896</v>
      </c>
      <c r="Q677" t="s">
        <v>67</v>
      </c>
      <c r="R677" t="s">
        <v>50</v>
      </c>
      <c r="S677" t="s">
        <v>7355</v>
      </c>
    </row>
    <row r="678" spans="16:19" x14ac:dyDescent="0.25">
      <c r="P678">
        <v>1552</v>
      </c>
      <c r="Q678" t="s">
        <v>67</v>
      </c>
      <c r="R678" t="s">
        <v>50</v>
      </c>
      <c r="S678" t="s">
        <v>7355</v>
      </c>
    </row>
    <row r="679" spans="16:19" x14ac:dyDescent="0.25">
      <c r="P679">
        <v>300</v>
      </c>
      <c r="Q679" t="s">
        <v>67</v>
      </c>
      <c r="R679" t="s">
        <v>50</v>
      </c>
      <c r="S679" t="s">
        <v>7355</v>
      </c>
    </row>
    <row r="680" spans="16:19" x14ac:dyDescent="0.25">
      <c r="P680">
        <v>359</v>
      </c>
      <c r="Q680" t="s">
        <v>67</v>
      </c>
      <c r="R680" t="s">
        <v>50</v>
      </c>
      <c r="S680" t="s">
        <v>7355</v>
      </c>
    </row>
    <row r="681" spans="16:19" x14ac:dyDescent="0.25">
      <c r="P681">
        <v>906</v>
      </c>
      <c r="Q681" t="s">
        <v>67</v>
      </c>
      <c r="R681" t="s">
        <v>50</v>
      </c>
      <c r="S681" t="s">
        <v>7355</v>
      </c>
    </row>
    <row r="682" spans="16:19" x14ac:dyDescent="0.25">
      <c r="P682">
        <v>1999</v>
      </c>
      <c r="Q682" t="s">
        <v>67</v>
      </c>
      <c r="R682" t="s">
        <v>50</v>
      </c>
      <c r="S682" t="s">
        <v>7355</v>
      </c>
    </row>
    <row r="683" spans="16:19" x14ac:dyDescent="0.25">
      <c r="P683">
        <v>1033</v>
      </c>
      <c r="Q683" t="s">
        <v>67</v>
      </c>
      <c r="R683" t="s">
        <v>50</v>
      </c>
      <c r="S683" t="s">
        <v>7355</v>
      </c>
    </row>
    <row r="684" spans="16:19" x14ac:dyDescent="0.25">
      <c r="P684">
        <v>5856</v>
      </c>
      <c r="Q684" t="s">
        <v>67</v>
      </c>
      <c r="R684" t="s">
        <v>50</v>
      </c>
      <c r="S684" t="s">
        <v>7355</v>
      </c>
    </row>
    <row r="685" spans="16:19" x14ac:dyDescent="0.25">
      <c r="P685">
        <v>2265</v>
      </c>
      <c r="Q685" t="s">
        <v>67</v>
      </c>
      <c r="R685" t="s">
        <v>50</v>
      </c>
      <c r="S685" t="s">
        <v>7355</v>
      </c>
    </row>
    <row r="686" spans="16:19" x14ac:dyDescent="0.25">
      <c r="P686">
        <v>1313</v>
      </c>
      <c r="Q686" t="s">
        <v>67</v>
      </c>
      <c r="R686" t="s">
        <v>50</v>
      </c>
      <c r="S686" t="s">
        <v>7355</v>
      </c>
    </row>
    <row r="687" spans="16:19" x14ac:dyDescent="0.25">
      <c r="P687">
        <v>1601</v>
      </c>
      <c r="Q687" t="s">
        <v>67</v>
      </c>
      <c r="R687" t="s">
        <v>50</v>
      </c>
      <c r="S687" t="s">
        <v>7355</v>
      </c>
    </row>
    <row r="688" spans="16:19" x14ac:dyDescent="0.25">
      <c r="P688">
        <v>2473</v>
      </c>
      <c r="Q688" t="s">
        <v>67</v>
      </c>
      <c r="R688" t="s">
        <v>50</v>
      </c>
      <c r="S688" t="s">
        <v>7355</v>
      </c>
    </row>
    <row r="689" spans="16:19" x14ac:dyDescent="0.25">
      <c r="P689">
        <v>607</v>
      </c>
      <c r="Q689" t="s">
        <v>67</v>
      </c>
      <c r="R689" t="s">
        <v>50</v>
      </c>
      <c r="S689" t="s">
        <v>7355</v>
      </c>
    </row>
    <row r="690" spans="16:19" x14ac:dyDescent="0.25">
      <c r="P690">
        <v>1708</v>
      </c>
      <c r="Q690" t="s">
        <v>67</v>
      </c>
      <c r="R690" t="s">
        <v>50</v>
      </c>
      <c r="S690" t="s">
        <v>7355</v>
      </c>
    </row>
    <row r="691" spans="16:19" x14ac:dyDescent="0.25">
      <c r="P691">
        <v>12545</v>
      </c>
      <c r="Q691" t="s">
        <v>67</v>
      </c>
      <c r="R691" t="s">
        <v>50</v>
      </c>
      <c r="S691" t="s">
        <v>7355</v>
      </c>
    </row>
    <row r="692" spans="16:19" x14ac:dyDescent="0.25">
      <c r="P692">
        <v>570</v>
      </c>
      <c r="Q692" t="s">
        <v>67</v>
      </c>
      <c r="R692" t="s">
        <v>50</v>
      </c>
      <c r="S692" t="s">
        <v>7355</v>
      </c>
    </row>
    <row r="693" spans="16:19" x14ac:dyDescent="0.25">
      <c r="P693">
        <v>2063</v>
      </c>
      <c r="Q693" t="s">
        <v>67</v>
      </c>
      <c r="R693" t="s">
        <v>50</v>
      </c>
      <c r="S693" t="s">
        <v>7355</v>
      </c>
    </row>
    <row r="694" spans="16:19" x14ac:dyDescent="0.25">
      <c r="P694">
        <v>2884</v>
      </c>
      <c r="Q694" t="s">
        <v>67</v>
      </c>
      <c r="R694" t="s">
        <v>50</v>
      </c>
      <c r="S694" t="s">
        <v>7355</v>
      </c>
    </row>
    <row r="695" spans="16:19" x14ac:dyDescent="0.25">
      <c r="P695">
        <v>431</v>
      </c>
      <c r="Q695" t="s">
        <v>67</v>
      </c>
      <c r="R695" t="s">
        <v>50</v>
      </c>
      <c r="S695" t="s">
        <v>7355</v>
      </c>
    </row>
    <row r="696" spans="16:19" x14ac:dyDescent="0.25">
      <c r="P696">
        <v>2662</v>
      </c>
      <c r="Q696" t="s">
        <v>67</v>
      </c>
      <c r="R696" t="s">
        <v>50</v>
      </c>
      <c r="S696" t="s">
        <v>7355</v>
      </c>
    </row>
    <row r="697" spans="16:19" x14ac:dyDescent="0.25">
      <c r="P697">
        <v>304</v>
      </c>
      <c r="Q697" t="s">
        <v>67</v>
      </c>
      <c r="R697" t="s">
        <v>50</v>
      </c>
      <c r="S697" t="s">
        <v>7355</v>
      </c>
    </row>
    <row r="698" spans="16:19" x14ac:dyDescent="0.25">
      <c r="P698">
        <v>2539</v>
      </c>
      <c r="Q698" t="s">
        <v>67</v>
      </c>
      <c r="R698" t="s">
        <v>50</v>
      </c>
      <c r="S698" t="s">
        <v>7355</v>
      </c>
    </row>
    <row r="699" spans="16:19" x14ac:dyDescent="0.25">
      <c r="P699">
        <v>399</v>
      </c>
      <c r="Q699" t="s">
        <v>67</v>
      </c>
      <c r="R699" t="s">
        <v>50</v>
      </c>
      <c r="S699" t="s">
        <v>7355</v>
      </c>
    </row>
    <row r="700" spans="16:19" x14ac:dyDescent="0.25">
      <c r="P700">
        <v>2177</v>
      </c>
      <c r="Q700" t="s">
        <v>67</v>
      </c>
      <c r="R700" t="s">
        <v>50</v>
      </c>
      <c r="S700" t="s">
        <v>7355</v>
      </c>
    </row>
    <row r="701" spans="16:19" x14ac:dyDescent="0.25">
      <c r="P701">
        <v>1923</v>
      </c>
      <c r="Q701" t="s">
        <v>67</v>
      </c>
      <c r="R701" t="s">
        <v>50</v>
      </c>
      <c r="S701" t="s">
        <v>7355</v>
      </c>
    </row>
    <row r="702" spans="16:19" x14ac:dyDescent="0.25">
      <c r="P702">
        <v>642</v>
      </c>
      <c r="Q702" t="s">
        <v>67</v>
      </c>
      <c r="R702" t="s">
        <v>50</v>
      </c>
      <c r="S702" t="s">
        <v>7355</v>
      </c>
    </row>
    <row r="703" spans="16:19" x14ac:dyDescent="0.25">
      <c r="P703">
        <v>398</v>
      </c>
      <c r="Q703" t="s">
        <v>67</v>
      </c>
      <c r="R703" t="s">
        <v>50</v>
      </c>
      <c r="S703" t="s">
        <v>7355</v>
      </c>
    </row>
    <row r="704" spans="16:19" x14ac:dyDescent="0.25">
      <c r="P704">
        <v>2096</v>
      </c>
      <c r="Q704" t="s">
        <v>67</v>
      </c>
      <c r="R704" t="s">
        <v>50</v>
      </c>
      <c r="S704" t="s">
        <v>7355</v>
      </c>
    </row>
    <row r="705" spans="16:19" x14ac:dyDescent="0.25">
      <c r="P705">
        <v>619</v>
      </c>
      <c r="Q705" t="s">
        <v>67</v>
      </c>
      <c r="R705" t="s">
        <v>50</v>
      </c>
      <c r="S705" t="s">
        <v>7355</v>
      </c>
    </row>
    <row r="706" spans="16:19" x14ac:dyDescent="0.25">
      <c r="P706">
        <v>1483</v>
      </c>
      <c r="Q706" t="s">
        <v>67</v>
      </c>
      <c r="R706" t="s">
        <v>50</v>
      </c>
      <c r="S706" t="s">
        <v>7355</v>
      </c>
    </row>
    <row r="707" spans="16:19" x14ac:dyDescent="0.25">
      <c r="P707">
        <v>514</v>
      </c>
      <c r="Q707" t="s">
        <v>67</v>
      </c>
      <c r="R707" t="s">
        <v>50</v>
      </c>
      <c r="S707" t="s">
        <v>7355</v>
      </c>
    </row>
    <row r="708" spans="16:19" x14ac:dyDescent="0.25">
      <c r="P708">
        <v>14681</v>
      </c>
      <c r="Q708" t="s">
        <v>67</v>
      </c>
      <c r="R708" t="s">
        <v>50</v>
      </c>
      <c r="S708" t="s">
        <v>7355</v>
      </c>
    </row>
    <row r="709" spans="16:19" x14ac:dyDescent="0.25">
      <c r="P709">
        <v>1248</v>
      </c>
      <c r="Q709" t="s">
        <v>67</v>
      </c>
      <c r="R709" t="s">
        <v>50</v>
      </c>
      <c r="S709" t="s">
        <v>7355</v>
      </c>
    </row>
    <row r="710" spans="16:19" x14ac:dyDescent="0.25">
      <c r="P710">
        <v>516</v>
      </c>
      <c r="Q710" t="s">
        <v>67</v>
      </c>
      <c r="R710" t="s">
        <v>50</v>
      </c>
      <c r="S710" t="s">
        <v>7355</v>
      </c>
    </row>
    <row r="711" spans="16:19" x14ac:dyDescent="0.25">
      <c r="P711">
        <v>164</v>
      </c>
      <c r="Q711" t="s">
        <v>67</v>
      </c>
      <c r="R711" t="s">
        <v>50</v>
      </c>
      <c r="S711" t="s">
        <v>7355</v>
      </c>
    </row>
    <row r="712" spans="16:19" x14ac:dyDescent="0.25">
      <c r="P712">
        <v>1544</v>
      </c>
      <c r="Q712" t="s">
        <v>67</v>
      </c>
      <c r="R712" t="s">
        <v>50</v>
      </c>
      <c r="S712" t="s">
        <v>7355</v>
      </c>
    </row>
    <row r="713" spans="16:19" x14ac:dyDescent="0.25">
      <c r="P713">
        <v>1612</v>
      </c>
      <c r="Q713" t="s">
        <v>67</v>
      </c>
      <c r="R713" t="s">
        <v>50</v>
      </c>
      <c r="S713" t="s">
        <v>7355</v>
      </c>
    </row>
    <row r="714" spans="16:19" x14ac:dyDescent="0.25">
      <c r="P714">
        <v>984</v>
      </c>
      <c r="Q714" t="s">
        <v>67</v>
      </c>
      <c r="R714" t="s">
        <v>50</v>
      </c>
      <c r="S714" t="s">
        <v>7355</v>
      </c>
    </row>
    <row r="715" spans="16:19" x14ac:dyDescent="0.25">
      <c r="P715">
        <v>1592</v>
      </c>
      <c r="Q715" t="s">
        <v>67</v>
      </c>
      <c r="R715" t="s">
        <v>50</v>
      </c>
      <c r="S715" t="s">
        <v>7355</v>
      </c>
    </row>
    <row r="716" spans="16:19" x14ac:dyDescent="0.25">
      <c r="P716">
        <v>1628</v>
      </c>
      <c r="Q716" t="s">
        <v>67</v>
      </c>
      <c r="R716" t="s">
        <v>50</v>
      </c>
      <c r="S716" t="s">
        <v>7355</v>
      </c>
    </row>
    <row r="717" spans="16:19" x14ac:dyDescent="0.25">
      <c r="P717">
        <v>1386</v>
      </c>
      <c r="Q717" t="s">
        <v>67</v>
      </c>
      <c r="R717" t="s">
        <v>50</v>
      </c>
      <c r="S717" t="s">
        <v>7355</v>
      </c>
    </row>
    <row r="718" spans="16:19" x14ac:dyDescent="0.25">
      <c r="P718">
        <v>891</v>
      </c>
      <c r="Q718" t="s">
        <v>67</v>
      </c>
      <c r="R718" t="s">
        <v>50</v>
      </c>
      <c r="S718" t="s">
        <v>7355</v>
      </c>
    </row>
    <row r="719" spans="16:19" x14ac:dyDescent="0.25">
      <c r="P719">
        <v>3160</v>
      </c>
      <c r="Q719" t="s">
        <v>68</v>
      </c>
      <c r="R719" t="s">
        <v>50</v>
      </c>
      <c r="S719" t="s">
        <v>7355</v>
      </c>
    </row>
    <row r="720" spans="16:19" x14ac:dyDescent="0.25">
      <c r="P720">
        <v>2305</v>
      </c>
      <c r="Q720" t="s">
        <v>68</v>
      </c>
      <c r="R720" t="s">
        <v>50</v>
      </c>
      <c r="S720" t="s">
        <v>7355</v>
      </c>
    </row>
    <row r="721" spans="16:19" x14ac:dyDescent="0.25">
      <c r="P721">
        <v>5116</v>
      </c>
      <c r="Q721" t="s">
        <v>68</v>
      </c>
      <c r="R721" t="s">
        <v>50</v>
      </c>
      <c r="S721" t="s">
        <v>7355</v>
      </c>
    </row>
    <row r="722" spans="16:19" x14ac:dyDescent="0.25">
      <c r="P722">
        <v>1249</v>
      </c>
      <c r="Q722" t="s">
        <v>68</v>
      </c>
      <c r="R722" t="s">
        <v>50</v>
      </c>
      <c r="S722" t="s">
        <v>7355</v>
      </c>
    </row>
    <row r="723" spans="16:19" x14ac:dyDescent="0.25">
      <c r="P723">
        <v>4763</v>
      </c>
      <c r="Q723" t="s">
        <v>68</v>
      </c>
      <c r="R723" t="s">
        <v>50</v>
      </c>
      <c r="S723" t="s">
        <v>7355</v>
      </c>
    </row>
    <row r="724" spans="16:19" x14ac:dyDescent="0.25">
      <c r="P724">
        <v>1931</v>
      </c>
      <c r="Q724" t="s">
        <v>68</v>
      </c>
      <c r="R724" t="s">
        <v>50</v>
      </c>
      <c r="S724" t="s">
        <v>7355</v>
      </c>
    </row>
    <row r="725" spans="16:19" x14ac:dyDescent="0.25">
      <c r="P725">
        <v>1023</v>
      </c>
      <c r="Q725" t="s">
        <v>68</v>
      </c>
      <c r="R725" t="s">
        <v>50</v>
      </c>
      <c r="S725" t="s">
        <v>7355</v>
      </c>
    </row>
    <row r="726" spans="16:19" x14ac:dyDescent="0.25">
      <c r="P726">
        <v>2724</v>
      </c>
      <c r="Q726" t="s">
        <v>68</v>
      </c>
      <c r="R726" t="s">
        <v>50</v>
      </c>
      <c r="S726" t="s">
        <v>7355</v>
      </c>
    </row>
    <row r="727" spans="16:19" x14ac:dyDescent="0.25">
      <c r="P727">
        <v>1650</v>
      </c>
      <c r="Q727" t="s">
        <v>68</v>
      </c>
      <c r="R727" t="s">
        <v>50</v>
      </c>
      <c r="S727" t="s">
        <v>7355</v>
      </c>
    </row>
    <row r="728" spans="16:19" x14ac:dyDescent="0.25">
      <c r="P728">
        <v>1245</v>
      </c>
      <c r="Q728" t="s">
        <v>68</v>
      </c>
      <c r="R728" t="s">
        <v>50</v>
      </c>
      <c r="S728" t="s">
        <v>7355</v>
      </c>
    </row>
    <row r="729" spans="16:19" x14ac:dyDescent="0.25">
      <c r="P729">
        <v>7833</v>
      </c>
      <c r="Q729" t="s">
        <v>68</v>
      </c>
      <c r="R729" t="s">
        <v>50</v>
      </c>
      <c r="S729" t="s">
        <v>7355</v>
      </c>
    </row>
    <row r="730" spans="16:19" x14ac:dyDescent="0.25">
      <c r="P730">
        <v>1638</v>
      </c>
      <c r="Q730" t="s">
        <v>68</v>
      </c>
      <c r="R730" t="s">
        <v>50</v>
      </c>
      <c r="S730" t="s">
        <v>7355</v>
      </c>
    </row>
    <row r="731" spans="16:19" x14ac:dyDescent="0.25">
      <c r="P731">
        <v>1346</v>
      </c>
      <c r="Q731" t="s">
        <v>68</v>
      </c>
      <c r="R731" t="s">
        <v>50</v>
      </c>
      <c r="S731" t="s">
        <v>7355</v>
      </c>
    </row>
    <row r="732" spans="16:19" x14ac:dyDescent="0.25">
      <c r="P732">
        <v>2191</v>
      </c>
      <c r="Q732" t="s">
        <v>68</v>
      </c>
      <c r="R732" t="s">
        <v>50</v>
      </c>
      <c r="S732" t="s">
        <v>7355</v>
      </c>
    </row>
    <row r="733" spans="16:19" x14ac:dyDescent="0.25">
      <c r="P733">
        <v>1409</v>
      </c>
      <c r="Q733" t="s">
        <v>68</v>
      </c>
      <c r="R733" t="s">
        <v>50</v>
      </c>
      <c r="S733" t="s">
        <v>7355</v>
      </c>
    </row>
    <row r="734" spans="16:19" x14ac:dyDescent="0.25">
      <c r="P734">
        <v>3206</v>
      </c>
      <c r="Q734" t="s">
        <v>68</v>
      </c>
      <c r="R734" t="s">
        <v>50</v>
      </c>
      <c r="S734" t="s">
        <v>7355</v>
      </c>
    </row>
    <row r="735" spans="16:19" x14ac:dyDescent="0.25">
      <c r="P735">
        <v>2254</v>
      </c>
      <c r="Q735" t="s">
        <v>68</v>
      </c>
      <c r="R735" t="s">
        <v>50</v>
      </c>
      <c r="S735" t="s">
        <v>7355</v>
      </c>
    </row>
    <row r="736" spans="16:19" x14ac:dyDescent="0.25">
      <c r="P736">
        <v>565</v>
      </c>
      <c r="Q736" t="s">
        <v>68</v>
      </c>
      <c r="R736" t="s">
        <v>50</v>
      </c>
      <c r="S736" t="s">
        <v>7355</v>
      </c>
    </row>
    <row r="737" spans="16:19" x14ac:dyDescent="0.25">
      <c r="P737">
        <v>3134</v>
      </c>
      <c r="Q737" t="s">
        <v>68</v>
      </c>
      <c r="R737" t="s">
        <v>50</v>
      </c>
      <c r="S737" t="s">
        <v>7355</v>
      </c>
    </row>
    <row r="738" spans="16:19" x14ac:dyDescent="0.25">
      <c r="P738">
        <v>2048</v>
      </c>
      <c r="Q738" t="s">
        <v>68</v>
      </c>
      <c r="R738" t="s">
        <v>50</v>
      </c>
      <c r="S738" t="s">
        <v>7355</v>
      </c>
    </row>
    <row r="739" spans="16:19" x14ac:dyDescent="0.25">
      <c r="P739">
        <v>854</v>
      </c>
      <c r="Q739" t="s">
        <v>68</v>
      </c>
      <c r="R739" t="s">
        <v>50</v>
      </c>
      <c r="S739" t="s">
        <v>7355</v>
      </c>
    </row>
    <row r="740" spans="16:19" x14ac:dyDescent="0.25">
      <c r="P740">
        <v>1495</v>
      </c>
      <c r="Q740" t="s">
        <v>68</v>
      </c>
      <c r="R740" t="s">
        <v>50</v>
      </c>
      <c r="S740" t="s">
        <v>7355</v>
      </c>
    </row>
    <row r="741" spans="16:19" x14ac:dyDescent="0.25">
      <c r="P741">
        <v>8329</v>
      </c>
      <c r="Q741" t="s">
        <v>68</v>
      </c>
      <c r="R741" t="s">
        <v>50</v>
      </c>
      <c r="S741" t="s">
        <v>7355</v>
      </c>
    </row>
    <row r="742" spans="16:19" x14ac:dyDescent="0.25">
      <c r="P742">
        <v>1604</v>
      </c>
      <c r="Q742" t="s">
        <v>68</v>
      </c>
      <c r="R742" t="s">
        <v>50</v>
      </c>
      <c r="S742" t="s">
        <v>7355</v>
      </c>
    </row>
    <row r="743" spans="16:19" x14ac:dyDescent="0.25">
      <c r="P743">
        <v>1835</v>
      </c>
      <c r="Q743" t="s">
        <v>68</v>
      </c>
      <c r="R743" t="s">
        <v>50</v>
      </c>
      <c r="S743" t="s">
        <v>7355</v>
      </c>
    </row>
    <row r="744" spans="16:19" x14ac:dyDescent="0.25">
      <c r="P744">
        <v>4697</v>
      </c>
      <c r="Q744" t="s">
        <v>68</v>
      </c>
      <c r="R744" t="s">
        <v>50</v>
      </c>
      <c r="S744" t="s">
        <v>7355</v>
      </c>
    </row>
    <row r="745" spans="16:19" x14ac:dyDescent="0.25">
      <c r="P745">
        <v>2313</v>
      </c>
      <c r="Q745" t="s">
        <v>68</v>
      </c>
      <c r="R745" t="s">
        <v>50</v>
      </c>
      <c r="S745" t="s">
        <v>7355</v>
      </c>
    </row>
    <row r="746" spans="16:19" x14ac:dyDescent="0.25">
      <c r="P746">
        <v>1636</v>
      </c>
      <c r="Q746" t="s">
        <v>68</v>
      </c>
      <c r="R746" t="s">
        <v>50</v>
      </c>
      <c r="S746" t="s">
        <v>7355</v>
      </c>
    </row>
    <row r="747" spans="16:19" x14ac:dyDescent="0.25">
      <c r="P747">
        <v>3624</v>
      </c>
      <c r="Q747" t="s">
        <v>68</v>
      </c>
      <c r="R747" t="s">
        <v>50</v>
      </c>
      <c r="S747" t="s">
        <v>7355</v>
      </c>
    </row>
    <row r="748" spans="16:19" x14ac:dyDescent="0.25">
      <c r="P748">
        <v>2500</v>
      </c>
      <c r="Q748" t="s">
        <v>68</v>
      </c>
      <c r="R748" t="s">
        <v>50</v>
      </c>
      <c r="S748" t="s">
        <v>7355</v>
      </c>
    </row>
    <row r="749" spans="16:19" x14ac:dyDescent="0.25">
      <c r="P749">
        <v>1041</v>
      </c>
      <c r="Q749" t="s">
        <v>68</v>
      </c>
      <c r="R749" t="s">
        <v>50</v>
      </c>
      <c r="S749" t="s">
        <v>7355</v>
      </c>
    </row>
    <row r="750" spans="16:19" x14ac:dyDescent="0.25">
      <c r="P750">
        <v>362</v>
      </c>
      <c r="Q750" t="s">
        <v>68</v>
      </c>
      <c r="R750" t="s">
        <v>50</v>
      </c>
      <c r="S750" t="s">
        <v>7355</v>
      </c>
    </row>
    <row r="751" spans="16:19" x14ac:dyDescent="0.25">
      <c r="P751">
        <v>1445</v>
      </c>
      <c r="Q751" t="s">
        <v>68</v>
      </c>
      <c r="R751" t="s">
        <v>50</v>
      </c>
      <c r="S751" t="s">
        <v>7355</v>
      </c>
    </row>
    <row r="752" spans="16:19" x14ac:dyDescent="0.25">
      <c r="P752">
        <v>842</v>
      </c>
      <c r="Q752" t="s">
        <v>68</v>
      </c>
      <c r="R752" t="s">
        <v>50</v>
      </c>
      <c r="S752" t="s">
        <v>7355</v>
      </c>
    </row>
    <row r="753" spans="16:19" x14ac:dyDescent="0.25">
      <c r="P753">
        <v>6435</v>
      </c>
      <c r="Q753" t="s">
        <v>68</v>
      </c>
      <c r="R753" t="s">
        <v>50</v>
      </c>
      <c r="S753" t="s">
        <v>7355</v>
      </c>
    </row>
    <row r="754" spans="16:19" x14ac:dyDescent="0.25">
      <c r="P754">
        <v>1399</v>
      </c>
      <c r="Q754" t="s">
        <v>68</v>
      </c>
      <c r="R754" t="s">
        <v>50</v>
      </c>
      <c r="S754" t="s">
        <v>7355</v>
      </c>
    </row>
    <row r="755" spans="16:19" x14ac:dyDescent="0.25">
      <c r="P755">
        <v>1464</v>
      </c>
      <c r="Q755" t="s">
        <v>68</v>
      </c>
      <c r="R755" t="s">
        <v>50</v>
      </c>
      <c r="S755" t="s">
        <v>7355</v>
      </c>
    </row>
    <row r="756" spans="16:19" x14ac:dyDescent="0.25">
      <c r="P756">
        <v>6570</v>
      </c>
      <c r="Q756" t="s">
        <v>68</v>
      </c>
      <c r="R756" t="s">
        <v>50</v>
      </c>
      <c r="S756" t="s">
        <v>7355</v>
      </c>
    </row>
    <row r="757" spans="16:19" x14ac:dyDescent="0.25">
      <c r="P757">
        <v>2471</v>
      </c>
      <c r="Q757" t="s">
        <v>68</v>
      </c>
      <c r="R757" t="s">
        <v>50</v>
      </c>
      <c r="S757" t="s">
        <v>7355</v>
      </c>
    </row>
    <row r="758" spans="16:19" x14ac:dyDescent="0.25">
      <c r="P758">
        <v>5006</v>
      </c>
      <c r="Q758" t="s">
        <v>68</v>
      </c>
      <c r="R758" t="s">
        <v>50</v>
      </c>
      <c r="S758" t="s">
        <v>7355</v>
      </c>
    </row>
    <row r="759" spans="16:19" x14ac:dyDescent="0.25">
      <c r="P759">
        <v>3604</v>
      </c>
      <c r="Q759" t="s">
        <v>68</v>
      </c>
      <c r="R759" t="s">
        <v>50</v>
      </c>
      <c r="S759" t="s">
        <v>7355</v>
      </c>
    </row>
    <row r="760" spans="16:19" x14ac:dyDescent="0.25">
      <c r="P760">
        <v>7727</v>
      </c>
      <c r="Q760" t="s">
        <v>68</v>
      </c>
      <c r="R760" t="s">
        <v>50</v>
      </c>
      <c r="S760" t="s">
        <v>7355</v>
      </c>
    </row>
    <row r="761" spans="16:19" x14ac:dyDescent="0.25">
      <c r="P761">
        <v>9853</v>
      </c>
      <c r="Q761" t="s">
        <v>68</v>
      </c>
      <c r="R761" t="s">
        <v>50</v>
      </c>
      <c r="S761" t="s">
        <v>7355</v>
      </c>
    </row>
    <row r="762" spans="16:19" x14ac:dyDescent="0.25">
      <c r="P762">
        <v>2960</v>
      </c>
      <c r="Q762" t="s">
        <v>68</v>
      </c>
      <c r="R762" t="s">
        <v>50</v>
      </c>
      <c r="S762" t="s">
        <v>7355</v>
      </c>
    </row>
    <row r="763" spans="16:19" x14ac:dyDescent="0.25">
      <c r="P763">
        <v>1749</v>
      </c>
      <c r="Q763" t="s">
        <v>68</v>
      </c>
      <c r="R763" t="s">
        <v>50</v>
      </c>
      <c r="S763" t="s">
        <v>7355</v>
      </c>
    </row>
    <row r="764" spans="16:19" x14ac:dyDescent="0.25">
      <c r="P764">
        <v>2897</v>
      </c>
      <c r="Q764" t="s">
        <v>69</v>
      </c>
      <c r="R764" t="s">
        <v>50</v>
      </c>
      <c r="S764" t="s">
        <v>7355</v>
      </c>
    </row>
    <row r="765" spans="16:19" x14ac:dyDescent="0.25">
      <c r="P765">
        <v>1988</v>
      </c>
      <c r="Q765" t="s">
        <v>69</v>
      </c>
      <c r="R765" t="s">
        <v>50</v>
      </c>
      <c r="S765" t="s">
        <v>7355</v>
      </c>
    </row>
    <row r="766" spans="16:19" x14ac:dyDescent="0.25">
      <c r="P766">
        <v>1984</v>
      </c>
      <c r="Q766" t="s">
        <v>69</v>
      </c>
      <c r="R766" t="s">
        <v>50</v>
      </c>
      <c r="S766" t="s">
        <v>7355</v>
      </c>
    </row>
    <row r="767" spans="16:19" x14ac:dyDescent="0.25">
      <c r="P767">
        <v>1499</v>
      </c>
      <c r="Q767" t="s">
        <v>69</v>
      </c>
      <c r="R767" t="s">
        <v>50</v>
      </c>
      <c r="S767" t="s">
        <v>7355</v>
      </c>
    </row>
    <row r="768" spans="16:19" x14ac:dyDescent="0.25">
      <c r="P768">
        <v>1786</v>
      </c>
      <c r="Q768" t="s">
        <v>69</v>
      </c>
      <c r="R768" t="s">
        <v>50</v>
      </c>
      <c r="S768" t="s">
        <v>7355</v>
      </c>
    </row>
    <row r="769" spans="16:19" x14ac:dyDescent="0.25">
      <c r="P769">
        <v>3000</v>
      </c>
      <c r="Q769" t="s">
        <v>69</v>
      </c>
      <c r="R769" t="s">
        <v>50</v>
      </c>
      <c r="S769" t="s">
        <v>7355</v>
      </c>
    </row>
    <row r="770" spans="16:19" x14ac:dyDescent="0.25">
      <c r="P770">
        <v>272</v>
      </c>
      <c r="Q770" t="s">
        <v>69</v>
      </c>
      <c r="R770" t="s">
        <v>50</v>
      </c>
      <c r="S770" t="s">
        <v>7355</v>
      </c>
    </row>
    <row r="771" spans="16:19" x14ac:dyDescent="0.25">
      <c r="P771">
        <v>5362</v>
      </c>
      <c r="Q771" t="s">
        <v>69</v>
      </c>
      <c r="R771" t="s">
        <v>50</v>
      </c>
      <c r="S771" t="s">
        <v>7355</v>
      </c>
    </row>
    <row r="772" spans="16:19" x14ac:dyDescent="0.25">
      <c r="P772">
        <v>1863</v>
      </c>
      <c r="Q772" t="s">
        <v>69</v>
      </c>
      <c r="R772" t="s">
        <v>50</v>
      </c>
      <c r="S772" t="s">
        <v>7355</v>
      </c>
    </row>
    <row r="773" spans="16:19" x14ac:dyDescent="0.25">
      <c r="P773">
        <v>1070</v>
      </c>
      <c r="Q773" t="s">
        <v>69</v>
      </c>
      <c r="R773" t="s">
        <v>50</v>
      </c>
      <c r="S773" t="s">
        <v>7355</v>
      </c>
    </row>
    <row r="774" spans="16:19" x14ac:dyDescent="0.25">
      <c r="P774">
        <v>1169</v>
      </c>
      <c r="Q774" t="s">
        <v>69</v>
      </c>
      <c r="R774" t="s">
        <v>50</v>
      </c>
      <c r="S774" t="s">
        <v>7355</v>
      </c>
    </row>
    <row r="775" spans="16:19" x14ac:dyDescent="0.25">
      <c r="P775">
        <v>1327</v>
      </c>
      <c r="Q775" t="s">
        <v>69</v>
      </c>
      <c r="R775" t="s">
        <v>50</v>
      </c>
      <c r="S775" t="s">
        <v>7355</v>
      </c>
    </row>
    <row r="776" spans="16:19" x14ac:dyDescent="0.25">
      <c r="P776">
        <v>4130</v>
      </c>
      <c r="Q776" t="s">
        <v>69</v>
      </c>
      <c r="R776" t="s">
        <v>50</v>
      </c>
      <c r="S776" t="s">
        <v>7355</v>
      </c>
    </row>
    <row r="777" spans="16:19" x14ac:dyDescent="0.25">
      <c r="P777">
        <v>2328</v>
      </c>
      <c r="Q777" t="s">
        <v>69</v>
      </c>
      <c r="R777" t="s">
        <v>50</v>
      </c>
      <c r="S777" t="s">
        <v>7355</v>
      </c>
    </row>
    <row r="778" spans="16:19" x14ac:dyDescent="0.25">
      <c r="P778">
        <v>1394</v>
      </c>
      <c r="Q778" t="s">
        <v>69</v>
      </c>
      <c r="R778" t="s">
        <v>50</v>
      </c>
      <c r="S778" t="s">
        <v>7355</v>
      </c>
    </row>
    <row r="779" spans="16:19" x14ac:dyDescent="0.25">
      <c r="P779">
        <v>4458</v>
      </c>
      <c r="Q779" t="s">
        <v>69</v>
      </c>
      <c r="R779" t="s">
        <v>50</v>
      </c>
      <c r="S779" t="s">
        <v>7355</v>
      </c>
    </row>
    <row r="780" spans="16:19" x14ac:dyDescent="0.25">
      <c r="P780">
        <v>3405</v>
      </c>
      <c r="Q780" t="s">
        <v>69</v>
      </c>
      <c r="R780" t="s">
        <v>50</v>
      </c>
      <c r="S780" t="s">
        <v>7355</v>
      </c>
    </row>
    <row r="781" spans="16:19" x14ac:dyDescent="0.25">
      <c r="P781">
        <v>1651</v>
      </c>
      <c r="Q781" t="s">
        <v>69</v>
      </c>
      <c r="R781" t="s">
        <v>50</v>
      </c>
      <c r="S781" t="s">
        <v>7355</v>
      </c>
    </row>
    <row r="782" spans="16:19" x14ac:dyDescent="0.25">
      <c r="P782">
        <v>2300</v>
      </c>
      <c r="Q782" t="s">
        <v>70</v>
      </c>
      <c r="R782" t="s">
        <v>50</v>
      </c>
      <c r="S782" t="s">
        <v>7355</v>
      </c>
    </row>
    <row r="783" spans="16:19" x14ac:dyDescent="0.25">
      <c r="P783">
        <v>3194</v>
      </c>
      <c r="Q783" t="s">
        <v>70</v>
      </c>
      <c r="R783" t="s">
        <v>50</v>
      </c>
      <c r="S783" t="s">
        <v>7355</v>
      </c>
    </row>
    <row r="784" spans="16:19" x14ac:dyDescent="0.25">
      <c r="P784">
        <v>2404</v>
      </c>
      <c r="Q784" t="s">
        <v>70</v>
      </c>
      <c r="R784" t="s">
        <v>50</v>
      </c>
      <c r="S784" t="s">
        <v>7355</v>
      </c>
    </row>
    <row r="785" spans="16:19" x14ac:dyDescent="0.25">
      <c r="P785">
        <v>3251</v>
      </c>
      <c r="Q785" t="s">
        <v>70</v>
      </c>
      <c r="R785" t="s">
        <v>50</v>
      </c>
      <c r="S785" t="s">
        <v>7355</v>
      </c>
    </row>
    <row r="786" spans="16:19" x14ac:dyDescent="0.25">
      <c r="P786">
        <v>959</v>
      </c>
      <c r="Q786" t="s">
        <v>70</v>
      </c>
      <c r="R786" t="s">
        <v>50</v>
      </c>
      <c r="S786" t="s">
        <v>7355</v>
      </c>
    </row>
    <row r="787" spans="16:19" x14ac:dyDescent="0.25">
      <c r="P787">
        <v>3326</v>
      </c>
      <c r="Q787" t="s">
        <v>70</v>
      </c>
      <c r="R787" t="s">
        <v>50</v>
      </c>
      <c r="S787" t="s">
        <v>7355</v>
      </c>
    </row>
    <row r="788" spans="16:19" x14ac:dyDescent="0.25">
      <c r="P788">
        <v>2317</v>
      </c>
      <c r="Q788" t="s">
        <v>70</v>
      </c>
      <c r="R788" t="s">
        <v>50</v>
      </c>
      <c r="S788" t="s">
        <v>7355</v>
      </c>
    </row>
    <row r="789" spans="16:19" x14ac:dyDescent="0.25">
      <c r="P789">
        <v>3747</v>
      </c>
      <c r="Q789" t="s">
        <v>70</v>
      </c>
      <c r="R789" t="s">
        <v>50</v>
      </c>
      <c r="S789" t="s">
        <v>7355</v>
      </c>
    </row>
    <row r="790" spans="16:19" x14ac:dyDescent="0.25">
      <c r="P790">
        <v>1412</v>
      </c>
      <c r="Q790" t="s">
        <v>70</v>
      </c>
      <c r="R790" t="s">
        <v>50</v>
      </c>
      <c r="S790" t="s">
        <v>7355</v>
      </c>
    </row>
    <row r="791" spans="16:19" x14ac:dyDescent="0.25">
      <c r="P791">
        <v>2534</v>
      </c>
      <c r="Q791" t="s">
        <v>70</v>
      </c>
      <c r="R791" t="s">
        <v>50</v>
      </c>
      <c r="S791" t="s">
        <v>7355</v>
      </c>
    </row>
    <row r="792" spans="16:19" x14ac:dyDescent="0.25">
      <c r="P792">
        <v>2484</v>
      </c>
      <c r="Q792" t="s">
        <v>70</v>
      </c>
      <c r="R792" t="s">
        <v>50</v>
      </c>
      <c r="S792" t="s">
        <v>7355</v>
      </c>
    </row>
    <row r="793" spans="16:19" x14ac:dyDescent="0.25">
      <c r="P793">
        <v>3888</v>
      </c>
      <c r="Q793" t="s">
        <v>70</v>
      </c>
      <c r="R793" t="s">
        <v>50</v>
      </c>
      <c r="S793" t="s">
        <v>7355</v>
      </c>
    </row>
    <row r="794" spans="16:19" x14ac:dyDescent="0.25">
      <c r="P794">
        <v>7758</v>
      </c>
      <c r="Q794" t="s">
        <v>70</v>
      </c>
      <c r="R794" t="s">
        <v>50</v>
      </c>
      <c r="S794" t="s">
        <v>7355</v>
      </c>
    </row>
    <row r="795" spans="16:19" x14ac:dyDescent="0.25">
      <c r="P795">
        <v>2390</v>
      </c>
      <c r="Q795" t="s">
        <v>70</v>
      </c>
      <c r="R795" t="s">
        <v>50</v>
      </c>
      <c r="S795" t="s">
        <v>7355</v>
      </c>
    </row>
    <row r="796" spans="16:19" x14ac:dyDescent="0.25">
      <c r="P796">
        <v>3191</v>
      </c>
      <c r="Q796" t="s">
        <v>70</v>
      </c>
      <c r="R796" t="s">
        <v>50</v>
      </c>
      <c r="S796" t="s">
        <v>7355</v>
      </c>
    </row>
    <row r="797" spans="16:19" x14ac:dyDescent="0.25">
      <c r="P797">
        <v>16556</v>
      </c>
      <c r="Q797" t="s">
        <v>70</v>
      </c>
      <c r="R797" t="s">
        <v>50</v>
      </c>
      <c r="S797" t="s">
        <v>7355</v>
      </c>
    </row>
    <row r="798" spans="16:19" x14ac:dyDescent="0.25">
      <c r="P798">
        <v>1576</v>
      </c>
      <c r="Q798" t="s">
        <v>70</v>
      </c>
      <c r="R798" t="s">
        <v>50</v>
      </c>
      <c r="S798" t="s">
        <v>7355</v>
      </c>
    </row>
    <row r="799" spans="16:19" x14ac:dyDescent="0.25">
      <c r="P799">
        <v>2261</v>
      </c>
      <c r="Q799" t="s">
        <v>70</v>
      </c>
      <c r="R799" t="s">
        <v>50</v>
      </c>
      <c r="S799" t="s">
        <v>7355</v>
      </c>
    </row>
    <row r="800" spans="16:19" x14ac:dyDescent="0.25">
      <c r="P800">
        <v>4181</v>
      </c>
      <c r="Q800" t="s">
        <v>70</v>
      </c>
      <c r="R800" t="s">
        <v>50</v>
      </c>
      <c r="S800" t="s">
        <v>7355</v>
      </c>
    </row>
    <row r="801" spans="16:19" x14ac:dyDescent="0.25">
      <c r="P801">
        <v>7855</v>
      </c>
      <c r="Q801" t="s">
        <v>70</v>
      </c>
      <c r="R801" t="s">
        <v>50</v>
      </c>
      <c r="S801" t="s">
        <v>7355</v>
      </c>
    </row>
    <row r="802" spans="16:19" x14ac:dyDescent="0.25">
      <c r="P802">
        <v>1701</v>
      </c>
      <c r="Q802" t="s">
        <v>70</v>
      </c>
      <c r="R802" t="s">
        <v>50</v>
      </c>
      <c r="S802" t="s">
        <v>7355</v>
      </c>
    </row>
    <row r="803" spans="16:19" x14ac:dyDescent="0.25">
      <c r="P803">
        <v>27542</v>
      </c>
      <c r="Q803" t="s">
        <v>70</v>
      </c>
      <c r="R803" t="s">
        <v>50</v>
      </c>
      <c r="S803" t="s">
        <v>7355</v>
      </c>
    </row>
    <row r="804" spans="16:19" x14ac:dyDescent="0.25">
      <c r="P804">
        <v>1033</v>
      </c>
      <c r="Q804" t="s">
        <v>71</v>
      </c>
      <c r="R804" t="s">
        <v>50</v>
      </c>
      <c r="S804" t="s">
        <v>7355</v>
      </c>
    </row>
    <row r="805" spans="16:19" x14ac:dyDescent="0.25">
      <c r="P805">
        <v>1538</v>
      </c>
      <c r="Q805" t="s">
        <v>71</v>
      </c>
      <c r="R805" t="s">
        <v>50</v>
      </c>
      <c r="S805" t="s">
        <v>7355</v>
      </c>
    </row>
    <row r="806" spans="16:19" x14ac:dyDescent="0.25">
      <c r="P806">
        <v>1171</v>
      </c>
      <c r="Q806" t="s">
        <v>71</v>
      </c>
      <c r="R806" t="s">
        <v>50</v>
      </c>
      <c r="S806" t="s">
        <v>7355</v>
      </c>
    </row>
    <row r="807" spans="16:19" x14ac:dyDescent="0.25">
      <c r="P807">
        <v>2689</v>
      </c>
      <c r="Q807" t="s">
        <v>71</v>
      </c>
      <c r="R807" t="s">
        <v>50</v>
      </c>
      <c r="S807" t="s">
        <v>7355</v>
      </c>
    </row>
    <row r="808" spans="16:19" x14ac:dyDescent="0.25">
      <c r="P808">
        <v>1473</v>
      </c>
      <c r="Q808" t="s">
        <v>71</v>
      </c>
      <c r="R808" t="s">
        <v>50</v>
      </c>
      <c r="S808" t="s">
        <v>7355</v>
      </c>
    </row>
    <row r="809" spans="16:19" x14ac:dyDescent="0.25">
      <c r="P809">
        <v>1084</v>
      </c>
      <c r="Q809" t="s">
        <v>71</v>
      </c>
      <c r="R809" t="s">
        <v>50</v>
      </c>
      <c r="S809" t="s">
        <v>7355</v>
      </c>
    </row>
    <row r="810" spans="16:19" x14ac:dyDescent="0.25">
      <c r="P810">
        <v>888</v>
      </c>
      <c r="Q810" t="s">
        <v>71</v>
      </c>
      <c r="R810" t="s">
        <v>50</v>
      </c>
      <c r="S810" t="s">
        <v>7355</v>
      </c>
    </row>
    <row r="811" spans="16:19" x14ac:dyDescent="0.25">
      <c r="P811">
        <v>933</v>
      </c>
      <c r="Q811" t="s">
        <v>71</v>
      </c>
      <c r="R811" t="s">
        <v>50</v>
      </c>
      <c r="S811" t="s">
        <v>7355</v>
      </c>
    </row>
    <row r="812" spans="16:19" x14ac:dyDescent="0.25">
      <c r="P812">
        <v>2654</v>
      </c>
      <c r="Q812" t="s">
        <v>71</v>
      </c>
      <c r="R812" t="s">
        <v>50</v>
      </c>
      <c r="S812" t="s">
        <v>7355</v>
      </c>
    </row>
    <row r="813" spans="16:19" x14ac:dyDescent="0.25">
      <c r="P813">
        <v>1427</v>
      </c>
      <c r="Q813" t="s">
        <v>71</v>
      </c>
      <c r="R813" t="s">
        <v>50</v>
      </c>
      <c r="S813" t="s">
        <v>7355</v>
      </c>
    </row>
    <row r="814" spans="16:19" x14ac:dyDescent="0.25">
      <c r="P814">
        <v>2650</v>
      </c>
      <c r="Q814" t="s">
        <v>71</v>
      </c>
      <c r="R814" t="s">
        <v>50</v>
      </c>
      <c r="S814" t="s">
        <v>7355</v>
      </c>
    </row>
    <row r="815" spans="16:19" x14ac:dyDescent="0.25">
      <c r="P815">
        <v>5248</v>
      </c>
      <c r="Q815" t="s">
        <v>71</v>
      </c>
      <c r="R815" t="s">
        <v>50</v>
      </c>
      <c r="S815" t="s">
        <v>7355</v>
      </c>
    </row>
    <row r="816" spans="16:19" x14ac:dyDescent="0.25">
      <c r="P816">
        <v>1303</v>
      </c>
      <c r="Q816" t="s">
        <v>71</v>
      </c>
      <c r="R816" t="s">
        <v>50</v>
      </c>
      <c r="S816" t="s">
        <v>7355</v>
      </c>
    </row>
    <row r="817" spans="16:19" x14ac:dyDescent="0.25">
      <c r="P817">
        <v>494</v>
      </c>
      <c r="Q817" t="s">
        <v>71</v>
      </c>
      <c r="R817" t="s">
        <v>50</v>
      </c>
      <c r="S817" t="s">
        <v>7355</v>
      </c>
    </row>
    <row r="818" spans="16:19" x14ac:dyDescent="0.25">
      <c r="P818">
        <v>926</v>
      </c>
      <c r="Q818" t="s">
        <v>71</v>
      </c>
      <c r="R818" t="s">
        <v>50</v>
      </c>
      <c r="S818" t="s">
        <v>7355</v>
      </c>
    </row>
    <row r="819" spans="16:19" x14ac:dyDescent="0.25">
      <c r="P819">
        <v>3517</v>
      </c>
      <c r="Q819" t="s">
        <v>72</v>
      </c>
      <c r="R819" t="s">
        <v>50</v>
      </c>
      <c r="S819" t="s">
        <v>7355</v>
      </c>
    </row>
    <row r="820" spans="16:19" x14ac:dyDescent="0.25">
      <c r="P820">
        <v>747</v>
      </c>
      <c r="Q820" t="s">
        <v>72</v>
      </c>
      <c r="R820" t="s">
        <v>50</v>
      </c>
      <c r="S820" t="s">
        <v>7355</v>
      </c>
    </row>
    <row r="821" spans="16:19" x14ac:dyDescent="0.25">
      <c r="P821">
        <v>3139</v>
      </c>
      <c r="Q821" t="s">
        <v>72</v>
      </c>
      <c r="R821" t="s">
        <v>50</v>
      </c>
      <c r="S821" t="s">
        <v>7355</v>
      </c>
    </row>
    <row r="822" spans="16:19" x14ac:dyDescent="0.25">
      <c r="P822">
        <v>5046</v>
      </c>
      <c r="Q822" t="s">
        <v>72</v>
      </c>
      <c r="R822" t="s">
        <v>50</v>
      </c>
      <c r="S822" t="s">
        <v>7355</v>
      </c>
    </row>
    <row r="823" spans="16:19" x14ac:dyDescent="0.25">
      <c r="P823">
        <v>3196</v>
      </c>
      <c r="Q823" t="s">
        <v>72</v>
      </c>
      <c r="R823" t="s">
        <v>50</v>
      </c>
      <c r="S823" t="s">
        <v>7355</v>
      </c>
    </row>
    <row r="824" spans="16:19" x14ac:dyDescent="0.25">
      <c r="P824">
        <v>4474</v>
      </c>
      <c r="Q824" t="s">
        <v>72</v>
      </c>
      <c r="R824" t="s">
        <v>50</v>
      </c>
      <c r="S824" t="s">
        <v>7355</v>
      </c>
    </row>
    <row r="825" spans="16:19" x14ac:dyDescent="0.25">
      <c r="P825">
        <v>1243</v>
      </c>
      <c r="Q825" t="s">
        <v>72</v>
      </c>
      <c r="R825" t="s">
        <v>50</v>
      </c>
      <c r="S825" t="s">
        <v>7355</v>
      </c>
    </row>
    <row r="826" spans="16:19" x14ac:dyDescent="0.25">
      <c r="P826">
        <v>1628</v>
      </c>
      <c r="Q826" t="s">
        <v>72</v>
      </c>
      <c r="R826" t="s">
        <v>50</v>
      </c>
      <c r="S826" t="s">
        <v>7355</v>
      </c>
    </row>
    <row r="827" spans="16:19" x14ac:dyDescent="0.25">
      <c r="P827">
        <v>1005</v>
      </c>
      <c r="Q827" t="s">
        <v>72</v>
      </c>
      <c r="R827" t="s">
        <v>50</v>
      </c>
      <c r="S827" t="s">
        <v>7355</v>
      </c>
    </row>
    <row r="828" spans="16:19" x14ac:dyDescent="0.25">
      <c r="P828">
        <v>1454</v>
      </c>
      <c r="Q828" t="s">
        <v>72</v>
      </c>
      <c r="R828" t="s">
        <v>50</v>
      </c>
      <c r="S828" t="s">
        <v>7355</v>
      </c>
    </row>
    <row r="829" spans="16:19" x14ac:dyDescent="0.25">
      <c r="P829">
        <v>1007</v>
      </c>
      <c r="Q829" t="s">
        <v>72</v>
      </c>
      <c r="R829" t="s">
        <v>50</v>
      </c>
      <c r="S829" t="s">
        <v>7355</v>
      </c>
    </row>
    <row r="830" spans="16:19" x14ac:dyDescent="0.25">
      <c r="P830">
        <v>3207</v>
      </c>
      <c r="Q830" t="s">
        <v>72</v>
      </c>
      <c r="R830" t="s">
        <v>50</v>
      </c>
      <c r="S830" t="s">
        <v>7355</v>
      </c>
    </row>
    <row r="831" spans="16:19" x14ac:dyDescent="0.25">
      <c r="P831">
        <v>2812</v>
      </c>
      <c r="Q831" t="s">
        <v>72</v>
      </c>
      <c r="R831" t="s">
        <v>50</v>
      </c>
      <c r="S831" t="s">
        <v>7355</v>
      </c>
    </row>
    <row r="832" spans="16:19" x14ac:dyDescent="0.25">
      <c r="P832">
        <v>2333</v>
      </c>
      <c r="Q832" t="s">
        <v>72</v>
      </c>
      <c r="R832" t="s">
        <v>50</v>
      </c>
      <c r="S832" t="s">
        <v>7355</v>
      </c>
    </row>
    <row r="833" spans="16:19" x14ac:dyDescent="0.25">
      <c r="P833">
        <v>4140</v>
      </c>
      <c r="Q833" t="s">
        <v>72</v>
      </c>
      <c r="R833" t="s">
        <v>50</v>
      </c>
      <c r="S833" t="s">
        <v>7355</v>
      </c>
    </row>
    <row r="834" spans="16:19" x14ac:dyDescent="0.25">
      <c r="P834">
        <v>1060</v>
      </c>
      <c r="Q834" t="s">
        <v>72</v>
      </c>
      <c r="R834" t="s">
        <v>50</v>
      </c>
      <c r="S834" t="s">
        <v>7355</v>
      </c>
    </row>
    <row r="835" spans="16:19" x14ac:dyDescent="0.25">
      <c r="P835">
        <v>2775</v>
      </c>
      <c r="Q835" t="s">
        <v>72</v>
      </c>
      <c r="R835" t="s">
        <v>50</v>
      </c>
      <c r="S835" t="s">
        <v>7355</v>
      </c>
    </row>
    <row r="836" spans="16:19" x14ac:dyDescent="0.25">
      <c r="P836">
        <v>3142</v>
      </c>
      <c r="Q836" t="s">
        <v>72</v>
      </c>
      <c r="R836" t="s">
        <v>50</v>
      </c>
      <c r="S836" t="s">
        <v>7355</v>
      </c>
    </row>
    <row r="837" spans="16:19" x14ac:dyDescent="0.25">
      <c r="P837">
        <v>2083</v>
      </c>
      <c r="Q837" t="s">
        <v>72</v>
      </c>
      <c r="R837" t="s">
        <v>50</v>
      </c>
      <c r="S837" t="s">
        <v>7355</v>
      </c>
    </row>
    <row r="838" spans="16:19" x14ac:dyDescent="0.25">
      <c r="P838">
        <v>661</v>
      </c>
      <c r="Q838" t="s">
        <v>72</v>
      </c>
      <c r="R838" t="s">
        <v>50</v>
      </c>
      <c r="S838" t="s">
        <v>7355</v>
      </c>
    </row>
    <row r="839" spans="16:19" x14ac:dyDescent="0.25">
      <c r="P839">
        <v>522</v>
      </c>
      <c r="Q839" t="s">
        <v>72</v>
      </c>
      <c r="R839" t="s">
        <v>50</v>
      </c>
      <c r="S839" t="s">
        <v>7355</v>
      </c>
    </row>
    <row r="840" spans="16:19" x14ac:dyDescent="0.25">
      <c r="P840">
        <v>2463</v>
      </c>
      <c r="Q840" t="s">
        <v>72</v>
      </c>
      <c r="R840" t="s">
        <v>50</v>
      </c>
      <c r="S840" t="s">
        <v>7355</v>
      </c>
    </row>
    <row r="841" spans="16:19" x14ac:dyDescent="0.25">
      <c r="P841">
        <v>439</v>
      </c>
      <c r="Q841" t="s">
        <v>72</v>
      </c>
      <c r="R841" t="s">
        <v>50</v>
      </c>
      <c r="S841" t="s">
        <v>7355</v>
      </c>
    </row>
    <row r="842" spans="16:19" x14ac:dyDescent="0.25">
      <c r="P842">
        <v>1185</v>
      </c>
      <c r="Q842" t="s">
        <v>72</v>
      </c>
      <c r="R842" t="s">
        <v>50</v>
      </c>
      <c r="S842" t="s">
        <v>7355</v>
      </c>
    </row>
    <row r="843" spans="16:19" x14ac:dyDescent="0.25">
      <c r="P843">
        <v>924</v>
      </c>
      <c r="Q843" t="s">
        <v>72</v>
      </c>
      <c r="R843" t="s">
        <v>50</v>
      </c>
      <c r="S843" t="s">
        <v>7355</v>
      </c>
    </row>
    <row r="844" spans="16:19" x14ac:dyDescent="0.25">
      <c r="P844">
        <v>5323</v>
      </c>
      <c r="Q844" t="s">
        <v>72</v>
      </c>
      <c r="R844" t="s">
        <v>50</v>
      </c>
      <c r="S844" t="s">
        <v>7355</v>
      </c>
    </row>
    <row r="845" spans="16:19" x14ac:dyDescent="0.25">
      <c r="P845">
        <v>3941</v>
      </c>
      <c r="Q845" t="s">
        <v>72</v>
      </c>
      <c r="R845" t="s">
        <v>50</v>
      </c>
      <c r="S845" t="s">
        <v>7355</v>
      </c>
    </row>
    <row r="846" spans="16:19" x14ac:dyDescent="0.25">
      <c r="P846">
        <v>1499</v>
      </c>
      <c r="Q846" t="s">
        <v>72</v>
      </c>
      <c r="R846" t="s">
        <v>50</v>
      </c>
      <c r="S846" t="s">
        <v>7355</v>
      </c>
    </row>
    <row r="847" spans="16:19" x14ac:dyDescent="0.25">
      <c r="P847">
        <v>2011</v>
      </c>
      <c r="Q847" t="s">
        <v>72</v>
      </c>
      <c r="R847" t="s">
        <v>50</v>
      </c>
      <c r="S847" t="s">
        <v>7355</v>
      </c>
    </row>
    <row r="848" spans="16:19" x14ac:dyDescent="0.25">
      <c r="P848">
        <v>1159</v>
      </c>
      <c r="Q848" t="s">
        <v>72</v>
      </c>
      <c r="R848" t="s">
        <v>50</v>
      </c>
      <c r="S848" t="s">
        <v>7355</v>
      </c>
    </row>
    <row r="849" spans="16:19" x14ac:dyDescent="0.25">
      <c r="P849">
        <v>1091</v>
      </c>
      <c r="Q849" t="s">
        <v>72</v>
      </c>
      <c r="R849" t="s">
        <v>50</v>
      </c>
      <c r="S849" t="s">
        <v>7355</v>
      </c>
    </row>
    <row r="850" spans="16:19" x14ac:dyDescent="0.25">
      <c r="P850">
        <v>1537</v>
      </c>
      <c r="Q850" t="s">
        <v>72</v>
      </c>
      <c r="R850" t="s">
        <v>50</v>
      </c>
      <c r="S850" t="s">
        <v>7355</v>
      </c>
    </row>
    <row r="851" spans="16:19" x14ac:dyDescent="0.25">
      <c r="P851">
        <v>1860</v>
      </c>
      <c r="Q851" t="s">
        <v>72</v>
      </c>
      <c r="R851" t="s">
        <v>50</v>
      </c>
      <c r="S851" t="s">
        <v>7355</v>
      </c>
    </row>
    <row r="852" spans="16:19" x14ac:dyDescent="0.25">
      <c r="P852">
        <v>4810</v>
      </c>
      <c r="Q852" t="s">
        <v>72</v>
      </c>
      <c r="R852" t="s">
        <v>50</v>
      </c>
      <c r="S852" t="s">
        <v>7355</v>
      </c>
    </row>
    <row r="853" spans="16:19" x14ac:dyDescent="0.25">
      <c r="P853">
        <v>2090</v>
      </c>
      <c r="Q853" t="s">
        <v>72</v>
      </c>
      <c r="R853" t="s">
        <v>50</v>
      </c>
      <c r="S853" t="s">
        <v>7355</v>
      </c>
    </row>
    <row r="854" spans="16:19" x14ac:dyDescent="0.25">
      <c r="P854">
        <v>1738</v>
      </c>
      <c r="Q854" t="s">
        <v>73</v>
      </c>
      <c r="R854" t="s">
        <v>50</v>
      </c>
      <c r="S854" t="s">
        <v>7355</v>
      </c>
    </row>
    <row r="855" spans="16:19" x14ac:dyDescent="0.25">
      <c r="P855">
        <v>1590</v>
      </c>
      <c r="Q855" t="s">
        <v>73</v>
      </c>
      <c r="R855" t="s">
        <v>50</v>
      </c>
      <c r="S855" t="s">
        <v>7355</v>
      </c>
    </row>
    <row r="856" spans="16:19" x14ac:dyDescent="0.25">
      <c r="P856">
        <v>340</v>
      </c>
      <c r="Q856" t="s">
        <v>73</v>
      </c>
      <c r="R856" t="s">
        <v>50</v>
      </c>
      <c r="S856" t="s">
        <v>7355</v>
      </c>
    </row>
    <row r="857" spans="16:19" x14ac:dyDescent="0.25">
      <c r="P857">
        <v>1290</v>
      </c>
      <c r="Q857" t="s">
        <v>73</v>
      </c>
      <c r="R857" t="s">
        <v>50</v>
      </c>
      <c r="S857" t="s">
        <v>7355</v>
      </c>
    </row>
    <row r="858" spans="16:19" x14ac:dyDescent="0.25">
      <c r="P858">
        <v>1788</v>
      </c>
      <c r="Q858" t="s">
        <v>73</v>
      </c>
      <c r="R858" t="s">
        <v>50</v>
      </c>
      <c r="S858" t="s">
        <v>7355</v>
      </c>
    </row>
    <row r="859" spans="16:19" x14ac:dyDescent="0.25">
      <c r="P859">
        <v>839</v>
      </c>
      <c r="Q859" t="s">
        <v>73</v>
      </c>
      <c r="R859" t="s">
        <v>50</v>
      </c>
      <c r="S859" t="s">
        <v>7355</v>
      </c>
    </row>
    <row r="860" spans="16:19" x14ac:dyDescent="0.25">
      <c r="P860">
        <v>4403</v>
      </c>
      <c r="Q860" t="s">
        <v>73</v>
      </c>
      <c r="R860" t="s">
        <v>50</v>
      </c>
      <c r="S860" t="s">
        <v>7355</v>
      </c>
    </row>
    <row r="861" spans="16:19" x14ac:dyDescent="0.25">
      <c r="P861">
        <v>1358</v>
      </c>
      <c r="Q861" t="s">
        <v>73</v>
      </c>
      <c r="R861" t="s">
        <v>50</v>
      </c>
      <c r="S861" t="s">
        <v>7355</v>
      </c>
    </row>
    <row r="862" spans="16:19" x14ac:dyDescent="0.25">
      <c r="P862">
        <v>489</v>
      </c>
      <c r="Q862" t="s">
        <v>73</v>
      </c>
      <c r="R862" t="s">
        <v>50</v>
      </c>
      <c r="S862" t="s">
        <v>7355</v>
      </c>
    </row>
    <row r="863" spans="16:19" x14ac:dyDescent="0.25">
      <c r="P863">
        <v>631</v>
      </c>
      <c r="Q863" t="s">
        <v>73</v>
      </c>
      <c r="R863" t="s">
        <v>50</v>
      </c>
      <c r="S863" t="s">
        <v>7355</v>
      </c>
    </row>
    <row r="864" spans="16:19" x14ac:dyDescent="0.25">
      <c r="P864">
        <v>1440</v>
      </c>
      <c r="Q864" t="s">
        <v>73</v>
      </c>
      <c r="R864" t="s">
        <v>50</v>
      </c>
      <c r="S864" t="s">
        <v>7355</v>
      </c>
    </row>
    <row r="865" spans="16:19" x14ac:dyDescent="0.25">
      <c r="P865">
        <v>1726</v>
      </c>
      <c r="Q865" t="s">
        <v>73</v>
      </c>
      <c r="R865" t="s">
        <v>50</v>
      </c>
      <c r="S865" t="s">
        <v>7355</v>
      </c>
    </row>
    <row r="866" spans="16:19" x14ac:dyDescent="0.25">
      <c r="P866">
        <v>1093</v>
      </c>
      <c r="Q866" t="s">
        <v>73</v>
      </c>
      <c r="R866" t="s">
        <v>50</v>
      </c>
      <c r="S866" t="s">
        <v>7355</v>
      </c>
    </row>
    <row r="867" spans="16:19" x14ac:dyDescent="0.25">
      <c r="P867">
        <v>1016</v>
      </c>
      <c r="Q867" t="s">
        <v>73</v>
      </c>
      <c r="R867" t="s">
        <v>50</v>
      </c>
      <c r="S867" t="s">
        <v>7355</v>
      </c>
    </row>
    <row r="868" spans="16:19" x14ac:dyDescent="0.25">
      <c r="P868">
        <v>863</v>
      </c>
      <c r="Q868" t="s">
        <v>73</v>
      </c>
      <c r="R868" t="s">
        <v>50</v>
      </c>
      <c r="S868" t="s">
        <v>7355</v>
      </c>
    </row>
    <row r="869" spans="16:19" x14ac:dyDescent="0.25">
      <c r="P869">
        <v>916</v>
      </c>
      <c r="Q869" t="s">
        <v>73</v>
      </c>
      <c r="R869" t="s">
        <v>50</v>
      </c>
      <c r="S869" t="s">
        <v>7355</v>
      </c>
    </row>
    <row r="870" spans="16:19" x14ac:dyDescent="0.25">
      <c r="P870">
        <v>1745</v>
      </c>
      <c r="Q870" t="s">
        <v>73</v>
      </c>
      <c r="R870" t="s">
        <v>50</v>
      </c>
      <c r="S870" t="s">
        <v>7355</v>
      </c>
    </row>
    <row r="871" spans="16:19" x14ac:dyDescent="0.25">
      <c r="P871">
        <v>1261</v>
      </c>
      <c r="Q871" t="s">
        <v>73</v>
      </c>
      <c r="R871" t="s">
        <v>50</v>
      </c>
      <c r="S871" t="s">
        <v>7355</v>
      </c>
    </row>
    <row r="872" spans="16:19" x14ac:dyDescent="0.25">
      <c r="P872">
        <v>754</v>
      </c>
      <c r="Q872" t="s">
        <v>73</v>
      </c>
      <c r="R872" t="s">
        <v>50</v>
      </c>
      <c r="S872" t="s">
        <v>7355</v>
      </c>
    </row>
    <row r="873" spans="16:19" x14ac:dyDescent="0.25">
      <c r="P873">
        <v>1492</v>
      </c>
      <c r="Q873" t="s">
        <v>73</v>
      </c>
      <c r="R873" t="s">
        <v>50</v>
      </c>
      <c r="S873" t="s">
        <v>7355</v>
      </c>
    </row>
    <row r="874" spans="16:19" x14ac:dyDescent="0.25">
      <c r="P874">
        <v>2034</v>
      </c>
      <c r="Q874" t="s">
        <v>73</v>
      </c>
      <c r="R874" t="s">
        <v>50</v>
      </c>
      <c r="S874" t="s">
        <v>7355</v>
      </c>
    </row>
    <row r="875" spans="16:19" x14ac:dyDescent="0.25">
      <c r="P875">
        <v>1002</v>
      </c>
      <c r="Q875" t="s">
        <v>73</v>
      </c>
      <c r="R875" t="s">
        <v>50</v>
      </c>
      <c r="S875" t="s">
        <v>7355</v>
      </c>
    </row>
    <row r="876" spans="16:19" x14ac:dyDescent="0.25">
      <c r="P876">
        <v>1201</v>
      </c>
      <c r="Q876" t="s">
        <v>73</v>
      </c>
      <c r="R876" t="s">
        <v>50</v>
      </c>
      <c r="S876" t="s">
        <v>7355</v>
      </c>
    </row>
    <row r="877" spans="16:19" x14ac:dyDescent="0.25">
      <c r="P877">
        <v>10722</v>
      </c>
      <c r="Q877" t="s">
        <v>73</v>
      </c>
      <c r="R877" t="s">
        <v>50</v>
      </c>
      <c r="S877" t="s">
        <v>7355</v>
      </c>
    </row>
    <row r="878" spans="16:19" x14ac:dyDescent="0.25">
      <c r="P878">
        <v>207247</v>
      </c>
      <c r="Q878" t="s">
        <v>74</v>
      </c>
      <c r="R878" t="s">
        <v>75</v>
      </c>
      <c r="S878" t="s">
        <v>7354</v>
      </c>
    </row>
    <row r="879" spans="16:19" x14ac:dyDescent="0.25">
      <c r="P879">
        <v>37879</v>
      </c>
      <c r="Q879" t="s">
        <v>76</v>
      </c>
      <c r="R879" t="s">
        <v>75</v>
      </c>
      <c r="S879" t="s">
        <v>7354</v>
      </c>
    </row>
    <row r="880" spans="16:19" x14ac:dyDescent="0.25">
      <c r="P880">
        <v>63181</v>
      </c>
      <c r="Q880" t="s">
        <v>77</v>
      </c>
      <c r="R880" t="s">
        <v>75</v>
      </c>
      <c r="S880" t="s">
        <v>7354</v>
      </c>
    </row>
    <row r="881" spans="16:19" x14ac:dyDescent="0.25">
      <c r="P881">
        <v>5007</v>
      </c>
      <c r="Q881" t="s">
        <v>78</v>
      </c>
      <c r="R881" t="s">
        <v>75</v>
      </c>
      <c r="S881" t="s">
        <v>7354</v>
      </c>
    </row>
    <row r="882" spans="16:19" x14ac:dyDescent="0.25">
      <c r="P882">
        <v>2607</v>
      </c>
      <c r="Q882" t="s">
        <v>78</v>
      </c>
      <c r="R882" t="s">
        <v>75</v>
      </c>
      <c r="S882" t="s">
        <v>7354</v>
      </c>
    </row>
    <row r="883" spans="16:19" x14ac:dyDescent="0.25">
      <c r="P883">
        <v>770</v>
      </c>
      <c r="Q883" t="s">
        <v>78</v>
      </c>
      <c r="R883" t="s">
        <v>75</v>
      </c>
      <c r="S883" t="s">
        <v>7354</v>
      </c>
    </row>
    <row r="884" spans="16:19" x14ac:dyDescent="0.25">
      <c r="P884">
        <v>17486</v>
      </c>
      <c r="Q884" t="s">
        <v>78</v>
      </c>
      <c r="R884" t="s">
        <v>75</v>
      </c>
      <c r="S884" t="s">
        <v>7354</v>
      </c>
    </row>
    <row r="885" spans="16:19" x14ac:dyDescent="0.25">
      <c r="P885">
        <v>2727</v>
      </c>
      <c r="Q885" t="s">
        <v>78</v>
      </c>
      <c r="R885" t="s">
        <v>75</v>
      </c>
      <c r="S885" t="s">
        <v>7354</v>
      </c>
    </row>
    <row r="886" spans="16:19" x14ac:dyDescent="0.25">
      <c r="P886">
        <v>2657</v>
      </c>
      <c r="Q886" t="s">
        <v>78</v>
      </c>
      <c r="R886" t="s">
        <v>75</v>
      </c>
      <c r="S886" t="s">
        <v>7354</v>
      </c>
    </row>
    <row r="887" spans="16:19" x14ac:dyDescent="0.25">
      <c r="P887">
        <v>2100</v>
      </c>
      <c r="Q887" t="s">
        <v>78</v>
      </c>
      <c r="R887" t="s">
        <v>75</v>
      </c>
      <c r="S887" t="s">
        <v>7354</v>
      </c>
    </row>
    <row r="888" spans="16:19" x14ac:dyDescent="0.25">
      <c r="P888">
        <v>1014</v>
      </c>
      <c r="Q888" t="s">
        <v>78</v>
      </c>
      <c r="R888" t="s">
        <v>75</v>
      </c>
      <c r="S888" t="s">
        <v>7354</v>
      </c>
    </row>
    <row r="889" spans="16:19" x14ac:dyDescent="0.25">
      <c r="P889">
        <v>1171</v>
      </c>
      <c r="Q889" t="s">
        <v>78</v>
      </c>
      <c r="R889" t="s">
        <v>75</v>
      </c>
      <c r="S889" t="s">
        <v>7354</v>
      </c>
    </row>
    <row r="890" spans="16:19" x14ac:dyDescent="0.25">
      <c r="P890">
        <v>1359</v>
      </c>
      <c r="Q890" t="s">
        <v>78</v>
      </c>
      <c r="R890" t="s">
        <v>75</v>
      </c>
      <c r="S890" t="s">
        <v>7354</v>
      </c>
    </row>
    <row r="891" spans="16:19" x14ac:dyDescent="0.25">
      <c r="P891">
        <v>637</v>
      </c>
      <c r="Q891" t="s">
        <v>78</v>
      </c>
      <c r="R891" t="s">
        <v>75</v>
      </c>
      <c r="S891" t="s">
        <v>7354</v>
      </c>
    </row>
    <row r="892" spans="16:19" x14ac:dyDescent="0.25">
      <c r="P892">
        <v>1336</v>
      </c>
      <c r="Q892" t="s">
        <v>78</v>
      </c>
      <c r="R892" t="s">
        <v>75</v>
      </c>
      <c r="S892" t="s">
        <v>7354</v>
      </c>
    </row>
    <row r="893" spans="16:19" x14ac:dyDescent="0.25">
      <c r="P893">
        <v>3752</v>
      </c>
      <c r="Q893" t="s">
        <v>78</v>
      </c>
      <c r="R893" t="s">
        <v>75</v>
      </c>
      <c r="S893" t="s">
        <v>7354</v>
      </c>
    </row>
    <row r="894" spans="16:19" x14ac:dyDescent="0.25">
      <c r="P894">
        <v>3342</v>
      </c>
      <c r="Q894" t="s">
        <v>78</v>
      </c>
      <c r="R894" t="s">
        <v>75</v>
      </c>
      <c r="S894" t="s">
        <v>7354</v>
      </c>
    </row>
    <row r="895" spans="16:19" x14ac:dyDescent="0.25">
      <c r="P895">
        <v>1463</v>
      </c>
      <c r="Q895" t="s">
        <v>78</v>
      </c>
      <c r="R895" t="s">
        <v>75</v>
      </c>
      <c r="S895" t="s">
        <v>7354</v>
      </c>
    </row>
    <row r="896" spans="16:19" x14ac:dyDescent="0.25">
      <c r="P896">
        <v>710</v>
      </c>
      <c r="Q896" t="s">
        <v>78</v>
      </c>
      <c r="R896" t="s">
        <v>75</v>
      </c>
      <c r="S896" t="s">
        <v>7354</v>
      </c>
    </row>
    <row r="897" spans="16:19" x14ac:dyDescent="0.25">
      <c r="P897">
        <v>1212</v>
      </c>
      <c r="Q897" t="s">
        <v>78</v>
      </c>
      <c r="R897" t="s">
        <v>75</v>
      </c>
      <c r="S897" t="s">
        <v>7354</v>
      </c>
    </row>
    <row r="898" spans="16:19" x14ac:dyDescent="0.25">
      <c r="P898">
        <v>4975</v>
      </c>
      <c r="Q898" t="s">
        <v>78</v>
      </c>
      <c r="R898" t="s">
        <v>75</v>
      </c>
      <c r="S898" t="s">
        <v>7354</v>
      </c>
    </row>
    <row r="899" spans="16:19" x14ac:dyDescent="0.25">
      <c r="P899">
        <v>2926</v>
      </c>
      <c r="Q899" t="s">
        <v>78</v>
      </c>
      <c r="R899" t="s">
        <v>75</v>
      </c>
      <c r="S899" t="s">
        <v>7354</v>
      </c>
    </row>
    <row r="900" spans="16:19" x14ac:dyDescent="0.25">
      <c r="P900">
        <v>1442</v>
      </c>
      <c r="Q900" t="s">
        <v>78</v>
      </c>
      <c r="R900" t="s">
        <v>75</v>
      </c>
      <c r="S900" t="s">
        <v>7354</v>
      </c>
    </row>
    <row r="901" spans="16:19" x14ac:dyDescent="0.25">
      <c r="P901">
        <v>7239</v>
      </c>
      <c r="Q901" t="s">
        <v>78</v>
      </c>
      <c r="R901" t="s">
        <v>75</v>
      </c>
      <c r="S901" t="s">
        <v>7354</v>
      </c>
    </row>
    <row r="902" spans="16:19" x14ac:dyDescent="0.25">
      <c r="P902">
        <v>2653</v>
      </c>
      <c r="Q902" t="s">
        <v>78</v>
      </c>
      <c r="R902" t="s">
        <v>75</v>
      </c>
      <c r="S902" t="s">
        <v>7354</v>
      </c>
    </row>
    <row r="903" spans="16:19" x14ac:dyDescent="0.25">
      <c r="P903">
        <v>1259</v>
      </c>
      <c r="Q903" t="s">
        <v>78</v>
      </c>
      <c r="R903" t="s">
        <v>75</v>
      </c>
      <c r="S903" t="s">
        <v>7354</v>
      </c>
    </row>
    <row r="904" spans="16:19" x14ac:dyDescent="0.25">
      <c r="P904">
        <v>1123</v>
      </c>
      <c r="Q904" t="s">
        <v>78</v>
      </c>
      <c r="R904" t="s">
        <v>75</v>
      </c>
      <c r="S904" t="s">
        <v>7354</v>
      </c>
    </row>
    <row r="905" spans="16:19" x14ac:dyDescent="0.25">
      <c r="P905">
        <v>1755</v>
      </c>
      <c r="Q905" t="s">
        <v>78</v>
      </c>
      <c r="R905" t="s">
        <v>75</v>
      </c>
      <c r="S905" t="s">
        <v>7354</v>
      </c>
    </row>
    <row r="906" spans="16:19" x14ac:dyDescent="0.25">
      <c r="P906">
        <v>3021</v>
      </c>
      <c r="Q906" t="s">
        <v>78</v>
      </c>
      <c r="R906" t="s">
        <v>75</v>
      </c>
      <c r="S906" t="s">
        <v>7354</v>
      </c>
    </row>
    <row r="907" spans="16:19" x14ac:dyDescent="0.25">
      <c r="P907">
        <v>2266</v>
      </c>
      <c r="Q907" t="s">
        <v>78</v>
      </c>
      <c r="R907" t="s">
        <v>75</v>
      </c>
      <c r="S907" t="s">
        <v>7354</v>
      </c>
    </row>
    <row r="908" spans="16:19" x14ac:dyDescent="0.25">
      <c r="P908">
        <v>3354</v>
      </c>
      <c r="Q908" t="s">
        <v>78</v>
      </c>
      <c r="R908" t="s">
        <v>75</v>
      </c>
      <c r="S908" t="s">
        <v>7354</v>
      </c>
    </row>
    <row r="909" spans="16:19" x14ac:dyDescent="0.25">
      <c r="P909">
        <v>1152</v>
      </c>
      <c r="Q909" t="s">
        <v>78</v>
      </c>
      <c r="R909" t="s">
        <v>75</v>
      </c>
      <c r="S909" t="s">
        <v>7354</v>
      </c>
    </row>
    <row r="910" spans="16:19" x14ac:dyDescent="0.25">
      <c r="P910">
        <v>1075</v>
      </c>
      <c r="Q910" t="s">
        <v>78</v>
      </c>
      <c r="R910" t="s">
        <v>75</v>
      </c>
      <c r="S910" t="s">
        <v>7354</v>
      </c>
    </row>
    <row r="911" spans="16:19" x14ac:dyDescent="0.25">
      <c r="P911">
        <v>1216</v>
      </c>
      <c r="Q911" t="s">
        <v>78</v>
      </c>
      <c r="R911" t="s">
        <v>75</v>
      </c>
      <c r="S911" t="s">
        <v>7354</v>
      </c>
    </row>
    <row r="912" spans="16:19" x14ac:dyDescent="0.25">
      <c r="P912">
        <v>1713</v>
      </c>
      <c r="Q912" t="s">
        <v>78</v>
      </c>
      <c r="R912" t="s">
        <v>75</v>
      </c>
      <c r="S912" t="s">
        <v>7354</v>
      </c>
    </row>
    <row r="913" spans="16:19" x14ac:dyDescent="0.25">
      <c r="P913">
        <v>998</v>
      </c>
      <c r="Q913" t="s">
        <v>78</v>
      </c>
      <c r="R913" t="s">
        <v>75</v>
      </c>
      <c r="S913" t="s">
        <v>7354</v>
      </c>
    </row>
    <row r="914" spans="16:19" x14ac:dyDescent="0.25">
      <c r="P914">
        <v>892</v>
      </c>
      <c r="Q914" t="s">
        <v>78</v>
      </c>
      <c r="R914" t="s">
        <v>75</v>
      </c>
      <c r="S914" t="s">
        <v>7354</v>
      </c>
    </row>
    <row r="915" spans="16:19" x14ac:dyDescent="0.25">
      <c r="P915">
        <v>450</v>
      </c>
      <c r="Q915" t="s">
        <v>78</v>
      </c>
      <c r="R915" t="s">
        <v>75</v>
      </c>
      <c r="S915" t="s">
        <v>7354</v>
      </c>
    </row>
    <row r="916" spans="16:19" x14ac:dyDescent="0.25">
      <c r="P916">
        <v>2045</v>
      </c>
      <c r="Q916" t="s">
        <v>78</v>
      </c>
      <c r="R916" t="s">
        <v>75</v>
      </c>
      <c r="S916" t="s">
        <v>7354</v>
      </c>
    </row>
    <row r="917" spans="16:19" x14ac:dyDescent="0.25">
      <c r="P917">
        <v>3207</v>
      </c>
      <c r="Q917" t="s">
        <v>78</v>
      </c>
      <c r="R917" t="s">
        <v>75</v>
      </c>
      <c r="S917" t="s">
        <v>7354</v>
      </c>
    </row>
    <row r="918" spans="16:19" x14ac:dyDescent="0.25">
      <c r="P918">
        <v>2459</v>
      </c>
      <c r="Q918" t="s">
        <v>78</v>
      </c>
      <c r="R918" t="s">
        <v>75</v>
      </c>
      <c r="S918" t="s">
        <v>7354</v>
      </c>
    </row>
    <row r="919" spans="16:19" x14ac:dyDescent="0.25">
      <c r="P919">
        <v>637</v>
      </c>
      <c r="Q919" t="s">
        <v>78</v>
      </c>
      <c r="R919" t="s">
        <v>75</v>
      </c>
      <c r="S919" t="s">
        <v>7354</v>
      </c>
    </row>
    <row r="920" spans="16:19" x14ac:dyDescent="0.25">
      <c r="P920">
        <v>408</v>
      </c>
      <c r="Q920" t="s">
        <v>78</v>
      </c>
      <c r="R920" t="s">
        <v>75</v>
      </c>
      <c r="S920" t="s">
        <v>7354</v>
      </c>
    </row>
    <row r="921" spans="16:19" x14ac:dyDescent="0.25">
      <c r="P921">
        <v>4122</v>
      </c>
      <c r="Q921" t="s">
        <v>78</v>
      </c>
      <c r="R921" t="s">
        <v>75</v>
      </c>
      <c r="S921" t="s">
        <v>7354</v>
      </c>
    </row>
    <row r="922" spans="16:19" x14ac:dyDescent="0.25">
      <c r="P922">
        <v>1020</v>
      </c>
      <c r="Q922" t="s">
        <v>78</v>
      </c>
      <c r="R922" t="s">
        <v>75</v>
      </c>
      <c r="S922" t="s">
        <v>7354</v>
      </c>
    </row>
    <row r="923" spans="16:19" x14ac:dyDescent="0.25">
      <c r="P923">
        <v>2115</v>
      </c>
      <c r="Q923" t="s">
        <v>78</v>
      </c>
      <c r="R923" t="s">
        <v>75</v>
      </c>
      <c r="S923" t="s">
        <v>7354</v>
      </c>
    </row>
    <row r="924" spans="16:19" x14ac:dyDescent="0.25">
      <c r="P924">
        <v>746</v>
      </c>
      <c r="Q924" t="s">
        <v>78</v>
      </c>
      <c r="R924" t="s">
        <v>75</v>
      </c>
      <c r="S924" t="s">
        <v>7354</v>
      </c>
    </row>
    <row r="925" spans="16:19" x14ac:dyDescent="0.25">
      <c r="P925">
        <v>694</v>
      </c>
      <c r="Q925" t="s">
        <v>78</v>
      </c>
      <c r="R925" t="s">
        <v>75</v>
      </c>
      <c r="S925" t="s">
        <v>7354</v>
      </c>
    </row>
    <row r="926" spans="16:19" x14ac:dyDescent="0.25">
      <c r="P926">
        <v>1420</v>
      </c>
      <c r="Q926" t="s">
        <v>78</v>
      </c>
      <c r="R926" t="s">
        <v>75</v>
      </c>
      <c r="S926" t="s">
        <v>7354</v>
      </c>
    </row>
    <row r="927" spans="16:19" x14ac:dyDescent="0.25">
      <c r="P927">
        <v>6104</v>
      </c>
      <c r="Q927" t="s">
        <v>79</v>
      </c>
      <c r="R927" t="s">
        <v>75</v>
      </c>
      <c r="S927" t="s">
        <v>7354</v>
      </c>
    </row>
    <row r="928" spans="16:19" x14ac:dyDescent="0.25">
      <c r="P928">
        <v>2209</v>
      </c>
      <c r="Q928" t="s">
        <v>79</v>
      </c>
      <c r="R928" t="s">
        <v>75</v>
      </c>
      <c r="S928" t="s">
        <v>7354</v>
      </c>
    </row>
    <row r="929" spans="16:19" x14ac:dyDescent="0.25">
      <c r="P929">
        <v>4271</v>
      </c>
      <c r="Q929" t="s">
        <v>79</v>
      </c>
      <c r="R929" t="s">
        <v>75</v>
      </c>
      <c r="S929" t="s">
        <v>7354</v>
      </c>
    </row>
    <row r="930" spans="16:19" x14ac:dyDescent="0.25">
      <c r="P930">
        <v>2454</v>
      </c>
      <c r="Q930" t="s">
        <v>79</v>
      </c>
      <c r="R930" t="s">
        <v>75</v>
      </c>
      <c r="S930" t="s">
        <v>7354</v>
      </c>
    </row>
    <row r="931" spans="16:19" x14ac:dyDescent="0.25">
      <c r="P931">
        <v>1288</v>
      </c>
      <c r="Q931" t="s">
        <v>79</v>
      </c>
      <c r="R931" t="s">
        <v>75</v>
      </c>
      <c r="S931" t="s">
        <v>7354</v>
      </c>
    </row>
    <row r="932" spans="16:19" x14ac:dyDescent="0.25">
      <c r="P932">
        <v>4006</v>
      </c>
      <c r="Q932" t="s">
        <v>79</v>
      </c>
      <c r="R932" t="s">
        <v>75</v>
      </c>
      <c r="S932" t="s">
        <v>7354</v>
      </c>
    </row>
    <row r="933" spans="16:19" x14ac:dyDescent="0.25">
      <c r="P933">
        <v>2078</v>
      </c>
      <c r="Q933" t="s">
        <v>79</v>
      </c>
      <c r="R933" t="s">
        <v>75</v>
      </c>
      <c r="S933" t="s">
        <v>7354</v>
      </c>
    </row>
    <row r="934" spans="16:19" x14ac:dyDescent="0.25">
      <c r="P934">
        <v>2973</v>
      </c>
      <c r="Q934" t="s">
        <v>79</v>
      </c>
      <c r="R934" t="s">
        <v>75</v>
      </c>
      <c r="S934" t="s">
        <v>7354</v>
      </c>
    </row>
    <row r="935" spans="16:19" x14ac:dyDescent="0.25">
      <c r="P935">
        <v>1806</v>
      </c>
      <c r="Q935" t="s">
        <v>79</v>
      </c>
      <c r="R935" t="s">
        <v>75</v>
      </c>
      <c r="S935" t="s">
        <v>7354</v>
      </c>
    </row>
    <row r="936" spans="16:19" x14ac:dyDescent="0.25">
      <c r="P936">
        <v>2327</v>
      </c>
      <c r="Q936" t="s">
        <v>79</v>
      </c>
      <c r="R936" t="s">
        <v>75</v>
      </c>
      <c r="S936" t="s">
        <v>7354</v>
      </c>
    </row>
    <row r="937" spans="16:19" x14ac:dyDescent="0.25">
      <c r="P937">
        <v>2282</v>
      </c>
      <c r="Q937" t="s">
        <v>79</v>
      </c>
      <c r="R937" t="s">
        <v>75</v>
      </c>
      <c r="S937" t="s">
        <v>7354</v>
      </c>
    </row>
    <row r="938" spans="16:19" x14ac:dyDescent="0.25">
      <c r="P938">
        <v>1624</v>
      </c>
      <c r="Q938" t="s">
        <v>79</v>
      </c>
      <c r="R938" t="s">
        <v>75</v>
      </c>
      <c r="S938" t="s">
        <v>7354</v>
      </c>
    </row>
    <row r="939" spans="16:19" x14ac:dyDescent="0.25">
      <c r="P939">
        <v>7972</v>
      </c>
      <c r="Q939" t="s">
        <v>80</v>
      </c>
      <c r="R939" t="s">
        <v>75</v>
      </c>
      <c r="S939" t="s">
        <v>7354</v>
      </c>
    </row>
    <row r="940" spans="16:19" x14ac:dyDescent="0.25">
      <c r="P940">
        <v>1884</v>
      </c>
      <c r="Q940" t="s">
        <v>80</v>
      </c>
      <c r="R940" t="s">
        <v>75</v>
      </c>
      <c r="S940" t="s">
        <v>7354</v>
      </c>
    </row>
    <row r="941" spans="16:19" x14ac:dyDescent="0.25">
      <c r="P941">
        <v>2726</v>
      </c>
      <c r="Q941" t="s">
        <v>80</v>
      </c>
      <c r="R941" t="s">
        <v>75</v>
      </c>
      <c r="S941" t="s">
        <v>7354</v>
      </c>
    </row>
    <row r="942" spans="16:19" x14ac:dyDescent="0.25">
      <c r="P942">
        <v>2814</v>
      </c>
      <c r="Q942" t="s">
        <v>80</v>
      </c>
      <c r="R942" t="s">
        <v>75</v>
      </c>
      <c r="S942" t="s">
        <v>7354</v>
      </c>
    </row>
    <row r="943" spans="16:19" x14ac:dyDescent="0.25">
      <c r="P943">
        <v>1169</v>
      </c>
      <c r="Q943" t="s">
        <v>80</v>
      </c>
      <c r="R943" t="s">
        <v>75</v>
      </c>
      <c r="S943" t="s">
        <v>7354</v>
      </c>
    </row>
    <row r="944" spans="16:19" x14ac:dyDescent="0.25">
      <c r="P944">
        <v>605</v>
      </c>
      <c r="Q944" t="s">
        <v>80</v>
      </c>
      <c r="R944" t="s">
        <v>75</v>
      </c>
      <c r="S944" t="s">
        <v>7354</v>
      </c>
    </row>
    <row r="945" spans="16:19" x14ac:dyDescent="0.25">
      <c r="P945">
        <v>2176</v>
      </c>
      <c r="Q945" t="s">
        <v>80</v>
      </c>
      <c r="R945" t="s">
        <v>75</v>
      </c>
      <c r="S945" t="s">
        <v>7354</v>
      </c>
    </row>
    <row r="946" spans="16:19" x14ac:dyDescent="0.25">
      <c r="P946">
        <v>3083</v>
      </c>
      <c r="Q946" t="s">
        <v>80</v>
      </c>
      <c r="R946" t="s">
        <v>75</v>
      </c>
      <c r="S946" t="s">
        <v>7354</v>
      </c>
    </row>
    <row r="947" spans="16:19" x14ac:dyDescent="0.25">
      <c r="P947">
        <v>2901</v>
      </c>
      <c r="Q947" t="s">
        <v>80</v>
      </c>
      <c r="R947" t="s">
        <v>75</v>
      </c>
      <c r="S947" t="s">
        <v>7354</v>
      </c>
    </row>
    <row r="948" spans="16:19" x14ac:dyDescent="0.25">
      <c r="P948">
        <v>992</v>
      </c>
      <c r="Q948" t="s">
        <v>80</v>
      </c>
      <c r="R948" t="s">
        <v>75</v>
      </c>
      <c r="S948" t="s">
        <v>7354</v>
      </c>
    </row>
    <row r="949" spans="16:19" x14ac:dyDescent="0.25">
      <c r="P949">
        <v>1575</v>
      </c>
      <c r="Q949" t="s">
        <v>80</v>
      </c>
      <c r="R949" t="s">
        <v>75</v>
      </c>
      <c r="S949" t="s">
        <v>7354</v>
      </c>
    </row>
    <row r="950" spans="16:19" x14ac:dyDescent="0.25">
      <c r="P950">
        <v>3175</v>
      </c>
      <c r="Q950" t="s">
        <v>80</v>
      </c>
      <c r="R950" t="s">
        <v>75</v>
      </c>
      <c r="S950" t="s">
        <v>7354</v>
      </c>
    </row>
    <row r="951" spans="16:19" x14ac:dyDescent="0.25">
      <c r="P951">
        <v>1025</v>
      </c>
      <c r="Q951" t="s">
        <v>80</v>
      </c>
      <c r="R951" t="s">
        <v>75</v>
      </c>
      <c r="S951" t="s">
        <v>7354</v>
      </c>
    </row>
    <row r="952" spans="16:19" x14ac:dyDescent="0.25">
      <c r="P952">
        <v>5565</v>
      </c>
      <c r="Q952" t="s">
        <v>80</v>
      </c>
      <c r="R952" t="s">
        <v>75</v>
      </c>
      <c r="S952" t="s">
        <v>7354</v>
      </c>
    </row>
    <row r="953" spans="16:19" x14ac:dyDescent="0.25">
      <c r="P953">
        <v>3003</v>
      </c>
      <c r="Q953" t="s">
        <v>80</v>
      </c>
      <c r="R953" t="s">
        <v>75</v>
      </c>
      <c r="S953" t="s">
        <v>7354</v>
      </c>
    </row>
    <row r="954" spans="16:19" x14ac:dyDescent="0.25">
      <c r="P954">
        <v>1367</v>
      </c>
      <c r="Q954" t="s">
        <v>80</v>
      </c>
      <c r="R954" t="s">
        <v>75</v>
      </c>
      <c r="S954" t="s">
        <v>7354</v>
      </c>
    </row>
    <row r="955" spans="16:19" x14ac:dyDescent="0.25">
      <c r="P955">
        <v>1354</v>
      </c>
      <c r="Q955" t="s">
        <v>80</v>
      </c>
      <c r="R955" t="s">
        <v>75</v>
      </c>
      <c r="S955" t="s">
        <v>7354</v>
      </c>
    </row>
    <row r="956" spans="16:19" x14ac:dyDescent="0.25">
      <c r="P956">
        <v>2922</v>
      </c>
      <c r="Q956" t="s">
        <v>80</v>
      </c>
      <c r="R956" t="s">
        <v>75</v>
      </c>
      <c r="S956" t="s">
        <v>7354</v>
      </c>
    </row>
    <row r="957" spans="16:19" x14ac:dyDescent="0.25">
      <c r="P957">
        <v>1952</v>
      </c>
      <c r="Q957" t="s">
        <v>80</v>
      </c>
      <c r="R957" t="s">
        <v>75</v>
      </c>
      <c r="S957" t="s">
        <v>7354</v>
      </c>
    </row>
    <row r="958" spans="16:19" x14ac:dyDescent="0.25">
      <c r="P958">
        <v>3133</v>
      </c>
      <c r="Q958" t="s">
        <v>80</v>
      </c>
      <c r="R958" t="s">
        <v>75</v>
      </c>
      <c r="S958" t="s">
        <v>7354</v>
      </c>
    </row>
    <row r="959" spans="16:19" x14ac:dyDescent="0.25">
      <c r="P959">
        <v>2136</v>
      </c>
      <c r="Q959" t="s">
        <v>80</v>
      </c>
      <c r="R959" t="s">
        <v>75</v>
      </c>
      <c r="S959" t="s">
        <v>7354</v>
      </c>
    </row>
    <row r="960" spans="16:19" x14ac:dyDescent="0.25">
      <c r="P960">
        <v>2187</v>
      </c>
      <c r="Q960" t="s">
        <v>80</v>
      </c>
      <c r="R960" t="s">
        <v>75</v>
      </c>
      <c r="S960" t="s">
        <v>7354</v>
      </c>
    </row>
    <row r="961" spans="16:19" x14ac:dyDescent="0.25">
      <c r="P961">
        <v>1425</v>
      </c>
      <c r="Q961" t="s">
        <v>80</v>
      </c>
      <c r="R961" t="s">
        <v>75</v>
      </c>
      <c r="S961" t="s">
        <v>7354</v>
      </c>
    </row>
    <row r="962" spans="16:19" x14ac:dyDescent="0.25">
      <c r="P962">
        <v>4405</v>
      </c>
      <c r="Q962" t="s">
        <v>80</v>
      </c>
      <c r="R962" t="s">
        <v>75</v>
      </c>
      <c r="S962" t="s">
        <v>7354</v>
      </c>
    </row>
    <row r="963" spans="16:19" x14ac:dyDescent="0.25">
      <c r="P963">
        <v>1048</v>
      </c>
      <c r="Q963" t="s">
        <v>80</v>
      </c>
      <c r="R963" t="s">
        <v>75</v>
      </c>
      <c r="S963" t="s">
        <v>7354</v>
      </c>
    </row>
    <row r="964" spans="16:19" x14ac:dyDescent="0.25">
      <c r="P964">
        <v>1593</v>
      </c>
      <c r="Q964" t="s">
        <v>80</v>
      </c>
      <c r="R964" t="s">
        <v>75</v>
      </c>
      <c r="S964" t="s">
        <v>7354</v>
      </c>
    </row>
    <row r="965" spans="16:19" x14ac:dyDescent="0.25">
      <c r="P965">
        <v>2976</v>
      </c>
      <c r="Q965" t="s">
        <v>80</v>
      </c>
      <c r="R965" t="s">
        <v>75</v>
      </c>
      <c r="S965" t="s">
        <v>7354</v>
      </c>
    </row>
    <row r="966" spans="16:19" x14ac:dyDescent="0.25">
      <c r="P966">
        <v>9857</v>
      </c>
      <c r="Q966" t="s">
        <v>81</v>
      </c>
      <c r="R966" t="s">
        <v>75</v>
      </c>
      <c r="S966" t="s">
        <v>7354</v>
      </c>
    </row>
    <row r="967" spans="16:19" x14ac:dyDescent="0.25">
      <c r="P967">
        <v>7528</v>
      </c>
      <c r="Q967" t="s">
        <v>81</v>
      </c>
      <c r="R967" t="s">
        <v>75</v>
      </c>
      <c r="S967" t="s">
        <v>7354</v>
      </c>
    </row>
    <row r="968" spans="16:19" x14ac:dyDescent="0.25">
      <c r="P968">
        <v>14062</v>
      </c>
      <c r="Q968" t="s">
        <v>81</v>
      </c>
      <c r="R968" t="s">
        <v>75</v>
      </c>
      <c r="S968" t="s">
        <v>7354</v>
      </c>
    </row>
    <row r="969" spans="16:19" x14ac:dyDescent="0.25">
      <c r="P969">
        <v>7515</v>
      </c>
      <c r="Q969" t="s">
        <v>81</v>
      </c>
      <c r="R969" t="s">
        <v>75</v>
      </c>
      <c r="S969" t="s">
        <v>7354</v>
      </c>
    </row>
    <row r="970" spans="16:19" x14ac:dyDescent="0.25">
      <c r="P970">
        <v>13251</v>
      </c>
      <c r="Q970" t="s">
        <v>81</v>
      </c>
      <c r="R970" t="s">
        <v>75</v>
      </c>
      <c r="S970" t="s">
        <v>7354</v>
      </c>
    </row>
    <row r="971" spans="16:19" x14ac:dyDescent="0.25">
      <c r="P971">
        <v>1820</v>
      </c>
      <c r="Q971" t="s">
        <v>81</v>
      </c>
      <c r="R971" t="s">
        <v>75</v>
      </c>
      <c r="S971" t="s">
        <v>7354</v>
      </c>
    </row>
    <row r="972" spans="16:19" x14ac:dyDescent="0.25">
      <c r="P972">
        <v>2023</v>
      </c>
      <c r="Q972" t="s">
        <v>81</v>
      </c>
      <c r="R972" t="s">
        <v>75</v>
      </c>
      <c r="S972" t="s">
        <v>7354</v>
      </c>
    </row>
    <row r="973" spans="16:19" x14ac:dyDescent="0.25">
      <c r="P973">
        <v>2937</v>
      </c>
      <c r="Q973" t="s">
        <v>81</v>
      </c>
      <c r="R973" t="s">
        <v>75</v>
      </c>
      <c r="S973" t="s">
        <v>7354</v>
      </c>
    </row>
    <row r="974" spans="16:19" x14ac:dyDescent="0.25">
      <c r="P974">
        <v>725</v>
      </c>
      <c r="Q974" t="s">
        <v>81</v>
      </c>
      <c r="R974" t="s">
        <v>75</v>
      </c>
      <c r="S974" t="s">
        <v>7354</v>
      </c>
    </row>
    <row r="975" spans="16:19" x14ac:dyDescent="0.25">
      <c r="P975">
        <v>2227</v>
      </c>
      <c r="Q975" t="s">
        <v>81</v>
      </c>
      <c r="R975" t="s">
        <v>75</v>
      </c>
      <c r="S975" t="s">
        <v>7354</v>
      </c>
    </row>
    <row r="976" spans="16:19" x14ac:dyDescent="0.25">
      <c r="P976">
        <v>9790</v>
      </c>
      <c r="Q976" t="s">
        <v>81</v>
      </c>
      <c r="R976" t="s">
        <v>75</v>
      </c>
      <c r="S976" t="s">
        <v>7354</v>
      </c>
    </row>
    <row r="977" spans="16:19" x14ac:dyDescent="0.25">
      <c r="P977">
        <v>734</v>
      </c>
      <c r="Q977" t="s">
        <v>81</v>
      </c>
      <c r="R977" t="s">
        <v>75</v>
      </c>
      <c r="S977" t="s">
        <v>7354</v>
      </c>
    </row>
    <row r="978" spans="16:19" x14ac:dyDescent="0.25">
      <c r="P978">
        <v>5373</v>
      </c>
      <c r="Q978" t="s">
        <v>81</v>
      </c>
      <c r="R978" t="s">
        <v>75</v>
      </c>
      <c r="S978" t="s">
        <v>7354</v>
      </c>
    </row>
    <row r="979" spans="16:19" x14ac:dyDescent="0.25">
      <c r="P979">
        <v>4154</v>
      </c>
      <c r="Q979" t="s">
        <v>81</v>
      </c>
      <c r="R979" t="s">
        <v>75</v>
      </c>
      <c r="S979" t="s">
        <v>7354</v>
      </c>
    </row>
    <row r="980" spans="16:19" x14ac:dyDescent="0.25">
      <c r="P980">
        <v>2083</v>
      </c>
      <c r="Q980" t="s">
        <v>81</v>
      </c>
      <c r="R980" t="s">
        <v>75</v>
      </c>
      <c r="S980" t="s">
        <v>7354</v>
      </c>
    </row>
    <row r="981" spans="16:19" x14ac:dyDescent="0.25">
      <c r="P981">
        <v>1168</v>
      </c>
      <c r="Q981" t="s">
        <v>81</v>
      </c>
      <c r="R981" t="s">
        <v>75</v>
      </c>
      <c r="S981" t="s">
        <v>7354</v>
      </c>
    </row>
    <row r="982" spans="16:19" x14ac:dyDescent="0.25">
      <c r="P982">
        <v>2848</v>
      </c>
      <c r="Q982" t="s">
        <v>81</v>
      </c>
      <c r="R982" t="s">
        <v>75</v>
      </c>
      <c r="S982" t="s">
        <v>7354</v>
      </c>
    </row>
    <row r="983" spans="16:19" x14ac:dyDescent="0.25">
      <c r="P983">
        <v>1680</v>
      </c>
      <c r="Q983" t="s">
        <v>81</v>
      </c>
      <c r="R983" t="s">
        <v>75</v>
      </c>
      <c r="S983" t="s">
        <v>7354</v>
      </c>
    </row>
    <row r="984" spans="16:19" x14ac:dyDescent="0.25">
      <c r="P984">
        <v>4958</v>
      </c>
      <c r="Q984" t="s">
        <v>81</v>
      </c>
      <c r="R984" t="s">
        <v>75</v>
      </c>
      <c r="S984" t="s">
        <v>7354</v>
      </c>
    </row>
    <row r="985" spans="16:19" x14ac:dyDescent="0.25">
      <c r="P985">
        <v>7602</v>
      </c>
      <c r="Q985" t="s">
        <v>81</v>
      </c>
      <c r="R985" t="s">
        <v>75</v>
      </c>
      <c r="S985" t="s">
        <v>7354</v>
      </c>
    </row>
    <row r="986" spans="16:19" x14ac:dyDescent="0.25">
      <c r="P986">
        <v>964</v>
      </c>
      <c r="Q986" t="s">
        <v>82</v>
      </c>
      <c r="R986" t="s">
        <v>75</v>
      </c>
      <c r="S986" t="s">
        <v>7354</v>
      </c>
    </row>
    <row r="987" spans="16:19" x14ac:dyDescent="0.25">
      <c r="P987">
        <v>4328</v>
      </c>
      <c r="Q987" t="s">
        <v>82</v>
      </c>
      <c r="R987" t="s">
        <v>75</v>
      </c>
      <c r="S987" t="s">
        <v>7354</v>
      </c>
    </row>
    <row r="988" spans="16:19" x14ac:dyDescent="0.25">
      <c r="P988">
        <v>1051</v>
      </c>
      <c r="Q988" t="s">
        <v>82</v>
      </c>
      <c r="R988" t="s">
        <v>75</v>
      </c>
      <c r="S988" t="s">
        <v>7354</v>
      </c>
    </row>
    <row r="989" spans="16:19" x14ac:dyDescent="0.25">
      <c r="P989">
        <v>2824</v>
      </c>
      <c r="Q989" t="s">
        <v>82</v>
      </c>
      <c r="R989" t="s">
        <v>75</v>
      </c>
      <c r="S989" t="s">
        <v>7354</v>
      </c>
    </row>
    <row r="990" spans="16:19" x14ac:dyDescent="0.25">
      <c r="P990">
        <v>3622</v>
      </c>
      <c r="Q990" t="s">
        <v>82</v>
      </c>
      <c r="R990" t="s">
        <v>75</v>
      </c>
      <c r="S990" t="s">
        <v>7354</v>
      </c>
    </row>
    <row r="991" spans="16:19" x14ac:dyDescent="0.25">
      <c r="P991">
        <v>1459</v>
      </c>
      <c r="Q991" t="s">
        <v>82</v>
      </c>
      <c r="R991" t="s">
        <v>75</v>
      </c>
      <c r="S991" t="s">
        <v>7354</v>
      </c>
    </row>
    <row r="992" spans="16:19" x14ac:dyDescent="0.25">
      <c r="P992">
        <v>5029</v>
      </c>
      <c r="Q992" t="s">
        <v>82</v>
      </c>
      <c r="R992" t="s">
        <v>75</v>
      </c>
      <c r="S992" t="s">
        <v>7354</v>
      </c>
    </row>
    <row r="993" spans="16:19" x14ac:dyDescent="0.25">
      <c r="P993">
        <v>2255</v>
      </c>
      <c r="Q993" t="s">
        <v>82</v>
      </c>
      <c r="R993" t="s">
        <v>75</v>
      </c>
      <c r="S993" t="s">
        <v>7354</v>
      </c>
    </row>
    <row r="994" spans="16:19" x14ac:dyDescent="0.25">
      <c r="P994">
        <v>699</v>
      </c>
      <c r="Q994" t="s">
        <v>82</v>
      </c>
      <c r="R994" t="s">
        <v>75</v>
      </c>
      <c r="S994" t="s">
        <v>7354</v>
      </c>
    </row>
    <row r="995" spans="16:19" x14ac:dyDescent="0.25">
      <c r="P995">
        <v>1685</v>
      </c>
      <c r="Q995" t="s">
        <v>82</v>
      </c>
      <c r="R995" t="s">
        <v>75</v>
      </c>
      <c r="S995" t="s">
        <v>7354</v>
      </c>
    </row>
    <row r="996" spans="16:19" x14ac:dyDescent="0.25">
      <c r="P996">
        <v>2459</v>
      </c>
      <c r="Q996" t="s">
        <v>82</v>
      </c>
      <c r="R996" t="s">
        <v>75</v>
      </c>
      <c r="S996" t="s">
        <v>7354</v>
      </c>
    </row>
    <row r="997" spans="16:19" x14ac:dyDescent="0.25">
      <c r="P997">
        <v>1435</v>
      </c>
      <c r="Q997" t="s">
        <v>82</v>
      </c>
      <c r="R997" t="s">
        <v>75</v>
      </c>
      <c r="S997" t="s">
        <v>7354</v>
      </c>
    </row>
    <row r="998" spans="16:19" x14ac:dyDescent="0.25">
      <c r="P998">
        <v>1564</v>
      </c>
      <c r="Q998" t="s">
        <v>82</v>
      </c>
      <c r="R998" t="s">
        <v>75</v>
      </c>
      <c r="S998" t="s">
        <v>7354</v>
      </c>
    </row>
    <row r="999" spans="16:19" x14ac:dyDescent="0.25">
      <c r="P999">
        <v>1288</v>
      </c>
      <c r="Q999" t="s">
        <v>82</v>
      </c>
      <c r="R999" t="s">
        <v>75</v>
      </c>
      <c r="S999" t="s">
        <v>7354</v>
      </c>
    </row>
    <row r="1000" spans="16:19" x14ac:dyDescent="0.25">
      <c r="P1000">
        <v>2292</v>
      </c>
      <c r="Q1000" t="s">
        <v>82</v>
      </c>
      <c r="R1000" t="s">
        <v>75</v>
      </c>
      <c r="S1000" t="s">
        <v>7354</v>
      </c>
    </row>
    <row r="1001" spans="16:19" x14ac:dyDescent="0.25">
      <c r="P1001">
        <v>1633</v>
      </c>
      <c r="Q1001" t="s">
        <v>82</v>
      </c>
      <c r="R1001" t="s">
        <v>75</v>
      </c>
      <c r="S1001" t="s">
        <v>7354</v>
      </c>
    </row>
    <row r="1002" spans="16:19" x14ac:dyDescent="0.25">
      <c r="P1002">
        <v>1469</v>
      </c>
      <c r="Q1002" t="s">
        <v>82</v>
      </c>
      <c r="R1002" t="s">
        <v>75</v>
      </c>
      <c r="S1002" t="s">
        <v>7354</v>
      </c>
    </row>
    <row r="1003" spans="16:19" x14ac:dyDescent="0.25">
      <c r="P1003">
        <v>556</v>
      </c>
      <c r="Q1003" t="s">
        <v>82</v>
      </c>
      <c r="R1003" t="s">
        <v>75</v>
      </c>
      <c r="S1003" t="s">
        <v>7354</v>
      </c>
    </row>
    <row r="1004" spans="16:19" x14ac:dyDescent="0.25">
      <c r="P1004">
        <v>974</v>
      </c>
      <c r="Q1004" t="s">
        <v>82</v>
      </c>
      <c r="R1004" t="s">
        <v>75</v>
      </c>
      <c r="S1004" t="s">
        <v>7354</v>
      </c>
    </row>
    <row r="1005" spans="16:19" x14ac:dyDescent="0.25">
      <c r="P1005">
        <v>1735</v>
      </c>
      <c r="Q1005" t="s">
        <v>82</v>
      </c>
      <c r="R1005" t="s">
        <v>75</v>
      </c>
      <c r="S1005" t="s">
        <v>7354</v>
      </c>
    </row>
    <row r="1006" spans="16:19" x14ac:dyDescent="0.25">
      <c r="P1006">
        <v>1106</v>
      </c>
      <c r="Q1006" t="s">
        <v>82</v>
      </c>
      <c r="R1006" t="s">
        <v>75</v>
      </c>
      <c r="S1006" t="s">
        <v>7354</v>
      </c>
    </row>
    <row r="1007" spans="16:19" x14ac:dyDescent="0.25">
      <c r="P1007">
        <v>2132</v>
      </c>
      <c r="Q1007" t="s">
        <v>82</v>
      </c>
      <c r="R1007" t="s">
        <v>75</v>
      </c>
      <c r="S1007" t="s">
        <v>7354</v>
      </c>
    </row>
    <row r="1008" spans="16:19" x14ac:dyDescent="0.25">
      <c r="P1008">
        <v>1332</v>
      </c>
      <c r="Q1008" t="s">
        <v>82</v>
      </c>
      <c r="R1008" t="s">
        <v>75</v>
      </c>
      <c r="S1008" t="s">
        <v>7354</v>
      </c>
    </row>
    <row r="1009" spans="16:19" x14ac:dyDescent="0.25">
      <c r="P1009">
        <v>574</v>
      </c>
      <c r="Q1009" t="s">
        <v>82</v>
      </c>
      <c r="R1009" t="s">
        <v>75</v>
      </c>
      <c r="S1009" t="s">
        <v>7354</v>
      </c>
    </row>
    <row r="1010" spans="16:19" x14ac:dyDescent="0.25">
      <c r="P1010">
        <v>3033</v>
      </c>
      <c r="Q1010" t="s">
        <v>82</v>
      </c>
      <c r="R1010" t="s">
        <v>75</v>
      </c>
      <c r="S1010" t="s">
        <v>7354</v>
      </c>
    </row>
    <row r="1011" spans="16:19" x14ac:dyDescent="0.25">
      <c r="P1011">
        <v>1086</v>
      </c>
      <c r="Q1011" t="s">
        <v>82</v>
      </c>
      <c r="R1011" t="s">
        <v>75</v>
      </c>
      <c r="S1011" t="s">
        <v>7354</v>
      </c>
    </row>
    <row r="1012" spans="16:19" x14ac:dyDescent="0.25">
      <c r="P1012">
        <v>1972</v>
      </c>
      <c r="Q1012" t="s">
        <v>82</v>
      </c>
      <c r="R1012" t="s">
        <v>75</v>
      </c>
      <c r="S1012" t="s">
        <v>7354</v>
      </c>
    </row>
    <row r="1013" spans="16:19" x14ac:dyDescent="0.25">
      <c r="P1013">
        <v>936</v>
      </c>
      <c r="Q1013" t="s">
        <v>82</v>
      </c>
      <c r="R1013" t="s">
        <v>75</v>
      </c>
      <c r="S1013" t="s">
        <v>7354</v>
      </c>
    </row>
    <row r="1014" spans="16:19" x14ac:dyDescent="0.25">
      <c r="P1014">
        <v>3794</v>
      </c>
      <c r="Q1014" t="s">
        <v>82</v>
      </c>
      <c r="R1014" t="s">
        <v>75</v>
      </c>
      <c r="S1014" t="s">
        <v>7354</v>
      </c>
    </row>
    <row r="1015" spans="16:19" x14ac:dyDescent="0.25">
      <c r="P1015">
        <v>3110</v>
      </c>
      <c r="Q1015" t="s">
        <v>82</v>
      </c>
      <c r="R1015" t="s">
        <v>75</v>
      </c>
      <c r="S1015" t="s">
        <v>7354</v>
      </c>
    </row>
    <row r="1016" spans="16:19" x14ac:dyDescent="0.25">
      <c r="P1016">
        <v>1712</v>
      </c>
      <c r="Q1016" t="s">
        <v>82</v>
      </c>
      <c r="R1016" t="s">
        <v>75</v>
      </c>
      <c r="S1016" t="s">
        <v>7354</v>
      </c>
    </row>
    <row r="1017" spans="16:19" x14ac:dyDescent="0.25">
      <c r="P1017">
        <v>878</v>
      </c>
      <c r="Q1017" t="s">
        <v>82</v>
      </c>
      <c r="R1017" t="s">
        <v>75</v>
      </c>
      <c r="S1017" t="s">
        <v>7354</v>
      </c>
    </row>
    <row r="1018" spans="16:19" x14ac:dyDescent="0.25">
      <c r="P1018">
        <v>4674</v>
      </c>
      <c r="Q1018" t="s">
        <v>82</v>
      </c>
      <c r="R1018" t="s">
        <v>75</v>
      </c>
      <c r="S1018" t="s">
        <v>7354</v>
      </c>
    </row>
    <row r="1019" spans="16:19" x14ac:dyDescent="0.25">
      <c r="P1019">
        <v>640</v>
      </c>
      <c r="Q1019" t="s">
        <v>83</v>
      </c>
      <c r="R1019" t="s">
        <v>75</v>
      </c>
      <c r="S1019" t="s">
        <v>7354</v>
      </c>
    </row>
    <row r="1020" spans="16:19" x14ac:dyDescent="0.25">
      <c r="P1020">
        <v>3884</v>
      </c>
      <c r="Q1020" t="s">
        <v>83</v>
      </c>
      <c r="R1020" t="s">
        <v>75</v>
      </c>
      <c r="S1020" t="s">
        <v>7354</v>
      </c>
    </row>
    <row r="1021" spans="16:19" x14ac:dyDescent="0.25">
      <c r="P1021">
        <v>899</v>
      </c>
      <c r="Q1021" t="s">
        <v>83</v>
      </c>
      <c r="R1021" t="s">
        <v>75</v>
      </c>
      <c r="S1021" t="s">
        <v>7354</v>
      </c>
    </row>
    <row r="1022" spans="16:19" x14ac:dyDescent="0.25">
      <c r="P1022">
        <v>1904</v>
      </c>
      <c r="Q1022" t="s">
        <v>83</v>
      </c>
      <c r="R1022" t="s">
        <v>75</v>
      </c>
      <c r="S1022" t="s">
        <v>7354</v>
      </c>
    </row>
    <row r="1023" spans="16:19" x14ac:dyDescent="0.25">
      <c r="P1023">
        <v>4711</v>
      </c>
      <c r="Q1023" t="s">
        <v>83</v>
      </c>
      <c r="R1023" t="s">
        <v>75</v>
      </c>
      <c r="S1023" t="s">
        <v>7354</v>
      </c>
    </row>
    <row r="1024" spans="16:19" x14ac:dyDescent="0.25">
      <c r="P1024">
        <v>1064</v>
      </c>
      <c r="Q1024" t="s">
        <v>83</v>
      </c>
      <c r="R1024" t="s">
        <v>75</v>
      </c>
      <c r="S1024" t="s">
        <v>7354</v>
      </c>
    </row>
    <row r="1025" spans="16:19" x14ac:dyDescent="0.25">
      <c r="P1025">
        <v>6710</v>
      </c>
      <c r="Q1025" t="s">
        <v>83</v>
      </c>
      <c r="R1025" t="s">
        <v>75</v>
      </c>
      <c r="S1025" t="s">
        <v>7354</v>
      </c>
    </row>
    <row r="1026" spans="16:19" x14ac:dyDescent="0.25">
      <c r="P1026">
        <v>5960</v>
      </c>
      <c r="Q1026" t="s">
        <v>83</v>
      </c>
      <c r="R1026" t="s">
        <v>75</v>
      </c>
      <c r="S1026" t="s">
        <v>7354</v>
      </c>
    </row>
    <row r="1027" spans="16:19" x14ac:dyDescent="0.25">
      <c r="P1027">
        <v>3636</v>
      </c>
      <c r="Q1027" t="s">
        <v>83</v>
      </c>
      <c r="R1027" t="s">
        <v>75</v>
      </c>
      <c r="S1027" t="s">
        <v>7354</v>
      </c>
    </row>
    <row r="1028" spans="16:19" x14ac:dyDescent="0.25">
      <c r="P1028">
        <v>2287</v>
      </c>
      <c r="Q1028" t="s">
        <v>83</v>
      </c>
      <c r="R1028" t="s">
        <v>75</v>
      </c>
      <c r="S1028" t="s">
        <v>7354</v>
      </c>
    </row>
    <row r="1029" spans="16:19" x14ac:dyDescent="0.25">
      <c r="P1029">
        <v>488</v>
      </c>
      <c r="Q1029" t="s">
        <v>83</v>
      </c>
      <c r="R1029" t="s">
        <v>75</v>
      </c>
      <c r="S1029" t="s">
        <v>7354</v>
      </c>
    </row>
    <row r="1030" spans="16:19" x14ac:dyDescent="0.25">
      <c r="P1030">
        <v>5390</v>
      </c>
      <c r="Q1030" t="s">
        <v>83</v>
      </c>
      <c r="R1030" t="s">
        <v>75</v>
      </c>
      <c r="S1030" t="s">
        <v>7354</v>
      </c>
    </row>
    <row r="1031" spans="16:19" x14ac:dyDescent="0.25">
      <c r="P1031">
        <v>2903</v>
      </c>
      <c r="Q1031" t="s">
        <v>83</v>
      </c>
      <c r="R1031" t="s">
        <v>75</v>
      </c>
      <c r="S1031" t="s">
        <v>7354</v>
      </c>
    </row>
    <row r="1032" spans="16:19" x14ac:dyDescent="0.25">
      <c r="P1032">
        <v>658</v>
      </c>
      <c r="Q1032" t="s">
        <v>83</v>
      </c>
      <c r="R1032" t="s">
        <v>75</v>
      </c>
      <c r="S1032" t="s">
        <v>7354</v>
      </c>
    </row>
    <row r="1033" spans="16:19" x14ac:dyDescent="0.25">
      <c r="P1033">
        <v>1874</v>
      </c>
      <c r="Q1033" t="s">
        <v>83</v>
      </c>
      <c r="R1033" t="s">
        <v>75</v>
      </c>
      <c r="S1033" t="s">
        <v>7354</v>
      </c>
    </row>
    <row r="1034" spans="16:19" x14ac:dyDescent="0.25">
      <c r="P1034">
        <v>357</v>
      </c>
      <c r="Q1034" t="s">
        <v>83</v>
      </c>
      <c r="R1034" t="s">
        <v>75</v>
      </c>
      <c r="S1034" t="s">
        <v>7354</v>
      </c>
    </row>
    <row r="1035" spans="16:19" x14ac:dyDescent="0.25">
      <c r="P1035">
        <v>2898</v>
      </c>
      <c r="Q1035" t="s">
        <v>83</v>
      </c>
      <c r="R1035" t="s">
        <v>75</v>
      </c>
      <c r="S1035" t="s">
        <v>7354</v>
      </c>
    </row>
    <row r="1036" spans="16:19" x14ac:dyDescent="0.25">
      <c r="P1036">
        <v>2245</v>
      </c>
      <c r="Q1036" t="s">
        <v>83</v>
      </c>
      <c r="R1036" t="s">
        <v>75</v>
      </c>
      <c r="S1036" t="s">
        <v>7354</v>
      </c>
    </row>
    <row r="1037" spans="16:19" x14ac:dyDescent="0.25">
      <c r="P1037">
        <v>863</v>
      </c>
      <c r="Q1037" t="s">
        <v>83</v>
      </c>
      <c r="R1037" t="s">
        <v>75</v>
      </c>
      <c r="S1037" t="s">
        <v>7354</v>
      </c>
    </row>
    <row r="1038" spans="16:19" x14ac:dyDescent="0.25">
      <c r="P1038">
        <v>1968</v>
      </c>
      <c r="Q1038" t="s">
        <v>83</v>
      </c>
      <c r="R1038" t="s">
        <v>75</v>
      </c>
      <c r="S1038" t="s">
        <v>7354</v>
      </c>
    </row>
    <row r="1039" spans="16:19" x14ac:dyDescent="0.25">
      <c r="P1039">
        <v>819</v>
      </c>
      <c r="Q1039" t="s">
        <v>83</v>
      </c>
      <c r="R1039" t="s">
        <v>75</v>
      </c>
      <c r="S1039" t="s">
        <v>7354</v>
      </c>
    </row>
    <row r="1040" spans="16:19" x14ac:dyDescent="0.25">
      <c r="P1040">
        <v>2950</v>
      </c>
      <c r="Q1040" t="s">
        <v>83</v>
      </c>
      <c r="R1040" t="s">
        <v>75</v>
      </c>
      <c r="S1040" t="s">
        <v>7354</v>
      </c>
    </row>
    <row r="1041" spans="16:19" x14ac:dyDescent="0.25">
      <c r="P1041">
        <v>2397</v>
      </c>
      <c r="Q1041" t="s">
        <v>83</v>
      </c>
      <c r="R1041" t="s">
        <v>75</v>
      </c>
      <c r="S1041" t="s">
        <v>7354</v>
      </c>
    </row>
    <row r="1042" spans="16:19" x14ac:dyDescent="0.25">
      <c r="P1042">
        <v>1248</v>
      </c>
      <c r="Q1042" t="s">
        <v>84</v>
      </c>
      <c r="R1042" t="s">
        <v>75</v>
      </c>
      <c r="S1042" t="s">
        <v>7354</v>
      </c>
    </row>
    <row r="1043" spans="16:19" x14ac:dyDescent="0.25">
      <c r="P1043">
        <v>17748</v>
      </c>
      <c r="Q1043" t="s">
        <v>84</v>
      </c>
      <c r="R1043" t="s">
        <v>75</v>
      </c>
      <c r="S1043" t="s">
        <v>7354</v>
      </c>
    </row>
    <row r="1044" spans="16:19" x14ac:dyDescent="0.25">
      <c r="P1044">
        <v>6822</v>
      </c>
      <c r="Q1044" t="s">
        <v>84</v>
      </c>
      <c r="R1044" t="s">
        <v>75</v>
      </c>
      <c r="S1044" t="s">
        <v>7354</v>
      </c>
    </row>
    <row r="1045" spans="16:19" x14ac:dyDescent="0.25">
      <c r="P1045">
        <v>1118</v>
      </c>
      <c r="Q1045" t="s">
        <v>84</v>
      </c>
      <c r="R1045" t="s">
        <v>75</v>
      </c>
      <c r="S1045" t="s">
        <v>7354</v>
      </c>
    </row>
    <row r="1046" spans="16:19" x14ac:dyDescent="0.25">
      <c r="P1046">
        <v>12025</v>
      </c>
      <c r="Q1046" t="s">
        <v>84</v>
      </c>
      <c r="R1046" t="s">
        <v>75</v>
      </c>
      <c r="S1046" t="s">
        <v>7354</v>
      </c>
    </row>
    <row r="1047" spans="16:19" x14ac:dyDescent="0.25">
      <c r="P1047">
        <v>1426</v>
      </c>
      <c r="Q1047" t="s">
        <v>84</v>
      </c>
      <c r="R1047" t="s">
        <v>75</v>
      </c>
      <c r="S1047" t="s">
        <v>7354</v>
      </c>
    </row>
    <row r="1048" spans="16:19" x14ac:dyDescent="0.25">
      <c r="P1048">
        <v>6386</v>
      </c>
      <c r="Q1048" t="s">
        <v>84</v>
      </c>
      <c r="R1048" t="s">
        <v>75</v>
      </c>
      <c r="S1048" t="s">
        <v>7354</v>
      </c>
    </row>
    <row r="1049" spans="16:19" x14ac:dyDescent="0.25">
      <c r="P1049">
        <v>2040</v>
      </c>
      <c r="Q1049" t="s">
        <v>84</v>
      </c>
      <c r="R1049" t="s">
        <v>75</v>
      </c>
      <c r="S1049" t="s">
        <v>7354</v>
      </c>
    </row>
    <row r="1050" spans="16:19" x14ac:dyDescent="0.25">
      <c r="P1050">
        <v>3051</v>
      </c>
      <c r="Q1050" t="s">
        <v>84</v>
      </c>
      <c r="R1050" t="s">
        <v>75</v>
      </c>
      <c r="S1050" t="s">
        <v>7354</v>
      </c>
    </row>
    <row r="1051" spans="16:19" x14ac:dyDescent="0.25">
      <c r="P1051">
        <v>2569</v>
      </c>
      <c r="Q1051" t="s">
        <v>84</v>
      </c>
      <c r="R1051" t="s">
        <v>75</v>
      </c>
      <c r="S1051" t="s">
        <v>7354</v>
      </c>
    </row>
    <row r="1052" spans="16:19" x14ac:dyDescent="0.25">
      <c r="P1052">
        <v>3573</v>
      </c>
      <c r="Q1052" t="s">
        <v>84</v>
      </c>
      <c r="R1052" t="s">
        <v>75</v>
      </c>
      <c r="S1052" t="s">
        <v>7354</v>
      </c>
    </row>
    <row r="1053" spans="16:19" x14ac:dyDescent="0.25">
      <c r="P1053">
        <v>28967</v>
      </c>
      <c r="Q1053" t="s">
        <v>84</v>
      </c>
      <c r="R1053" t="s">
        <v>75</v>
      </c>
      <c r="S1053" t="s">
        <v>7354</v>
      </c>
    </row>
    <row r="1054" spans="16:19" x14ac:dyDescent="0.25">
      <c r="P1054">
        <v>6278</v>
      </c>
      <c r="Q1054" t="s">
        <v>84</v>
      </c>
      <c r="R1054" t="s">
        <v>75</v>
      </c>
      <c r="S1054" t="s">
        <v>7354</v>
      </c>
    </row>
    <row r="1055" spans="16:19" x14ac:dyDescent="0.25">
      <c r="P1055">
        <v>6747</v>
      </c>
      <c r="Q1055" t="s">
        <v>84</v>
      </c>
      <c r="R1055" t="s">
        <v>75</v>
      </c>
      <c r="S1055" t="s">
        <v>7354</v>
      </c>
    </row>
    <row r="1056" spans="16:19" x14ac:dyDescent="0.25">
      <c r="P1056">
        <v>2120</v>
      </c>
      <c r="Q1056" t="s">
        <v>84</v>
      </c>
      <c r="R1056" t="s">
        <v>75</v>
      </c>
      <c r="S1056" t="s">
        <v>7354</v>
      </c>
    </row>
    <row r="1057" spans="16:19" x14ac:dyDescent="0.25">
      <c r="P1057">
        <v>2122</v>
      </c>
      <c r="Q1057" t="s">
        <v>84</v>
      </c>
      <c r="R1057" t="s">
        <v>75</v>
      </c>
      <c r="S1057" t="s">
        <v>7354</v>
      </c>
    </row>
    <row r="1058" spans="16:19" x14ac:dyDescent="0.25">
      <c r="P1058">
        <v>7687</v>
      </c>
      <c r="Q1058" t="s">
        <v>84</v>
      </c>
      <c r="R1058" t="s">
        <v>75</v>
      </c>
      <c r="S1058" t="s">
        <v>7354</v>
      </c>
    </row>
    <row r="1059" spans="16:19" x14ac:dyDescent="0.25">
      <c r="P1059">
        <v>1869</v>
      </c>
      <c r="Q1059" t="s">
        <v>84</v>
      </c>
      <c r="R1059" t="s">
        <v>75</v>
      </c>
      <c r="S1059" t="s">
        <v>7354</v>
      </c>
    </row>
    <row r="1060" spans="16:19" x14ac:dyDescent="0.25">
      <c r="P1060">
        <v>4154</v>
      </c>
      <c r="Q1060" t="s">
        <v>84</v>
      </c>
      <c r="R1060" t="s">
        <v>75</v>
      </c>
      <c r="S1060" t="s">
        <v>7354</v>
      </c>
    </row>
    <row r="1061" spans="16:19" x14ac:dyDescent="0.25">
      <c r="P1061">
        <v>4903</v>
      </c>
      <c r="Q1061" t="s">
        <v>84</v>
      </c>
      <c r="R1061" t="s">
        <v>75</v>
      </c>
      <c r="S1061" t="s">
        <v>7354</v>
      </c>
    </row>
    <row r="1062" spans="16:19" x14ac:dyDescent="0.25">
      <c r="P1062">
        <v>24926</v>
      </c>
      <c r="Q1062" t="s">
        <v>84</v>
      </c>
      <c r="R1062" t="s">
        <v>75</v>
      </c>
      <c r="S1062" t="s">
        <v>7354</v>
      </c>
    </row>
    <row r="1063" spans="16:19" x14ac:dyDescent="0.25">
      <c r="P1063">
        <v>5832</v>
      </c>
      <c r="Q1063" t="s">
        <v>84</v>
      </c>
      <c r="R1063" t="s">
        <v>75</v>
      </c>
      <c r="S1063" t="s">
        <v>7354</v>
      </c>
    </row>
    <row r="1064" spans="16:19" x14ac:dyDescent="0.25">
      <c r="P1064">
        <v>1256</v>
      </c>
      <c r="Q1064" t="s">
        <v>85</v>
      </c>
      <c r="R1064" t="s">
        <v>75</v>
      </c>
      <c r="S1064" t="s">
        <v>7354</v>
      </c>
    </row>
    <row r="1065" spans="16:19" x14ac:dyDescent="0.25">
      <c r="P1065">
        <v>1553</v>
      </c>
      <c r="Q1065" t="s">
        <v>85</v>
      </c>
      <c r="R1065" t="s">
        <v>75</v>
      </c>
      <c r="S1065" t="s">
        <v>7354</v>
      </c>
    </row>
    <row r="1066" spans="16:19" x14ac:dyDescent="0.25">
      <c r="P1066">
        <v>1805</v>
      </c>
      <c r="Q1066" t="s">
        <v>85</v>
      </c>
      <c r="R1066" t="s">
        <v>75</v>
      </c>
      <c r="S1066" t="s">
        <v>7354</v>
      </c>
    </row>
    <row r="1067" spans="16:19" x14ac:dyDescent="0.25">
      <c r="P1067">
        <v>969</v>
      </c>
      <c r="Q1067" t="s">
        <v>85</v>
      </c>
      <c r="R1067" t="s">
        <v>75</v>
      </c>
      <c r="S1067" t="s">
        <v>7354</v>
      </c>
    </row>
    <row r="1068" spans="16:19" x14ac:dyDescent="0.25">
      <c r="P1068">
        <v>2913</v>
      </c>
      <c r="Q1068" t="s">
        <v>85</v>
      </c>
      <c r="R1068" t="s">
        <v>75</v>
      </c>
      <c r="S1068" t="s">
        <v>7354</v>
      </c>
    </row>
    <row r="1069" spans="16:19" x14ac:dyDescent="0.25">
      <c r="P1069">
        <v>3244</v>
      </c>
      <c r="Q1069" t="s">
        <v>85</v>
      </c>
      <c r="R1069" t="s">
        <v>75</v>
      </c>
      <c r="S1069" t="s">
        <v>7354</v>
      </c>
    </row>
    <row r="1070" spans="16:19" x14ac:dyDescent="0.25">
      <c r="P1070">
        <v>955</v>
      </c>
      <c r="Q1070" t="s">
        <v>85</v>
      </c>
      <c r="R1070" t="s">
        <v>75</v>
      </c>
      <c r="S1070" t="s">
        <v>7354</v>
      </c>
    </row>
    <row r="1071" spans="16:19" x14ac:dyDescent="0.25">
      <c r="P1071">
        <v>2313</v>
      </c>
      <c r="Q1071" t="s">
        <v>85</v>
      </c>
      <c r="R1071" t="s">
        <v>75</v>
      </c>
      <c r="S1071" t="s">
        <v>7354</v>
      </c>
    </row>
    <row r="1072" spans="16:19" x14ac:dyDescent="0.25">
      <c r="P1072">
        <v>2535</v>
      </c>
      <c r="Q1072" t="s">
        <v>85</v>
      </c>
      <c r="R1072" t="s">
        <v>75</v>
      </c>
      <c r="S1072" t="s">
        <v>7354</v>
      </c>
    </row>
    <row r="1073" spans="16:19" x14ac:dyDescent="0.25">
      <c r="P1073">
        <v>4362</v>
      </c>
      <c r="Q1073" t="s">
        <v>85</v>
      </c>
      <c r="R1073" t="s">
        <v>75</v>
      </c>
      <c r="S1073" t="s">
        <v>7354</v>
      </c>
    </row>
    <row r="1074" spans="16:19" x14ac:dyDescent="0.25">
      <c r="P1074">
        <v>4951</v>
      </c>
      <c r="Q1074" t="s">
        <v>85</v>
      </c>
      <c r="R1074" t="s">
        <v>75</v>
      </c>
      <c r="S1074" t="s">
        <v>7354</v>
      </c>
    </row>
    <row r="1075" spans="16:19" x14ac:dyDescent="0.25">
      <c r="P1075">
        <v>1771</v>
      </c>
      <c r="Q1075" t="s">
        <v>85</v>
      </c>
      <c r="R1075" t="s">
        <v>75</v>
      </c>
      <c r="S1075" t="s">
        <v>7354</v>
      </c>
    </row>
    <row r="1076" spans="16:19" x14ac:dyDescent="0.25">
      <c r="P1076">
        <v>1849</v>
      </c>
      <c r="Q1076" t="s">
        <v>85</v>
      </c>
      <c r="R1076" t="s">
        <v>75</v>
      </c>
      <c r="S1076" t="s">
        <v>7354</v>
      </c>
    </row>
    <row r="1077" spans="16:19" x14ac:dyDescent="0.25">
      <c r="P1077">
        <v>3705</v>
      </c>
      <c r="Q1077" t="s">
        <v>85</v>
      </c>
      <c r="R1077" t="s">
        <v>75</v>
      </c>
      <c r="S1077" t="s">
        <v>7354</v>
      </c>
    </row>
    <row r="1078" spans="16:19" x14ac:dyDescent="0.25">
      <c r="P1078">
        <v>1679</v>
      </c>
      <c r="Q1078" t="s">
        <v>85</v>
      </c>
      <c r="R1078" t="s">
        <v>75</v>
      </c>
      <c r="S1078" t="s">
        <v>7354</v>
      </c>
    </row>
    <row r="1079" spans="16:19" x14ac:dyDescent="0.25">
      <c r="P1079">
        <v>9004</v>
      </c>
      <c r="Q1079" t="s">
        <v>85</v>
      </c>
      <c r="R1079" t="s">
        <v>75</v>
      </c>
      <c r="S1079" t="s">
        <v>7354</v>
      </c>
    </row>
    <row r="1080" spans="16:19" x14ac:dyDescent="0.25">
      <c r="P1080">
        <v>1017</v>
      </c>
      <c r="Q1080" t="s">
        <v>85</v>
      </c>
      <c r="R1080" t="s">
        <v>75</v>
      </c>
      <c r="S1080" t="s">
        <v>7354</v>
      </c>
    </row>
    <row r="1081" spans="16:19" x14ac:dyDescent="0.25">
      <c r="P1081">
        <v>4301</v>
      </c>
      <c r="Q1081" t="s">
        <v>85</v>
      </c>
      <c r="R1081" t="s">
        <v>75</v>
      </c>
      <c r="S1081" t="s">
        <v>7354</v>
      </c>
    </row>
    <row r="1082" spans="16:19" x14ac:dyDescent="0.25">
      <c r="P1082">
        <v>1973</v>
      </c>
      <c r="Q1082" t="s">
        <v>85</v>
      </c>
      <c r="R1082" t="s">
        <v>75</v>
      </c>
      <c r="S1082" t="s">
        <v>7354</v>
      </c>
    </row>
    <row r="1083" spans="16:19" x14ac:dyDescent="0.25">
      <c r="P1083">
        <v>4451</v>
      </c>
      <c r="Q1083" t="s">
        <v>85</v>
      </c>
      <c r="R1083" t="s">
        <v>75</v>
      </c>
      <c r="S1083" t="s">
        <v>7354</v>
      </c>
    </row>
    <row r="1084" spans="16:19" x14ac:dyDescent="0.25">
      <c r="P1084">
        <v>822</v>
      </c>
      <c r="Q1084" t="s">
        <v>85</v>
      </c>
      <c r="R1084" t="s">
        <v>75</v>
      </c>
      <c r="S1084" t="s">
        <v>7354</v>
      </c>
    </row>
    <row r="1085" spans="16:19" x14ac:dyDescent="0.25">
      <c r="P1085">
        <v>928</v>
      </c>
      <c r="Q1085" t="s">
        <v>85</v>
      </c>
      <c r="R1085" t="s">
        <v>75</v>
      </c>
      <c r="S1085" t="s">
        <v>7354</v>
      </c>
    </row>
    <row r="1086" spans="16:19" x14ac:dyDescent="0.25">
      <c r="P1086">
        <v>1723</v>
      </c>
      <c r="Q1086" t="s">
        <v>85</v>
      </c>
      <c r="R1086" t="s">
        <v>75</v>
      </c>
      <c r="S1086" t="s">
        <v>7354</v>
      </c>
    </row>
    <row r="1087" spans="16:19" x14ac:dyDescent="0.25">
      <c r="P1087">
        <v>5372</v>
      </c>
      <c r="Q1087" t="s">
        <v>85</v>
      </c>
      <c r="R1087" t="s">
        <v>75</v>
      </c>
      <c r="S1087" t="s">
        <v>7354</v>
      </c>
    </row>
    <row r="1088" spans="16:19" x14ac:dyDescent="0.25">
      <c r="P1088">
        <v>2851</v>
      </c>
      <c r="Q1088" t="s">
        <v>85</v>
      </c>
      <c r="R1088" t="s">
        <v>75</v>
      </c>
      <c r="S1088" t="s">
        <v>7354</v>
      </c>
    </row>
    <row r="1089" spans="16:19" x14ac:dyDescent="0.25">
      <c r="P1089">
        <v>1525</v>
      </c>
      <c r="Q1089" t="s">
        <v>85</v>
      </c>
      <c r="R1089" t="s">
        <v>75</v>
      </c>
      <c r="S1089" t="s">
        <v>7354</v>
      </c>
    </row>
    <row r="1090" spans="16:19" x14ac:dyDescent="0.25">
      <c r="P1090">
        <v>790</v>
      </c>
      <c r="Q1090" t="s">
        <v>86</v>
      </c>
      <c r="R1090" t="s">
        <v>75</v>
      </c>
      <c r="S1090" t="s">
        <v>7354</v>
      </c>
    </row>
    <row r="1091" spans="16:19" x14ac:dyDescent="0.25">
      <c r="P1091">
        <v>1069</v>
      </c>
      <c r="Q1091" t="s">
        <v>86</v>
      </c>
      <c r="R1091" t="s">
        <v>75</v>
      </c>
      <c r="S1091" t="s">
        <v>7354</v>
      </c>
    </row>
    <row r="1092" spans="16:19" x14ac:dyDescent="0.25">
      <c r="P1092">
        <v>3141</v>
      </c>
      <c r="Q1092" t="s">
        <v>86</v>
      </c>
      <c r="R1092" t="s">
        <v>75</v>
      </c>
      <c r="S1092" t="s">
        <v>7354</v>
      </c>
    </row>
    <row r="1093" spans="16:19" x14ac:dyDescent="0.25">
      <c r="P1093">
        <v>3444</v>
      </c>
      <c r="Q1093" t="s">
        <v>86</v>
      </c>
      <c r="R1093" t="s">
        <v>75</v>
      </c>
      <c r="S1093" t="s">
        <v>7354</v>
      </c>
    </row>
    <row r="1094" spans="16:19" x14ac:dyDescent="0.25">
      <c r="P1094">
        <v>875</v>
      </c>
      <c r="Q1094" t="s">
        <v>86</v>
      </c>
      <c r="R1094" t="s">
        <v>75</v>
      </c>
      <c r="S1094" t="s">
        <v>7354</v>
      </c>
    </row>
    <row r="1095" spans="16:19" x14ac:dyDescent="0.25">
      <c r="P1095">
        <v>505</v>
      </c>
      <c r="Q1095" t="s">
        <v>86</v>
      </c>
      <c r="R1095" t="s">
        <v>75</v>
      </c>
      <c r="S1095" t="s">
        <v>7354</v>
      </c>
    </row>
    <row r="1096" spans="16:19" x14ac:dyDescent="0.25">
      <c r="P1096">
        <v>1438</v>
      </c>
      <c r="Q1096" t="s">
        <v>86</v>
      </c>
      <c r="R1096" t="s">
        <v>75</v>
      </c>
      <c r="S1096" t="s">
        <v>7354</v>
      </c>
    </row>
    <row r="1097" spans="16:19" x14ac:dyDescent="0.25">
      <c r="P1097">
        <v>1190</v>
      </c>
      <c r="Q1097" t="s">
        <v>86</v>
      </c>
      <c r="R1097" t="s">
        <v>75</v>
      </c>
      <c r="S1097" t="s">
        <v>7354</v>
      </c>
    </row>
    <row r="1098" spans="16:19" x14ac:dyDescent="0.25">
      <c r="P1098">
        <v>2288</v>
      </c>
      <c r="Q1098" t="s">
        <v>86</v>
      </c>
      <c r="R1098" t="s">
        <v>75</v>
      </c>
      <c r="S1098" t="s">
        <v>7354</v>
      </c>
    </row>
    <row r="1099" spans="16:19" x14ac:dyDescent="0.25">
      <c r="P1099">
        <v>641</v>
      </c>
      <c r="Q1099" t="s">
        <v>86</v>
      </c>
      <c r="R1099" t="s">
        <v>75</v>
      </c>
      <c r="S1099" t="s">
        <v>7354</v>
      </c>
    </row>
    <row r="1100" spans="16:19" x14ac:dyDescent="0.25">
      <c r="P1100">
        <v>753</v>
      </c>
      <c r="Q1100" t="s">
        <v>86</v>
      </c>
      <c r="R1100" t="s">
        <v>75</v>
      </c>
      <c r="S1100" t="s">
        <v>7354</v>
      </c>
    </row>
    <row r="1101" spans="16:19" x14ac:dyDescent="0.25">
      <c r="P1101">
        <v>1297</v>
      </c>
      <c r="Q1101" t="s">
        <v>86</v>
      </c>
      <c r="R1101" t="s">
        <v>75</v>
      </c>
      <c r="S1101" t="s">
        <v>7354</v>
      </c>
    </row>
    <row r="1102" spans="16:19" x14ac:dyDescent="0.25">
      <c r="P1102">
        <v>2196</v>
      </c>
      <c r="Q1102" t="s">
        <v>86</v>
      </c>
      <c r="R1102" t="s">
        <v>75</v>
      </c>
      <c r="S1102" t="s">
        <v>7354</v>
      </c>
    </row>
    <row r="1103" spans="16:19" x14ac:dyDescent="0.25">
      <c r="P1103">
        <v>2345</v>
      </c>
      <c r="Q1103" t="s">
        <v>86</v>
      </c>
      <c r="R1103" t="s">
        <v>75</v>
      </c>
      <c r="S1103" t="s">
        <v>7354</v>
      </c>
    </row>
    <row r="1104" spans="16:19" x14ac:dyDescent="0.25">
      <c r="P1104">
        <v>2389</v>
      </c>
      <c r="Q1104" t="s">
        <v>86</v>
      </c>
      <c r="R1104" t="s">
        <v>75</v>
      </c>
      <c r="S1104" t="s">
        <v>7354</v>
      </c>
    </row>
    <row r="1105" spans="16:19" x14ac:dyDescent="0.25">
      <c r="P1105">
        <v>336</v>
      </c>
      <c r="Q1105" t="s">
        <v>86</v>
      </c>
      <c r="R1105" t="s">
        <v>75</v>
      </c>
      <c r="S1105" t="s">
        <v>7354</v>
      </c>
    </row>
    <row r="1106" spans="16:19" x14ac:dyDescent="0.25">
      <c r="P1106">
        <v>679</v>
      </c>
      <c r="Q1106" t="s">
        <v>86</v>
      </c>
      <c r="R1106" t="s">
        <v>75</v>
      </c>
      <c r="S1106" t="s">
        <v>7354</v>
      </c>
    </row>
    <row r="1107" spans="16:19" x14ac:dyDescent="0.25">
      <c r="P1107">
        <v>2498</v>
      </c>
      <c r="Q1107" t="s">
        <v>86</v>
      </c>
      <c r="R1107" t="s">
        <v>75</v>
      </c>
      <c r="S1107" t="s">
        <v>7354</v>
      </c>
    </row>
    <row r="1108" spans="16:19" x14ac:dyDescent="0.25">
      <c r="P1108">
        <v>1655</v>
      </c>
      <c r="Q1108" t="s">
        <v>86</v>
      </c>
      <c r="R1108" t="s">
        <v>75</v>
      </c>
      <c r="S1108" t="s">
        <v>7354</v>
      </c>
    </row>
    <row r="1109" spans="16:19" x14ac:dyDescent="0.25">
      <c r="P1109">
        <v>1332</v>
      </c>
      <c r="Q1109" t="s">
        <v>86</v>
      </c>
      <c r="R1109" t="s">
        <v>75</v>
      </c>
      <c r="S1109" t="s">
        <v>7354</v>
      </c>
    </row>
    <row r="1110" spans="16:19" x14ac:dyDescent="0.25">
      <c r="P1110">
        <v>1052</v>
      </c>
      <c r="Q1110" t="s">
        <v>86</v>
      </c>
      <c r="R1110" t="s">
        <v>75</v>
      </c>
      <c r="S1110" t="s">
        <v>7354</v>
      </c>
    </row>
    <row r="1111" spans="16:19" x14ac:dyDescent="0.25">
      <c r="P1111">
        <v>660</v>
      </c>
      <c r="Q1111" t="s">
        <v>86</v>
      </c>
      <c r="R1111" t="s">
        <v>75</v>
      </c>
      <c r="S1111" t="s">
        <v>7354</v>
      </c>
    </row>
    <row r="1112" spans="16:19" x14ac:dyDescent="0.25">
      <c r="P1112">
        <v>1013</v>
      </c>
      <c r="Q1112" t="s">
        <v>86</v>
      </c>
      <c r="R1112" t="s">
        <v>75</v>
      </c>
      <c r="S1112" t="s">
        <v>7354</v>
      </c>
    </row>
    <row r="1113" spans="16:19" x14ac:dyDescent="0.25">
      <c r="P1113">
        <v>1600</v>
      </c>
      <c r="Q1113" t="s">
        <v>86</v>
      </c>
      <c r="R1113" t="s">
        <v>75</v>
      </c>
      <c r="S1113" t="s">
        <v>7354</v>
      </c>
    </row>
    <row r="1114" spans="16:19" x14ac:dyDescent="0.25">
      <c r="P1114">
        <v>12432</v>
      </c>
      <c r="Q1114" t="s">
        <v>86</v>
      </c>
      <c r="R1114" t="s">
        <v>75</v>
      </c>
      <c r="S1114" t="s">
        <v>7354</v>
      </c>
    </row>
    <row r="1115" spans="16:19" x14ac:dyDescent="0.25">
      <c r="P1115">
        <v>545</v>
      </c>
      <c r="Q1115" t="s">
        <v>86</v>
      </c>
      <c r="R1115" t="s">
        <v>75</v>
      </c>
      <c r="S1115" t="s">
        <v>7354</v>
      </c>
    </row>
    <row r="1116" spans="16:19" x14ac:dyDescent="0.25">
      <c r="P1116">
        <v>905</v>
      </c>
      <c r="Q1116" t="s">
        <v>86</v>
      </c>
      <c r="R1116" t="s">
        <v>75</v>
      </c>
      <c r="S1116" t="s">
        <v>7354</v>
      </c>
    </row>
    <row r="1117" spans="16:19" x14ac:dyDescent="0.25">
      <c r="P1117">
        <v>2132</v>
      </c>
      <c r="Q1117" t="s">
        <v>86</v>
      </c>
      <c r="R1117" t="s">
        <v>75</v>
      </c>
      <c r="S1117" t="s">
        <v>7354</v>
      </c>
    </row>
    <row r="1118" spans="16:19" x14ac:dyDescent="0.25">
      <c r="P1118">
        <v>1220</v>
      </c>
      <c r="Q1118" t="s">
        <v>86</v>
      </c>
      <c r="R1118" t="s">
        <v>75</v>
      </c>
      <c r="S1118" t="s">
        <v>7354</v>
      </c>
    </row>
    <row r="1119" spans="16:19" x14ac:dyDescent="0.25">
      <c r="P1119">
        <v>786</v>
      </c>
      <c r="Q1119" t="s">
        <v>86</v>
      </c>
      <c r="R1119" t="s">
        <v>75</v>
      </c>
      <c r="S1119" t="s">
        <v>7354</v>
      </c>
    </row>
    <row r="1120" spans="16:19" x14ac:dyDescent="0.25">
      <c r="P1120">
        <v>2400</v>
      </c>
      <c r="Q1120" t="s">
        <v>86</v>
      </c>
      <c r="R1120" t="s">
        <v>75</v>
      </c>
      <c r="S1120" t="s">
        <v>7354</v>
      </c>
    </row>
    <row r="1121" spans="16:19" x14ac:dyDescent="0.25">
      <c r="P1121">
        <v>1575</v>
      </c>
      <c r="Q1121" t="s">
        <v>86</v>
      </c>
      <c r="R1121" t="s">
        <v>75</v>
      </c>
      <c r="S1121" t="s">
        <v>7354</v>
      </c>
    </row>
    <row r="1122" spans="16:19" x14ac:dyDescent="0.25">
      <c r="P1122">
        <v>1622</v>
      </c>
      <c r="Q1122" t="s">
        <v>86</v>
      </c>
      <c r="R1122" t="s">
        <v>75</v>
      </c>
      <c r="S1122" t="s">
        <v>7354</v>
      </c>
    </row>
    <row r="1123" spans="16:19" x14ac:dyDescent="0.25">
      <c r="P1123">
        <v>2277</v>
      </c>
      <c r="Q1123" t="s">
        <v>86</v>
      </c>
      <c r="R1123" t="s">
        <v>75</v>
      </c>
      <c r="S1123" t="s">
        <v>7354</v>
      </c>
    </row>
    <row r="1124" spans="16:19" x14ac:dyDescent="0.25">
      <c r="P1124">
        <v>613</v>
      </c>
      <c r="Q1124" t="s">
        <v>86</v>
      </c>
      <c r="R1124" t="s">
        <v>75</v>
      </c>
      <c r="S1124" t="s">
        <v>7354</v>
      </c>
    </row>
    <row r="1125" spans="16:19" x14ac:dyDescent="0.25">
      <c r="P1125">
        <v>559</v>
      </c>
      <c r="Q1125" t="s">
        <v>86</v>
      </c>
      <c r="R1125" t="s">
        <v>75</v>
      </c>
      <c r="S1125" t="s">
        <v>7354</v>
      </c>
    </row>
    <row r="1126" spans="16:19" x14ac:dyDescent="0.25">
      <c r="P1126">
        <v>2287</v>
      </c>
      <c r="Q1126" t="s">
        <v>87</v>
      </c>
      <c r="R1126" t="s">
        <v>75</v>
      </c>
      <c r="S1126" t="s">
        <v>7354</v>
      </c>
    </row>
    <row r="1127" spans="16:19" x14ac:dyDescent="0.25">
      <c r="P1127">
        <v>1165</v>
      </c>
      <c r="Q1127" t="s">
        <v>87</v>
      </c>
      <c r="R1127" t="s">
        <v>75</v>
      </c>
      <c r="S1127" t="s">
        <v>7354</v>
      </c>
    </row>
    <row r="1128" spans="16:19" x14ac:dyDescent="0.25">
      <c r="P1128">
        <v>437</v>
      </c>
      <c r="Q1128" t="s">
        <v>87</v>
      </c>
      <c r="R1128" t="s">
        <v>75</v>
      </c>
      <c r="S1128" t="s">
        <v>7354</v>
      </c>
    </row>
    <row r="1129" spans="16:19" x14ac:dyDescent="0.25">
      <c r="P1129">
        <v>592</v>
      </c>
      <c r="Q1129" t="s">
        <v>87</v>
      </c>
      <c r="R1129" t="s">
        <v>75</v>
      </c>
      <c r="S1129" t="s">
        <v>7354</v>
      </c>
    </row>
    <row r="1130" spans="16:19" x14ac:dyDescent="0.25">
      <c r="P1130">
        <v>2579</v>
      </c>
      <c r="Q1130" t="s">
        <v>87</v>
      </c>
      <c r="R1130" t="s">
        <v>75</v>
      </c>
      <c r="S1130" t="s">
        <v>7354</v>
      </c>
    </row>
    <row r="1131" spans="16:19" x14ac:dyDescent="0.25">
      <c r="P1131">
        <v>408</v>
      </c>
      <c r="Q1131" t="s">
        <v>87</v>
      </c>
      <c r="R1131" t="s">
        <v>75</v>
      </c>
      <c r="S1131" t="s">
        <v>7354</v>
      </c>
    </row>
    <row r="1132" spans="16:19" x14ac:dyDescent="0.25">
      <c r="P1132">
        <v>1529</v>
      </c>
      <c r="Q1132" t="s">
        <v>87</v>
      </c>
      <c r="R1132" t="s">
        <v>75</v>
      </c>
      <c r="S1132" t="s">
        <v>7354</v>
      </c>
    </row>
    <row r="1133" spans="16:19" x14ac:dyDescent="0.25">
      <c r="P1133">
        <v>1544</v>
      </c>
      <c r="Q1133" t="s">
        <v>87</v>
      </c>
      <c r="R1133" t="s">
        <v>75</v>
      </c>
      <c r="S1133" t="s">
        <v>7354</v>
      </c>
    </row>
    <row r="1134" spans="16:19" x14ac:dyDescent="0.25">
      <c r="P1134">
        <v>1057</v>
      </c>
      <c r="Q1134" t="s">
        <v>87</v>
      </c>
      <c r="R1134" t="s">
        <v>75</v>
      </c>
      <c r="S1134" t="s">
        <v>7354</v>
      </c>
    </row>
    <row r="1135" spans="16:19" x14ac:dyDescent="0.25">
      <c r="P1135">
        <v>1311</v>
      </c>
      <c r="Q1135" t="s">
        <v>87</v>
      </c>
      <c r="R1135" t="s">
        <v>75</v>
      </c>
      <c r="S1135" t="s">
        <v>7354</v>
      </c>
    </row>
    <row r="1136" spans="16:19" x14ac:dyDescent="0.25">
      <c r="P1136">
        <v>1705</v>
      </c>
      <c r="Q1136" t="s">
        <v>87</v>
      </c>
      <c r="R1136" t="s">
        <v>75</v>
      </c>
      <c r="S1136" t="s">
        <v>7354</v>
      </c>
    </row>
    <row r="1137" spans="16:19" x14ac:dyDescent="0.25">
      <c r="P1137">
        <v>1541</v>
      </c>
      <c r="Q1137" t="s">
        <v>87</v>
      </c>
      <c r="R1137" t="s">
        <v>75</v>
      </c>
      <c r="S1137" t="s">
        <v>7354</v>
      </c>
    </row>
    <row r="1138" spans="16:19" x14ac:dyDescent="0.25">
      <c r="P1138">
        <v>1515</v>
      </c>
      <c r="Q1138" t="s">
        <v>87</v>
      </c>
      <c r="R1138" t="s">
        <v>75</v>
      </c>
      <c r="S1138" t="s">
        <v>7354</v>
      </c>
    </row>
    <row r="1139" spans="16:19" x14ac:dyDescent="0.25">
      <c r="P1139">
        <v>473</v>
      </c>
      <c r="Q1139" t="s">
        <v>87</v>
      </c>
      <c r="R1139" t="s">
        <v>75</v>
      </c>
      <c r="S1139" t="s">
        <v>7354</v>
      </c>
    </row>
    <row r="1140" spans="16:19" x14ac:dyDescent="0.25">
      <c r="P1140">
        <v>652</v>
      </c>
      <c r="Q1140" t="s">
        <v>87</v>
      </c>
      <c r="R1140" t="s">
        <v>75</v>
      </c>
      <c r="S1140" t="s">
        <v>7354</v>
      </c>
    </row>
    <row r="1141" spans="16:19" x14ac:dyDescent="0.25">
      <c r="P1141">
        <v>1223</v>
      </c>
      <c r="Q1141" t="s">
        <v>87</v>
      </c>
      <c r="R1141" t="s">
        <v>75</v>
      </c>
      <c r="S1141" t="s">
        <v>7354</v>
      </c>
    </row>
    <row r="1142" spans="16:19" x14ac:dyDescent="0.25">
      <c r="P1142">
        <v>977</v>
      </c>
      <c r="Q1142" t="s">
        <v>87</v>
      </c>
      <c r="R1142" t="s">
        <v>75</v>
      </c>
      <c r="S1142" t="s">
        <v>7354</v>
      </c>
    </row>
    <row r="1143" spans="16:19" x14ac:dyDescent="0.25">
      <c r="P1143">
        <v>1853</v>
      </c>
      <c r="Q1143" t="s">
        <v>87</v>
      </c>
      <c r="R1143" t="s">
        <v>75</v>
      </c>
      <c r="S1143" t="s">
        <v>7354</v>
      </c>
    </row>
    <row r="1144" spans="16:19" x14ac:dyDescent="0.25">
      <c r="P1144">
        <v>702</v>
      </c>
      <c r="Q1144" t="s">
        <v>87</v>
      </c>
      <c r="R1144" t="s">
        <v>75</v>
      </c>
      <c r="S1144" t="s">
        <v>7354</v>
      </c>
    </row>
    <row r="1145" spans="16:19" x14ac:dyDescent="0.25">
      <c r="P1145">
        <v>1540</v>
      </c>
      <c r="Q1145" t="s">
        <v>87</v>
      </c>
      <c r="R1145" t="s">
        <v>75</v>
      </c>
      <c r="S1145" t="s">
        <v>7354</v>
      </c>
    </row>
    <row r="1146" spans="16:19" x14ac:dyDescent="0.25">
      <c r="P1146">
        <v>1556</v>
      </c>
      <c r="Q1146" t="s">
        <v>87</v>
      </c>
      <c r="R1146" t="s">
        <v>75</v>
      </c>
      <c r="S1146" t="s">
        <v>7354</v>
      </c>
    </row>
    <row r="1147" spans="16:19" x14ac:dyDescent="0.25">
      <c r="P1147">
        <v>1421</v>
      </c>
      <c r="Q1147" t="s">
        <v>87</v>
      </c>
      <c r="R1147" t="s">
        <v>75</v>
      </c>
      <c r="S1147" t="s">
        <v>7354</v>
      </c>
    </row>
    <row r="1148" spans="16:19" x14ac:dyDescent="0.25">
      <c r="P1148">
        <v>1523</v>
      </c>
      <c r="Q1148" t="s">
        <v>87</v>
      </c>
      <c r="R1148" t="s">
        <v>75</v>
      </c>
      <c r="S1148" t="s">
        <v>7354</v>
      </c>
    </row>
    <row r="1149" spans="16:19" x14ac:dyDescent="0.25">
      <c r="P1149">
        <v>1477</v>
      </c>
      <c r="Q1149" t="s">
        <v>87</v>
      </c>
      <c r="R1149" t="s">
        <v>75</v>
      </c>
      <c r="S1149" t="s">
        <v>7354</v>
      </c>
    </row>
    <row r="1150" spans="16:19" x14ac:dyDescent="0.25">
      <c r="P1150">
        <v>1006</v>
      </c>
      <c r="Q1150" t="s">
        <v>87</v>
      </c>
      <c r="R1150" t="s">
        <v>75</v>
      </c>
      <c r="S1150" t="s">
        <v>7354</v>
      </c>
    </row>
    <row r="1151" spans="16:19" x14ac:dyDescent="0.25">
      <c r="P1151">
        <v>3725</v>
      </c>
      <c r="Q1151" t="s">
        <v>87</v>
      </c>
      <c r="R1151" t="s">
        <v>75</v>
      </c>
      <c r="S1151" t="s">
        <v>7354</v>
      </c>
    </row>
    <row r="1152" spans="16:19" x14ac:dyDescent="0.25">
      <c r="P1152">
        <v>507</v>
      </c>
      <c r="Q1152" t="s">
        <v>87</v>
      </c>
      <c r="R1152" t="s">
        <v>75</v>
      </c>
      <c r="S1152" t="s">
        <v>7354</v>
      </c>
    </row>
    <row r="1153" spans="16:19" x14ac:dyDescent="0.25">
      <c r="P1153">
        <v>1723</v>
      </c>
      <c r="Q1153" t="s">
        <v>87</v>
      </c>
      <c r="R1153" t="s">
        <v>75</v>
      </c>
      <c r="S1153" t="s">
        <v>7354</v>
      </c>
    </row>
    <row r="1154" spans="16:19" x14ac:dyDescent="0.25">
      <c r="P1154">
        <v>684</v>
      </c>
      <c r="Q1154" t="s">
        <v>87</v>
      </c>
      <c r="R1154" t="s">
        <v>75</v>
      </c>
      <c r="S1154" t="s">
        <v>7354</v>
      </c>
    </row>
    <row r="1155" spans="16:19" x14ac:dyDescent="0.25">
      <c r="P1155">
        <v>1311</v>
      </c>
      <c r="Q1155" t="s">
        <v>87</v>
      </c>
      <c r="R1155" t="s">
        <v>75</v>
      </c>
      <c r="S1155" t="s">
        <v>7354</v>
      </c>
    </row>
    <row r="1156" spans="16:19" x14ac:dyDescent="0.25">
      <c r="P1156">
        <v>2245</v>
      </c>
      <c r="Q1156" t="s">
        <v>87</v>
      </c>
      <c r="R1156" t="s">
        <v>75</v>
      </c>
      <c r="S1156" t="s">
        <v>7354</v>
      </c>
    </row>
    <row r="1157" spans="16:19" x14ac:dyDescent="0.25">
      <c r="P1157">
        <v>577</v>
      </c>
      <c r="Q1157" t="s">
        <v>87</v>
      </c>
      <c r="R1157" t="s">
        <v>75</v>
      </c>
      <c r="S1157" t="s">
        <v>7354</v>
      </c>
    </row>
    <row r="1158" spans="16:19" x14ac:dyDescent="0.25">
      <c r="P1158">
        <v>2865</v>
      </c>
      <c r="Q1158" t="s">
        <v>87</v>
      </c>
      <c r="R1158" t="s">
        <v>75</v>
      </c>
      <c r="S1158" t="s">
        <v>7354</v>
      </c>
    </row>
    <row r="1159" spans="16:19" x14ac:dyDescent="0.25">
      <c r="P1159">
        <v>3220</v>
      </c>
      <c r="Q1159" t="s">
        <v>87</v>
      </c>
      <c r="R1159" t="s">
        <v>75</v>
      </c>
      <c r="S1159" t="s">
        <v>7354</v>
      </c>
    </row>
    <row r="1160" spans="16:19" x14ac:dyDescent="0.25">
      <c r="P1160">
        <v>5241</v>
      </c>
      <c r="Q1160" t="s">
        <v>87</v>
      </c>
      <c r="R1160" t="s">
        <v>75</v>
      </c>
      <c r="S1160" t="s">
        <v>7354</v>
      </c>
    </row>
    <row r="1161" spans="16:19" x14ac:dyDescent="0.25">
      <c r="P1161">
        <v>1544</v>
      </c>
      <c r="Q1161" t="s">
        <v>87</v>
      </c>
      <c r="R1161" t="s">
        <v>75</v>
      </c>
      <c r="S1161" t="s">
        <v>7354</v>
      </c>
    </row>
    <row r="1162" spans="16:19" x14ac:dyDescent="0.25">
      <c r="P1162">
        <v>1123</v>
      </c>
      <c r="Q1162" t="s">
        <v>87</v>
      </c>
      <c r="R1162" t="s">
        <v>75</v>
      </c>
      <c r="S1162" t="s">
        <v>7354</v>
      </c>
    </row>
    <row r="1163" spans="16:19" x14ac:dyDescent="0.25">
      <c r="P1163">
        <v>718</v>
      </c>
      <c r="Q1163" t="s">
        <v>88</v>
      </c>
      <c r="R1163" t="s">
        <v>75</v>
      </c>
      <c r="S1163" t="s">
        <v>7354</v>
      </c>
    </row>
    <row r="1164" spans="16:19" x14ac:dyDescent="0.25">
      <c r="P1164">
        <v>5187</v>
      </c>
      <c r="Q1164" t="s">
        <v>88</v>
      </c>
      <c r="R1164" t="s">
        <v>75</v>
      </c>
      <c r="S1164" t="s">
        <v>7354</v>
      </c>
    </row>
    <row r="1165" spans="16:19" x14ac:dyDescent="0.25">
      <c r="P1165">
        <v>2100</v>
      </c>
      <c r="Q1165" t="s">
        <v>88</v>
      </c>
      <c r="R1165" t="s">
        <v>75</v>
      </c>
      <c r="S1165" t="s">
        <v>7354</v>
      </c>
    </row>
    <row r="1166" spans="16:19" x14ac:dyDescent="0.25">
      <c r="P1166">
        <v>1532</v>
      </c>
      <c r="Q1166" t="s">
        <v>88</v>
      </c>
      <c r="R1166" t="s">
        <v>75</v>
      </c>
      <c r="S1166" t="s">
        <v>7354</v>
      </c>
    </row>
    <row r="1167" spans="16:19" x14ac:dyDescent="0.25">
      <c r="P1167">
        <v>1077</v>
      </c>
      <c r="Q1167" t="s">
        <v>88</v>
      </c>
      <c r="R1167" t="s">
        <v>75</v>
      </c>
      <c r="S1167" t="s">
        <v>7354</v>
      </c>
    </row>
    <row r="1168" spans="16:19" x14ac:dyDescent="0.25">
      <c r="P1168">
        <v>1361</v>
      </c>
      <c r="Q1168" t="s">
        <v>88</v>
      </c>
      <c r="R1168" t="s">
        <v>75</v>
      </c>
      <c r="S1168" t="s">
        <v>7354</v>
      </c>
    </row>
    <row r="1169" spans="16:19" x14ac:dyDescent="0.25">
      <c r="P1169">
        <v>922</v>
      </c>
      <c r="Q1169" t="s">
        <v>88</v>
      </c>
      <c r="R1169" t="s">
        <v>75</v>
      </c>
      <c r="S1169" t="s">
        <v>7354</v>
      </c>
    </row>
    <row r="1170" spans="16:19" x14ac:dyDescent="0.25">
      <c r="P1170">
        <v>1798</v>
      </c>
      <c r="Q1170" t="s">
        <v>88</v>
      </c>
      <c r="R1170" t="s">
        <v>75</v>
      </c>
      <c r="S1170" t="s">
        <v>7354</v>
      </c>
    </row>
    <row r="1171" spans="16:19" x14ac:dyDescent="0.25">
      <c r="P1171">
        <v>2851</v>
      </c>
      <c r="Q1171" t="s">
        <v>88</v>
      </c>
      <c r="R1171" t="s">
        <v>75</v>
      </c>
      <c r="S1171" t="s">
        <v>7354</v>
      </c>
    </row>
    <row r="1172" spans="16:19" x14ac:dyDescent="0.25">
      <c r="P1172">
        <v>1421</v>
      </c>
      <c r="Q1172" t="s">
        <v>88</v>
      </c>
      <c r="R1172" t="s">
        <v>75</v>
      </c>
      <c r="S1172" t="s">
        <v>7354</v>
      </c>
    </row>
    <row r="1173" spans="16:19" x14ac:dyDescent="0.25">
      <c r="P1173">
        <v>1974</v>
      </c>
      <c r="Q1173" t="s">
        <v>88</v>
      </c>
      <c r="R1173" t="s">
        <v>75</v>
      </c>
      <c r="S1173" t="s">
        <v>7354</v>
      </c>
    </row>
    <row r="1174" spans="16:19" x14ac:dyDescent="0.25">
      <c r="P1174">
        <v>317</v>
      </c>
      <c r="Q1174" t="s">
        <v>88</v>
      </c>
      <c r="R1174" t="s">
        <v>75</v>
      </c>
      <c r="S1174" t="s">
        <v>7354</v>
      </c>
    </row>
    <row r="1175" spans="16:19" x14ac:dyDescent="0.25">
      <c r="P1175">
        <v>2564</v>
      </c>
      <c r="Q1175" t="s">
        <v>88</v>
      </c>
      <c r="R1175" t="s">
        <v>75</v>
      </c>
      <c r="S1175" t="s">
        <v>7354</v>
      </c>
    </row>
    <row r="1176" spans="16:19" x14ac:dyDescent="0.25">
      <c r="P1176">
        <v>2271</v>
      </c>
      <c r="Q1176" t="s">
        <v>88</v>
      </c>
      <c r="R1176" t="s">
        <v>75</v>
      </c>
      <c r="S1176" t="s">
        <v>7354</v>
      </c>
    </row>
    <row r="1177" spans="16:19" x14ac:dyDescent="0.25">
      <c r="P1177">
        <v>1534</v>
      </c>
      <c r="Q1177" t="s">
        <v>88</v>
      </c>
      <c r="R1177" t="s">
        <v>75</v>
      </c>
      <c r="S1177" t="s">
        <v>7354</v>
      </c>
    </row>
    <row r="1178" spans="16:19" x14ac:dyDescent="0.25">
      <c r="P1178">
        <v>2056</v>
      </c>
      <c r="Q1178" t="s">
        <v>88</v>
      </c>
      <c r="R1178" t="s">
        <v>75</v>
      </c>
      <c r="S1178" t="s">
        <v>7354</v>
      </c>
    </row>
    <row r="1179" spans="16:19" x14ac:dyDescent="0.25">
      <c r="P1179">
        <v>1537</v>
      </c>
      <c r="Q1179" t="s">
        <v>88</v>
      </c>
      <c r="R1179" t="s">
        <v>75</v>
      </c>
      <c r="S1179" t="s">
        <v>7354</v>
      </c>
    </row>
    <row r="1180" spans="16:19" x14ac:dyDescent="0.25">
      <c r="P1180">
        <v>3142</v>
      </c>
      <c r="Q1180" t="s">
        <v>88</v>
      </c>
      <c r="R1180" t="s">
        <v>75</v>
      </c>
      <c r="S1180" t="s">
        <v>7354</v>
      </c>
    </row>
    <row r="1181" spans="16:19" x14ac:dyDescent="0.25">
      <c r="P1181">
        <v>1966</v>
      </c>
      <c r="Q1181" t="s">
        <v>88</v>
      </c>
      <c r="R1181" t="s">
        <v>75</v>
      </c>
      <c r="S1181" t="s">
        <v>7354</v>
      </c>
    </row>
    <row r="1182" spans="16:19" x14ac:dyDescent="0.25">
      <c r="P1182">
        <v>1755</v>
      </c>
      <c r="Q1182" t="s">
        <v>88</v>
      </c>
      <c r="R1182" t="s">
        <v>75</v>
      </c>
      <c r="S1182" t="s">
        <v>7354</v>
      </c>
    </row>
    <row r="1183" spans="16:19" x14ac:dyDescent="0.25">
      <c r="P1183">
        <v>1118</v>
      </c>
      <c r="Q1183" t="s">
        <v>88</v>
      </c>
      <c r="R1183" t="s">
        <v>75</v>
      </c>
      <c r="S1183" t="s">
        <v>7354</v>
      </c>
    </row>
    <row r="1184" spans="16:19" x14ac:dyDescent="0.25">
      <c r="P1184">
        <v>5215</v>
      </c>
      <c r="Q1184" t="s">
        <v>88</v>
      </c>
      <c r="R1184" t="s">
        <v>75</v>
      </c>
      <c r="S1184" t="s">
        <v>7354</v>
      </c>
    </row>
    <row r="1185" spans="16:19" x14ac:dyDescent="0.25">
      <c r="P1185">
        <v>2460</v>
      </c>
      <c r="Q1185" t="s">
        <v>88</v>
      </c>
      <c r="R1185" t="s">
        <v>75</v>
      </c>
      <c r="S1185" t="s">
        <v>7354</v>
      </c>
    </row>
    <row r="1186" spans="16:19" x14ac:dyDescent="0.25">
      <c r="P1186">
        <v>843</v>
      </c>
      <c r="Q1186" t="s">
        <v>88</v>
      </c>
      <c r="R1186" t="s">
        <v>75</v>
      </c>
      <c r="S1186" t="s">
        <v>7354</v>
      </c>
    </row>
    <row r="1187" spans="16:19" x14ac:dyDescent="0.25">
      <c r="P1187">
        <v>1541</v>
      </c>
      <c r="Q1187" t="s">
        <v>88</v>
      </c>
      <c r="R1187" t="s">
        <v>75</v>
      </c>
      <c r="S1187" t="s">
        <v>7354</v>
      </c>
    </row>
    <row r="1188" spans="16:19" x14ac:dyDescent="0.25">
      <c r="P1188">
        <v>2890</v>
      </c>
      <c r="Q1188" t="s">
        <v>88</v>
      </c>
      <c r="R1188" t="s">
        <v>75</v>
      </c>
      <c r="S1188" t="s">
        <v>7354</v>
      </c>
    </row>
    <row r="1189" spans="16:19" x14ac:dyDescent="0.25">
      <c r="P1189">
        <v>620</v>
      </c>
      <c r="Q1189" t="s">
        <v>88</v>
      </c>
      <c r="R1189" t="s">
        <v>75</v>
      </c>
      <c r="S1189" t="s">
        <v>7354</v>
      </c>
    </row>
    <row r="1190" spans="16:19" x14ac:dyDescent="0.25">
      <c r="P1190">
        <v>1173</v>
      </c>
      <c r="Q1190" t="s">
        <v>88</v>
      </c>
      <c r="R1190" t="s">
        <v>75</v>
      </c>
      <c r="S1190" t="s">
        <v>7354</v>
      </c>
    </row>
    <row r="1191" spans="16:19" x14ac:dyDescent="0.25">
      <c r="P1191">
        <v>1547</v>
      </c>
      <c r="Q1191" t="s">
        <v>88</v>
      </c>
      <c r="R1191" t="s">
        <v>75</v>
      </c>
      <c r="S1191" t="s">
        <v>7354</v>
      </c>
    </row>
    <row r="1192" spans="16:19" x14ac:dyDescent="0.25">
      <c r="P1192">
        <v>2007</v>
      </c>
      <c r="Q1192" t="s">
        <v>88</v>
      </c>
      <c r="R1192" t="s">
        <v>75</v>
      </c>
      <c r="S1192" t="s">
        <v>7354</v>
      </c>
    </row>
    <row r="1193" spans="16:19" x14ac:dyDescent="0.25">
      <c r="P1193">
        <v>1964</v>
      </c>
      <c r="Q1193" t="s">
        <v>89</v>
      </c>
      <c r="R1193" t="s">
        <v>75</v>
      </c>
      <c r="S1193" t="s">
        <v>7354</v>
      </c>
    </row>
    <row r="1194" spans="16:19" x14ac:dyDescent="0.25">
      <c r="P1194">
        <v>2282</v>
      </c>
      <c r="Q1194" t="s">
        <v>89</v>
      </c>
      <c r="R1194" t="s">
        <v>75</v>
      </c>
      <c r="S1194" t="s">
        <v>7354</v>
      </c>
    </row>
    <row r="1195" spans="16:19" x14ac:dyDescent="0.25">
      <c r="P1195">
        <v>5655</v>
      </c>
      <c r="Q1195" t="s">
        <v>89</v>
      </c>
      <c r="R1195" t="s">
        <v>75</v>
      </c>
      <c r="S1195" t="s">
        <v>7354</v>
      </c>
    </row>
    <row r="1196" spans="16:19" x14ac:dyDescent="0.25">
      <c r="P1196">
        <v>3328</v>
      </c>
      <c r="Q1196" t="s">
        <v>89</v>
      </c>
      <c r="R1196" t="s">
        <v>75</v>
      </c>
      <c r="S1196" t="s">
        <v>7354</v>
      </c>
    </row>
    <row r="1197" spans="16:19" x14ac:dyDescent="0.25">
      <c r="P1197">
        <v>1949</v>
      </c>
      <c r="Q1197" t="s">
        <v>89</v>
      </c>
      <c r="R1197" t="s">
        <v>75</v>
      </c>
      <c r="S1197" t="s">
        <v>7354</v>
      </c>
    </row>
    <row r="1198" spans="16:19" x14ac:dyDescent="0.25">
      <c r="P1198">
        <v>6645</v>
      </c>
      <c r="Q1198" t="s">
        <v>89</v>
      </c>
      <c r="R1198" t="s">
        <v>75</v>
      </c>
      <c r="S1198" t="s">
        <v>7354</v>
      </c>
    </row>
    <row r="1199" spans="16:19" x14ac:dyDescent="0.25">
      <c r="P1199">
        <v>2652</v>
      </c>
      <c r="Q1199" t="s">
        <v>89</v>
      </c>
      <c r="R1199" t="s">
        <v>75</v>
      </c>
      <c r="S1199" t="s">
        <v>7354</v>
      </c>
    </row>
    <row r="1200" spans="16:19" x14ac:dyDescent="0.25">
      <c r="P1200">
        <v>1222</v>
      </c>
      <c r="Q1200" t="s">
        <v>89</v>
      </c>
      <c r="R1200" t="s">
        <v>75</v>
      </c>
      <c r="S1200" t="s">
        <v>7354</v>
      </c>
    </row>
    <row r="1201" spans="16:19" x14ac:dyDescent="0.25">
      <c r="P1201">
        <v>1638</v>
      </c>
      <c r="Q1201" t="s">
        <v>89</v>
      </c>
      <c r="R1201" t="s">
        <v>75</v>
      </c>
      <c r="S1201" t="s">
        <v>7354</v>
      </c>
    </row>
    <row r="1202" spans="16:19" x14ac:dyDescent="0.25">
      <c r="P1202">
        <v>1642</v>
      </c>
      <c r="Q1202" t="s">
        <v>89</v>
      </c>
      <c r="R1202" t="s">
        <v>75</v>
      </c>
      <c r="S1202" t="s">
        <v>7354</v>
      </c>
    </row>
    <row r="1203" spans="16:19" x14ac:dyDescent="0.25">
      <c r="P1203">
        <v>2329</v>
      </c>
      <c r="Q1203" t="s">
        <v>89</v>
      </c>
      <c r="R1203" t="s">
        <v>75</v>
      </c>
      <c r="S1203" t="s">
        <v>7354</v>
      </c>
    </row>
    <row r="1204" spans="16:19" x14ac:dyDescent="0.25">
      <c r="P1204">
        <v>1683</v>
      </c>
      <c r="Q1204" t="s">
        <v>89</v>
      </c>
      <c r="R1204" t="s">
        <v>75</v>
      </c>
      <c r="S1204" t="s">
        <v>7354</v>
      </c>
    </row>
    <row r="1205" spans="16:19" x14ac:dyDescent="0.25">
      <c r="P1205">
        <v>1459</v>
      </c>
      <c r="Q1205" t="s">
        <v>89</v>
      </c>
      <c r="R1205" t="s">
        <v>75</v>
      </c>
      <c r="S1205" t="s">
        <v>7354</v>
      </c>
    </row>
    <row r="1206" spans="16:19" x14ac:dyDescent="0.25">
      <c r="P1206">
        <v>3098</v>
      </c>
      <c r="Q1206" t="s">
        <v>89</v>
      </c>
      <c r="R1206" t="s">
        <v>75</v>
      </c>
      <c r="S1206" t="s">
        <v>7354</v>
      </c>
    </row>
    <row r="1207" spans="16:19" x14ac:dyDescent="0.25">
      <c r="P1207">
        <v>1316</v>
      </c>
      <c r="Q1207" t="s">
        <v>89</v>
      </c>
      <c r="R1207" t="s">
        <v>75</v>
      </c>
      <c r="S1207" t="s">
        <v>7354</v>
      </c>
    </row>
    <row r="1208" spans="16:19" x14ac:dyDescent="0.25">
      <c r="P1208">
        <v>9451</v>
      </c>
      <c r="Q1208" t="s">
        <v>89</v>
      </c>
      <c r="R1208" t="s">
        <v>75</v>
      </c>
      <c r="S1208" t="s">
        <v>7354</v>
      </c>
    </row>
    <row r="1209" spans="16:19" x14ac:dyDescent="0.25">
      <c r="P1209">
        <v>3367</v>
      </c>
      <c r="Q1209" t="s">
        <v>89</v>
      </c>
      <c r="R1209" t="s">
        <v>75</v>
      </c>
      <c r="S1209" t="s">
        <v>7354</v>
      </c>
    </row>
    <row r="1210" spans="16:19" x14ac:dyDescent="0.25">
      <c r="P1210">
        <v>2207</v>
      </c>
      <c r="Q1210" t="s">
        <v>89</v>
      </c>
      <c r="R1210" t="s">
        <v>75</v>
      </c>
      <c r="S1210" t="s">
        <v>7354</v>
      </c>
    </row>
    <row r="1211" spans="16:19" x14ac:dyDescent="0.25">
      <c r="P1211">
        <v>3285</v>
      </c>
      <c r="Q1211" t="s">
        <v>89</v>
      </c>
      <c r="R1211" t="s">
        <v>75</v>
      </c>
      <c r="S1211" t="s">
        <v>7354</v>
      </c>
    </row>
    <row r="1212" spans="16:19" x14ac:dyDescent="0.25">
      <c r="P1212">
        <v>4037</v>
      </c>
      <c r="Q1212" t="s">
        <v>89</v>
      </c>
      <c r="R1212" t="s">
        <v>75</v>
      </c>
      <c r="S1212" t="s">
        <v>7354</v>
      </c>
    </row>
    <row r="1213" spans="16:19" x14ac:dyDescent="0.25">
      <c r="P1213">
        <v>4198</v>
      </c>
      <c r="Q1213" t="s">
        <v>90</v>
      </c>
      <c r="R1213" t="s">
        <v>75</v>
      </c>
      <c r="S1213" t="s">
        <v>7354</v>
      </c>
    </row>
    <row r="1214" spans="16:19" x14ac:dyDescent="0.25">
      <c r="P1214">
        <v>4696</v>
      </c>
      <c r="Q1214" t="s">
        <v>90</v>
      </c>
      <c r="R1214" t="s">
        <v>75</v>
      </c>
      <c r="S1214" t="s">
        <v>7354</v>
      </c>
    </row>
    <row r="1215" spans="16:19" x14ac:dyDescent="0.25">
      <c r="P1215">
        <v>4297</v>
      </c>
      <c r="Q1215" t="s">
        <v>90</v>
      </c>
      <c r="R1215" t="s">
        <v>75</v>
      </c>
      <c r="S1215" t="s">
        <v>7354</v>
      </c>
    </row>
    <row r="1216" spans="16:19" x14ac:dyDescent="0.25">
      <c r="P1216">
        <v>2090</v>
      </c>
      <c r="Q1216" t="s">
        <v>90</v>
      </c>
      <c r="R1216" t="s">
        <v>75</v>
      </c>
      <c r="S1216" t="s">
        <v>7354</v>
      </c>
    </row>
    <row r="1217" spans="16:19" x14ac:dyDescent="0.25">
      <c r="P1217">
        <v>9054</v>
      </c>
      <c r="Q1217" t="s">
        <v>90</v>
      </c>
      <c r="R1217" t="s">
        <v>75</v>
      </c>
      <c r="S1217" t="s">
        <v>7354</v>
      </c>
    </row>
    <row r="1218" spans="16:19" x14ac:dyDescent="0.25">
      <c r="P1218">
        <v>5426</v>
      </c>
      <c r="Q1218" t="s">
        <v>90</v>
      </c>
      <c r="R1218" t="s">
        <v>75</v>
      </c>
      <c r="S1218" t="s">
        <v>7354</v>
      </c>
    </row>
    <row r="1219" spans="16:19" x14ac:dyDescent="0.25">
      <c r="P1219">
        <v>6623</v>
      </c>
      <c r="Q1219" t="s">
        <v>90</v>
      </c>
      <c r="R1219" t="s">
        <v>75</v>
      </c>
      <c r="S1219" t="s">
        <v>7354</v>
      </c>
    </row>
    <row r="1220" spans="16:19" x14ac:dyDescent="0.25">
      <c r="P1220">
        <v>783</v>
      </c>
      <c r="Q1220" t="s">
        <v>90</v>
      </c>
      <c r="R1220" t="s">
        <v>75</v>
      </c>
      <c r="S1220" t="s">
        <v>7354</v>
      </c>
    </row>
    <row r="1221" spans="16:19" x14ac:dyDescent="0.25">
      <c r="P1221">
        <v>5122</v>
      </c>
      <c r="Q1221" t="s">
        <v>90</v>
      </c>
      <c r="R1221" t="s">
        <v>75</v>
      </c>
      <c r="S1221" t="s">
        <v>7354</v>
      </c>
    </row>
    <row r="1222" spans="16:19" x14ac:dyDescent="0.25">
      <c r="P1222">
        <v>937</v>
      </c>
      <c r="Q1222" t="s">
        <v>90</v>
      </c>
      <c r="R1222" t="s">
        <v>75</v>
      </c>
      <c r="S1222" t="s">
        <v>7354</v>
      </c>
    </row>
    <row r="1223" spans="16:19" x14ac:dyDescent="0.25">
      <c r="P1223">
        <v>2364</v>
      </c>
      <c r="Q1223" t="s">
        <v>90</v>
      </c>
      <c r="R1223" t="s">
        <v>75</v>
      </c>
      <c r="S1223" t="s">
        <v>7354</v>
      </c>
    </row>
    <row r="1224" spans="16:19" x14ac:dyDescent="0.25">
      <c r="P1224">
        <v>2705</v>
      </c>
      <c r="Q1224" t="s">
        <v>90</v>
      </c>
      <c r="R1224" t="s">
        <v>75</v>
      </c>
      <c r="S1224" t="s">
        <v>7354</v>
      </c>
    </row>
    <row r="1225" spans="16:19" x14ac:dyDescent="0.25">
      <c r="P1225">
        <v>2211</v>
      </c>
      <c r="Q1225" t="s">
        <v>90</v>
      </c>
      <c r="R1225" t="s">
        <v>75</v>
      </c>
      <c r="S1225" t="s">
        <v>7354</v>
      </c>
    </row>
    <row r="1226" spans="16:19" x14ac:dyDescent="0.25">
      <c r="P1226">
        <v>2844</v>
      </c>
      <c r="Q1226" t="s">
        <v>90</v>
      </c>
      <c r="R1226" t="s">
        <v>75</v>
      </c>
      <c r="S1226" t="s">
        <v>7354</v>
      </c>
    </row>
    <row r="1227" spans="16:19" x14ac:dyDescent="0.25">
      <c r="P1227">
        <v>3141</v>
      </c>
      <c r="Q1227" t="s">
        <v>90</v>
      </c>
      <c r="R1227" t="s">
        <v>75</v>
      </c>
      <c r="S1227" t="s">
        <v>7354</v>
      </c>
    </row>
    <row r="1228" spans="16:19" x14ac:dyDescent="0.25">
      <c r="P1228">
        <v>564</v>
      </c>
      <c r="Q1228" t="s">
        <v>90</v>
      </c>
      <c r="R1228" t="s">
        <v>75</v>
      </c>
      <c r="S1228" t="s">
        <v>7354</v>
      </c>
    </row>
    <row r="1229" spans="16:19" x14ac:dyDescent="0.25">
      <c r="P1229">
        <v>4800</v>
      </c>
      <c r="Q1229" t="s">
        <v>90</v>
      </c>
      <c r="R1229" t="s">
        <v>75</v>
      </c>
      <c r="S1229" t="s">
        <v>7354</v>
      </c>
    </row>
    <row r="1230" spans="16:19" x14ac:dyDescent="0.25">
      <c r="P1230">
        <v>4560</v>
      </c>
      <c r="Q1230" t="s">
        <v>90</v>
      </c>
      <c r="R1230" t="s">
        <v>75</v>
      </c>
      <c r="S1230" t="s">
        <v>7354</v>
      </c>
    </row>
    <row r="1231" spans="16:19" x14ac:dyDescent="0.25">
      <c r="P1231">
        <v>1335</v>
      </c>
      <c r="Q1231" t="s">
        <v>90</v>
      </c>
      <c r="R1231" t="s">
        <v>75</v>
      </c>
      <c r="S1231" t="s">
        <v>7354</v>
      </c>
    </row>
    <row r="1232" spans="16:19" x14ac:dyDescent="0.25">
      <c r="P1232">
        <v>1492</v>
      </c>
      <c r="Q1232" t="s">
        <v>90</v>
      </c>
      <c r="R1232" t="s">
        <v>75</v>
      </c>
      <c r="S1232" t="s">
        <v>7354</v>
      </c>
    </row>
    <row r="1233" spans="16:19" x14ac:dyDescent="0.25">
      <c r="P1233">
        <v>1335</v>
      </c>
      <c r="Q1233" t="s">
        <v>90</v>
      </c>
      <c r="R1233" t="s">
        <v>75</v>
      </c>
      <c r="S1233" t="s">
        <v>7354</v>
      </c>
    </row>
    <row r="1234" spans="16:19" x14ac:dyDescent="0.25">
      <c r="P1234">
        <v>1616</v>
      </c>
      <c r="Q1234" t="s">
        <v>90</v>
      </c>
      <c r="R1234" t="s">
        <v>75</v>
      </c>
      <c r="S1234" t="s">
        <v>7354</v>
      </c>
    </row>
    <row r="1235" spans="16:19" x14ac:dyDescent="0.25">
      <c r="P1235">
        <v>1094</v>
      </c>
      <c r="Q1235" t="s">
        <v>90</v>
      </c>
      <c r="R1235" t="s">
        <v>75</v>
      </c>
      <c r="S1235" t="s">
        <v>7354</v>
      </c>
    </row>
    <row r="1236" spans="16:19" x14ac:dyDescent="0.25">
      <c r="P1236">
        <v>5120</v>
      </c>
      <c r="Q1236" t="s">
        <v>90</v>
      </c>
      <c r="R1236" t="s">
        <v>75</v>
      </c>
      <c r="S1236" t="s">
        <v>7354</v>
      </c>
    </row>
    <row r="1237" spans="16:19" x14ac:dyDescent="0.25">
      <c r="P1237">
        <v>4273</v>
      </c>
      <c r="Q1237" t="s">
        <v>90</v>
      </c>
      <c r="R1237" t="s">
        <v>75</v>
      </c>
      <c r="S1237" t="s">
        <v>7354</v>
      </c>
    </row>
    <row r="1238" spans="16:19" x14ac:dyDescent="0.25">
      <c r="P1238">
        <v>1733</v>
      </c>
      <c r="Q1238" t="s">
        <v>90</v>
      </c>
      <c r="R1238" t="s">
        <v>75</v>
      </c>
      <c r="S1238" t="s">
        <v>7354</v>
      </c>
    </row>
    <row r="1239" spans="16:19" x14ac:dyDescent="0.25">
      <c r="P1239">
        <v>2714</v>
      </c>
      <c r="Q1239" t="s">
        <v>90</v>
      </c>
      <c r="R1239" t="s">
        <v>75</v>
      </c>
      <c r="S1239" t="s">
        <v>7354</v>
      </c>
    </row>
    <row r="1240" spans="16:19" x14ac:dyDescent="0.25">
      <c r="P1240">
        <v>3389</v>
      </c>
      <c r="Q1240" t="s">
        <v>91</v>
      </c>
      <c r="R1240" t="s">
        <v>75</v>
      </c>
      <c r="S1240" t="s">
        <v>7354</v>
      </c>
    </row>
    <row r="1241" spans="16:19" x14ac:dyDescent="0.25">
      <c r="P1241">
        <v>1630</v>
      </c>
      <c r="Q1241" t="s">
        <v>91</v>
      </c>
      <c r="R1241" t="s">
        <v>75</v>
      </c>
      <c r="S1241" t="s">
        <v>7354</v>
      </c>
    </row>
    <row r="1242" spans="16:19" x14ac:dyDescent="0.25">
      <c r="P1242">
        <v>9107</v>
      </c>
      <c r="Q1242" t="s">
        <v>91</v>
      </c>
      <c r="R1242" t="s">
        <v>75</v>
      </c>
      <c r="S1242" t="s">
        <v>7354</v>
      </c>
    </row>
    <row r="1243" spans="16:19" x14ac:dyDescent="0.25">
      <c r="P1243">
        <v>1245</v>
      </c>
      <c r="Q1243" t="s">
        <v>91</v>
      </c>
      <c r="R1243" t="s">
        <v>75</v>
      </c>
      <c r="S1243" t="s">
        <v>7354</v>
      </c>
    </row>
    <row r="1244" spans="16:19" x14ac:dyDescent="0.25">
      <c r="P1244">
        <v>1818</v>
      </c>
      <c r="Q1244" t="s">
        <v>91</v>
      </c>
      <c r="R1244" t="s">
        <v>75</v>
      </c>
      <c r="S1244" t="s">
        <v>7354</v>
      </c>
    </row>
    <row r="1245" spans="16:19" x14ac:dyDescent="0.25">
      <c r="P1245">
        <v>1114</v>
      </c>
      <c r="Q1245" t="s">
        <v>91</v>
      </c>
      <c r="R1245" t="s">
        <v>75</v>
      </c>
      <c r="S1245" t="s">
        <v>7354</v>
      </c>
    </row>
    <row r="1246" spans="16:19" x14ac:dyDescent="0.25">
      <c r="P1246">
        <v>1897</v>
      </c>
      <c r="Q1246" t="s">
        <v>91</v>
      </c>
      <c r="R1246" t="s">
        <v>75</v>
      </c>
      <c r="S1246" t="s">
        <v>7354</v>
      </c>
    </row>
    <row r="1247" spans="16:19" x14ac:dyDescent="0.25">
      <c r="P1247">
        <v>993</v>
      </c>
      <c r="Q1247" t="s">
        <v>91</v>
      </c>
      <c r="R1247" t="s">
        <v>75</v>
      </c>
      <c r="S1247" t="s">
        <v>7354</v>
      </c>
    </row>
    <row r="1248" spans="16:19" x14ac:dyDescent="0.25">
      <c r="P1248">
        <v>5175</v>
      </c>
      <c r="Q1248" t="s">
        <v>91</v>
      </c>
      <c r="R1248" t="s">
        <v>75</v>
      </c>
      <c r="S1248" t="s">
        <v>7354</v>
      </c>
    </row>
    <row r="1249" spans="16:19" x14ac:dyDescent="0.25">
      <c r="P1249">
        <v>3798</v>
      </c>
      <c r="Q1249" t="s">
        <v>91</v>
      </c>
      <c r="R1249" t="s">
        <v>75</v>
      </c>
      <c r="S1249" t="s">
        <v>7354</v>
      </c>
    </row>
    <row r="1250" spans="16:19" x14ac:dyDescent="0.25">
      <c r="P1250">
        <v>3046</v>
      </c>
      <c r="Q1250" t="s">
        <v>91</v>
      </c>
      <c r="R1250" t="s">
        <v>75</v>
      </c>
      <c r="S1250" t="s">
        <v>7354</v>
      </c>
    </row>
    <row r="1251" spans="16:19" x14ac:dyDescent="0.25">
      <c r="P1251">
        <v>1235</v>
      </c>
      <c r="Q1251" t="s">
        <v>91</v>
      </c>
      <c r="R1251" t="s">
        <v>75</v>
      </c>
      <c r="S1251" t="s">
        <v>7354</v>
      </c>
    </row>
    <row r="1252" spans="16:19" x14ac:dyDescent="0.25">
      <c r="P1252">
        <v>5245</v>
      </c>
      <c r="Q1252" t="s">
        <v>91</v>
      </c>
      <c r="R1252" t="s">
        <v>75</v>
      </c>
      <c r="S1252" t="s">
        <v>7354</v>
      </c>
    </row>
    <row r="1253" spans="16:19" x14ac:dyDescent="0.25">
      <c r="P1253">
        <v>799</v>
      </c>
      <c r="Q1253" t="s">
        <v>91</v>
      </c>
      <c r="R1253" t="s">
        <v>75</v>
      </c>
      <c r="S1253" t="s">
        <v>7354</v>
      </c>
    </row>
    <row r="1254" spans="16:19" x14ac:dyDescent="0.25">
      <c r="P1254">
        <v>4080</v>
      </c>
      <c r="Q1254" t="s">
        <v>91</v>
      </c>
      <c r="R1254" t="s">
        <v>75</v>
      </c>
      <c r="S1254" t="s">
        <v>7354</v>
      </c>
    </row>
    <row r="1255" spans="16:19" x14ac:dyDescent="0.25">
      <c r="P1255">
        <v>2633</v>
      </c>
      <c r="Q1255" t="s">
        <v>91</v>
      </c>
      <c r="R1255" t="s">
        <v>75</v>
      </c>
      <c r="S1255" t="s">
        <v>7354</v>
      </c>
    </row>
    <row r="1256" spans="16:19" x14ac:dyDescent="0.25">
      <c r="P1256">
        <v>1126</v>
      </c>
      <c r="Q1256" t="s">
        <v>91</v>
      </c>
      <c r="R1256" t="s">
        <v>75</v>
      </c>
      <c r="S1256" t="s">
        <v>7354</v>
      </c>
    </row>
    <row r="1257" spans="16:19" x14ac:dyDescent="0.25">
      <c r="P1257">
        <v>1131</v>
      </c>
      <c r="Q1257" t="s">
        <v>91</v>
      </c>
      <c r="R1257" t="s">
        <v>75</v>
      </c>
      <c r="S1257" t="s">
        <v>7354</v>
      </c>
    </row>
    <row r="1258" spans="16:19" x14ac:dyDescent="0.25">
      <c r="P1258">
        <v>1698</v>
      </c>
      <c r="Q1258" t="s">
        <v>91</v>
      </c>
      <c r="R1258" t="s">
        <v>75</v>
      </c>
      <c r="S1258" t="s">
        <v>7354</v>
      </c>
    </row>
    <row r="1259" spans="16:19" x14ac:dyDescent="0.25">
      <c r="P1259">
        <v>1366</v>
      </c>
      <c r="Q1259" t="s">
        <v>91</v>
      </c>
      <c r="R1259" t="s">
        <v>75</v>
      </c>
      <c r="S1259" t="s">
        <v>7354</v>
      </c>
    </row>
    <row r="1260" spans="16:19" x14ac:dyDescent="0.25">
      <c r="P1260">
        <v>1751</v>
      </c>
      <c r="Q1260" t="s">
        <v>91</v>
      </c>
      <c r="R1260" t="s">
        <v>75</v>
      </c>
      <c r="S1260" t="s">
        <v>7354</v>
      </c>
    </row>
    <row r="1261" spans="16:19" x14ac:dyDescent="0.25">
      <c r="P1261">
        <v>3898</v>
      </c>
      <c r="Q1261" t="s">
        <v>91</v>
      </c>
      <c r="R1261" t="s">
        <v>75</v>
      </c>
      <c r="S1261" t="s">
        <v>7354</v>
      </c>
    </row>
    <row r="1262" spans="16:19" x14ac:dyDescent="0.25">
      <c r="P1262">
        <v>1548</v>
      </c>
      <c r="Q1262" t="s">
        <v>91</v>
      </c>
      <c r="R1262" t="s">
        <v>75</v>
      </c>
      <c r="S1262" t="s">
        <v>7354</v>
      </c>
    </row>
    <row r="1263" spans="16:19" x14ac:dyDescent="0.25">
      <c r="P1263">
        <v>654</v>
      </c>
      <c r="Q1263" t="s">
        <v>91</v>
      </c>
      <c r="R1263" t="s">
        <v>75</v>
      </c>
      <c r="S1263" t="s">
        <v>7354</v>
      </c>
    </row>
    <row r="1264" spans="16:19" x14ac:dyDescent="0.25">
      <c r="P1264">
        <v>571</v>
      </c>
      <c r="Q1264" t="s">
        <v>91</v>
      </c>
      <c r="R1264" t="s">
        <v>75</v>
      </c>
      <c r="S1264" t="s">
        <v>7354</v>
      </c>
    </row>
    <row r="1265" spans="16:19" x14ac:dyDescent="0.25">
      <c r="P1265">
        <v>2422</v>
      </c>
      <c r="Q1265" t="s">
        <v>91</v>
      </c>
      <c r="R1265" t="s">
        <v>75</v>
      </c>
      <c r="S1265" t="s">
        <v>7354</v>
      </c>
    </row>
    <row r="1266" spans="16:19" x14ac:dyDescent="0.25">
      <c r="P1266">
        <v>1098</v>
      </c>
      <c r="Q1266" t="s">
        <v>91</v>
      </c>
      <c r="R1266" t="s">
        <v>75</v>
      </c>
      <c r="S1266" t="s">
        <v>7354</v>
      </c>
    </row>
    <row r="1267" spans="16:19" x14ac:dyDescent="0.25">
      <c r="P1267">
        <v>640</v>
      </c>
      <c r="Q1267" t="s">
        <v>91</v>
      </c>
      <c r="R1267" t="s">
        <v>75</v>
      </c>
      <c r="S1267" t="s">
        <v>7354</v>
      </c>
    </row>
    <row r="1268" spans="16:19" x14ac:dyDescent="0.25">
      <c r="P1268">
        <v>533</v>
      </c>
      <c r="Q1268" t="s">
        <v>91</v>
      </c>
      <c r="R1268" t="s">
        <v>75</v>
      </c>
      <c r="S1268" t="s">
        <v>7354</v>
      </c>
    </row>
    <row r="1269" spans="16:19" x14ac:dyDescent="0.25">
      <c r="P1269">
        <v>1635</v>
      </c>
      <c r="Q1269" t="s">
        <v>91</v>
      </c>
      <c r="R1269" t="s">
        <v>75</v>
      </c>
      <c r="S1269" t="s">
        <v>7354</v>
      </c>
    </row>
    <row r="1270" spans="16:19" x14ac:dyDescent="0.25">
      <c r="P1270">
        <v>6836</v>
      </c>
      <c r="Q1270" t="s">
        <v>91</v>
      </c>
      <c r="R1270" t="s">
        <v>75</v>
      </c>
      <c r="S1270" t="s">
        <v>7354</v>
      </c>
    </row>
    <row r="1271" spans="16:19" x14ac:dyDescent="0.25">
      <c r="P1271">
        <v>2284</v>
      </c>
      <c r="Q1271" t="s">
        <v>91</v>
      </c>
      <c r="R1271" t="s">
        <v>75</v>
      </c>
      <c r="S1271" t="s">
        <v>7354</v>
      </c>
    </row>
    <row r="1272" spans="16:19" x14ac:dyDescent="0.25">
      <c r="P1272">
        <v>291</v>
      </c>
      <c r="Q1272" t="s">
        <v>91</v>
      </c>
      <c r="R1272" t="s">
        <v>75</v>
      </c>
      <c r="S1272" t="s">
        <v>7354</v>
      </c>
    </row>
    <row r="1273" spans="16:19" x14ac:dyDescent="0.25">
      <c r="P1273">
        <v>4476</v>
      </c>
      <c r="Q1273" t="s">
        <v>91</v>
      </c>
      <c r="R1273" t="s">
        <v>75</v>
      </c>
      <c r="S1273" t="s">
        <v>7354</v>
      </c>
    </row>
    <row r="1274" spans="16:19" x14ac:dyDescent="0.25">
      <c r="P1274">
        <v>2525</v>
      </c>
      <c r="Q1274" t="s">
        <v>91</v>
      </c>
      <c r="R1274" t="s">
        <v>75</v>
      </c>
      <c r="S1274" t="s">
        <v>7354</v>
      </c>
    </row>
    <row r="1275" spans="16:19" x14ac:dyDescent="0.25">
      <c r="P1275">
        <v>1430</v>
      </c>
      <c r="Q1275" t="s">
        <v>91</v>
      </c>
      <c r="R1275" t="s">
        <v>75</v>
      </c>
      <c r="S1275" t="s">
        <v>7354</v>
      </c>
    </row>
    <row r="1276" spans="16:19" x14ac:dyDescent="0.25">
      <c r="P1276">
        <v>3453</v>
      </c>
      <c r="Q1276" t="s">
        <v>91</v>
      </c>
      <c r="R1276" t="s">
        <v>75</v>
      </c>
      <c r="S1276" t="s">
        <v>7354</v>
      </c>
    </row>
    <row r="1277" spans="16:19" x14ac:dyDescent="0.25">
      <c r="P1277">
        <v>4608</v>
      </c>
      <c r="Q1277" t="s">
        <v>91</v>
      </c>
      <c r="R1277" t="s">
        <v>75</v>
      </c>
      <c r="S1277" t="s">
        <v>7354</v>
      </c>
    </row>
    <row r="1278" spans="16:19" x14ac:dyDescent="0.25">
      <c r="P1278">
        <v>5692</v>
      </c>
      <c r="Q1278" t="s">
        <v>91</v>
      </c>
      <c r="R1278" t="s">
        <v>75</v>
      </c>
      <c r="S1278" t="s">
        <v>7354</v>
      </c>
    </row>
    <row r="1279" spans="16:19" x14ac:dyDescent="0.25">
      <c r="P1279">
        <v>903</v>
      </c>
      <c r="Q1279" t="s">
        <v>91</v>
      </c>
      <c r="R1279" t="s">
        <v>75</v>
      </c>
      <c r="S1279" t="s">
        <v>7354</v>
      </c>
    </row>
    <row r="1280" spans="16:19" x14ac:dyDescent="0.25">
      <c r="P1280">
        <v>1532</v>
      </c>
      <c r="Q1280" t="s">
        <v>91</v>
      </c>
      <c r="R1280" t="s">
        <v>75</v>
      </c>
      <c r="S1280" t="s">
        <v>7354</v>
      </c>
    </row>
    <row r="1281" spans="16:19" x14ac:dyDescent="0.25">
      <c r="P1281">
        <v>4045</v>
      </c>
      <c r="Q1281" t="s">
        <v>91</v>
      </c>
      <c r="R1281" t="s">
        <v>75</v>
      </c>
      <c r="S1281" t="s">
        <v>7354</v>
      </c>
    </row>
    <row r="1282" spans="16:19" x14ac:dyDescent="0.25">
      <c r="P1282">
        <v>5971</v>
      </c>
      <c r="Q1282" t="s">
        <v>91</v>
      </c>
      <c r="R1282" t="s">
        <v>75</v>
      </c>
      <c r="S1282" t="s">
        <v>7354</v>
      </c>
    </row>
    <row r="1283" spans="16:19" x14ac:dyDescent="0.25">
      <c r="P1283">
        <v>1486</v>
      </c>
      <c r="Q1283" t="s">
        <v>91</v>
      </c>
      <c r="R1283" t="s">
        <v>75</v>
      </c>
      <c r="S1283" t="s">
        <v>7354</v>
      </c>
    </row>
    <row r="1284" spans="16:19" x14ac:dyDescent="0.25">
      <c r="P1284">
        <v>1541</v>
      </c>
      <c r="Q1284" t="s">
        <v>91</v>
      </c>
      <c r="R1284" t="s">
        <v>75</v>
      </c>
      <c r="S1284" t="s">
        <v>7354</v>
      </c>
    </row>
    <row r="1285" spans="16:19" x14ac:dyDescent="0.25">
      <c r="P1285">
        <v>12518</v>
      </c>
      <c r="Q1285" t="s">
        <v>91</v>
      </c>
      <c r="R1285" t="s">
        <v>75</v>
      </c>
      <c r="S1285" t="s">
        <v>7354</v>
      </c>
    </row>
    <row r="1286" spans="16:19" x14ac:dyDescent="0.25">
      <c r="P1286">
        <v>5146</v>
      </c>
      <c r="Q1286" t="s">
        <v>91</v>
      </c>
      <c r="R1286" t="s">
        <v>75</v>
      </c>
      <c r="S1286" t="s">
        <v>7354</v>
      </c>
    </row>
    <row r="1287" spans="16:19" x14ac:dyDescent="0.25">
      <c r="P1287">
        <v>968</v>
      </c>
      <c r="Q1287" t="s">
        <v>91</v>
      </c>
      <c r="R1287" t="s">
        <v>75</v>
      </c>
      <c r="S1287" t="s">
        <v>7354</v>
      </c>
    </row>
    <row r="1288" spans="16:19" x14ac:dyDescent="0.25">
      <c r="P1288">
        <v>1562</v>
      </c>
      <c r="Q1288" t="s">
        <v>91</v>
      </c>
      <c r="R1288" t="s">
        <v>75</v>
      </c>
      <c r="S1288" t="s">
        <v>7354</v>
      </c>
    </row>
    <row r="1289" spans="16:19" x14ac:dyDescent="0.25">
      <c r="P1289">
        <v>2001</v>
      </c>
      <c r="Q1289" t="s">
        <v>91</v>
      </c>
      <c r="R1289" t="s">
        <v>75</v>
      </c>
      <c r="S1289" t="s">
        <v>7354</v>
      </c>
    </row>
    <row r="1290" spans="16:19" x14ac:dyDescent="0.25">
      <c r="P1290">
        <v>1652</v>
      </c>
      <c r="Q1290" t="s">
        <v>91</v>
      </c>
      <c r="R1290" t="s">
        <v>75</v>
      </c>
      <c r="S1290" t="s">
        <v>7354</v>
      </c>
    </row>
    <row r="1291" spans="16:19" x14ac:dyDescent="0.25">
      <c r="P1291">
        <v>1221</v>
      </c>
      <c r="Q1291" t="s">
        <v>91</v>
      </c>
      <c r="R1291" t="s">
        <v>75</v>
      </c>
      <c r="S1291" t="s">
        <v>7354</v>
      </c>
    </row>
    <row r="1292" spans="16:19" x14ac:dyDescent="0.25">
      <c r="P1292">
        <v>635</v>
      </c>
      <c r="Q1292" t="s">
        <v>92</v>
      </c>
      <c r="R1292" t="s">
        <v>75</v>
      </c>
      <c r="S1292" t="s">
        <v>7354</v>
      </c>
    </row>
    <row r="1293" spans="16:19" x14ac:dyDescent="0.25">
      <c r="P1293">
        <v>724</v>
      </c>
      <c r="Q1293" t="s">
        <v>92</v>
      </c>
      <c r="R1293" t="s">
        <v>75</v>
      </c>
      <c r="S1293" t="s">
        <v>7354</v>
      </c>
    </row>
    <row r="1294" spans="16:19" x14ac:dyDescent="0.25">
      <c r="P1294">
        <v>2549</v>
      </c>
      <c r="Q1294" t="s">
        <v>92</v>
      </c>
      <c r="R1294" t="s">
        <v>75</v>
      </c>
      <c r="S1294" t="s">
        <v>7354</v>
      </c>
    </row>
    <row r="1295" spans="16:19" x14ac:dyDescent="0.25">
      <c r="P1295">
        <v>4001</v>
      </c>
      <c r="Q1295" t="s">
        <v>92</v>
      </c>
      <c r="R1295" t="s">
        <v>75</v>
      </c>
      <c r="S1295" t="s">
        <v>7354</v>
      </c>
    </row>
    <row r="1296" spans="16:19" x14ac:dyDescent="0.25">
      <c r="P1296">
        <v>2851</v>
      </c>
      <c r="Q1296" t="s">
        <v>92</v>
      </c>
      <c r="R1296" t="s">
        <v>75</v>
      </c>
      <c r="S1296" t="s">
        <v>7354</v>
      </c>
    </row>
    <row r="1297" spans="16:19" x14ac:dyDescent="0.25">
      <c r="P1297">
        <v>2342</v>
      </c>
      <c r="Q1297" t="s">
        <v>92</v>
      </c>
      <c r="R1297" t="s">
        <v>75</v>
      </c>
      <c r="S1297" t="s">
        <v>7354</v>
      </c>
    </row>
    <row r="1298" spans="16:19" x14ac:dyDescent="0.25">
      <c r="P1298">
        <v>1340</v>
      </c>
      <c r="Q1298" t="s">
        <v>92</v>
      </c>
      <c r="R1298" t="s">
        <v>75</v>
      </c>
      <c r="S1298" t="s">
        <v>7354</v>
      </c>
    </row>
    <row r="1299" spans="16:19" x14ac:dyDescent="0.25">
      <c r="P1299">
        <v>6431</v>
      </c>
      <c r="Q1299" t="s">
        <v>92</v>
      </c>
      <c r="R1299" t="s">
        <v>75</v>
      </c>
      <c r="S1299" t="s">
        <v>7354</v>
      </c>
    </row>
    <row r="1300" spans="16:19" x14ac:dyDescent="0.25">
      <c r="P1300">
        <v>1020</v>
      </c>
      <c r="Q1300" t="s">
        <v>92</v>
      </c>
      <c r="R1300" t="s">
        <v>75</v>
      </c>
      <c r="S1300" t="s">
        <v>7354</v>
      </c>
    </row>
    <row r="1301" spans="16:19" x14ac:dyDescent="0.25">
      <c r="P1301">
        <v>3209</v>
      </c>
      <c r="Q1301" t="s">
        <v>92</v>
      </c>
      <c r="R1301" t="s">
        <v>75</v>
      </c>
      <c r="S1301" t="s">
        <v>7354</v>
      </c>
    </row>
    <row r="1302" spans="16:19" x14ac:dyDescent="0.25">
      <c r="P1302">
        <v>3742</v>
      </c>
      <c r="Q1302" t="s">
        <v>92</v>
      </c>
      <c r="R1302" t="s">
        <v>75</v>
      </c>
      <c r="S1302" t="s">
        <v>7354</v>
      </c>
    </row>
    <row r="1303" spans="16:19" x14ac:dyDescent="0.25">
      <c r="P1303">
        <v>14436</v>
      </c>
      <c r="Q1303" t="s">
        <v>92</v>
      </c>
      <c r="R1303" t="s">
        <v>75</v>
      </c>
      <c r="S1303" t="s">
        <v>7354</v>
      </c>
    </row>
    <row r="1304" spans="16:19" x14ac:dyDescent="0.25">
      <c r="P1304">
        <v>959</v>
      </c>
      <c r="Q1304" t="s">
        <v>92</v>
      </c>
      <c r="R1304" t="s">
        <v>75</v>
      </c>
      <c r="S1304" t="s">
        <v>7354</v>
      </c>
    </row>
    <row r="1305" spans="16:19" x14ac:dyDescent="0.25">
      <c r="P1305">
        <v>1715</v>
      </c>
      <c r="Q1305" t="s">
        <v>92</v>
      </c>
      <c r="R1305" t="s">
        <v>75</v>
      </c>
      <c r="S1305" t="s">
        <v>7354</v>
      </c>
    </row>
    <row r="1306" spans="16:19" x14ac:dyDescent="0.25">
      <c r="P1306">
        <v>957</v>
      </c>
      <c r="Q1306" t="s">
        <v>92</v>
      </c>
      <c r="R1306" t="s">
        <v>75</v>
      </c>
      <c r="S1306" t="s">
        <v>7354</v>
      </c>
    </row>
    <row r="1307" spans="16:19" x14ac:dyDescent="0.25">
      <c r="P1307">
        <v>2964</v>
      </c>
      <c r="Q1307" t="s">
        <v>92</v>
      </c>
      <c r="R1307" t="s">
        <v>75</v>
      </c>
      <c r="S1307" t="s">
        <v>7354</v>
      </c>
    </row>
    <row r="1308" spans="16:19" x14ac:dyDescent="0.25">
      <c r="P1308">
        <v>2693</v>
      </c>
      <c r="Q1308" t="s">
        <v>92</v>
      </c>
      <c r="R1308" t="s">
        <v>75</v>
      </c>
      <c r="S1308" t="s">
        <v>7354</v>
      </c>
    </row>
    <row r="1309" spans="16:19" x14ac:dyDescent="0.25">
      <c r="P1309">
        <v>1411</v>
      </c>
      <c r="Q1309" t="s">
        <v>92</v>
      </c>
      <c r="R1309" t="s">
        <v>75</v>
      </c>
      <c r="S1309" t="s">
        <v>7354</v>
      </c>
    </row>
    <row r="1310" spans="16:19" x14ac:dyDescent="0.25">
      <c r="P1310">
        <v>2211</v>
      </c>
      <c r="Q1310" t="s">
        <v>92</v>
      </c>
      <c r="R1310" t="s">
        <v>75</v>
      </c>
      <c r="S1310" t="s">
        <v>7354</v>
      </c>
    </row>
    <row r="1311" spans="16:19" x14ac:dyDescent="0.25">
      <c r="P1311">
        <v>5016</v>
      </c>
      <c r="Q1311" t="s">
        <v>92</v>
      </c>
      <c r="R1311" t="s">
        <v>75</v>
      </c>
      <c r="S1311" t="s">
        <v>7354</v>
      </c>
    </row>
    <row r="1312" spans="16:19" x14ac:dyDescent="0.25">
      <c r="P1312">
        <v>2449</v>
      </c>
      <c r="Q1312" t="s">
        <v>92</v>
      </c>
      <c r="R1312" t="s">
        <v>75</v>
      </c>
      <c r="S1312" t="s">
        <v>7354</v>
      </c>
    </row>
    <row r="1313" spans="16:19" x14ac:dyDescent="0.25">
      <c r="P1313">
        <v>2503</v>
      </c>
      <c r="Q1313" t="s">
        <v>92</v>
      </c>
      <c r="R1313" t="s">
        <v>75</v>
      </c>
      <c r="S1313" t="s">
        <v>7354</v>
      </c>
    </row>
    <row r="1314" spans="16:19" x14ac:dyDescent="0.25">
      <c r="P1314">
        <v>5511</v>
      </c>
      <c r="Q1314" t="s">
        <v>92</v>
      </c>
      <c r="R1314" t="s">
        <v>75</v>
      </c>
      <c r="S1314" t="s">
        <v>7354</v>
      </c>
    </row>
    <row r="1315" spans="16:19" x14ac:dyDescent="0.25">
      <c r="P1315">
        <v>3570</v>
      </c>
      <c r="Q1315" t="s">
        <v>92</v>
      </c>
      <c r="R1315" t="s">
        <v>75</v>
      </c>
      <c r="S1315" t="s">
        <v>7354</v>
      </c>
    </row>
    <row r="1316" spans="16:19" x14ac:dyDescent="0.25">
      <c r="P1316">
        <v>155331</v>
      </c>
      <c r="Q1316" t="s">
        <v>94</v>
      </c>
      <c r="R1316" t="s">
        <v>93</v>
      </c>
      <c r="S1316" t="s">
        <v>146</v>
      </c>
    </row>
    <row r="1317" spans="16:19" x14ac:dyDescent="0.25">
      <c r="P1317">
        <v>5905</v>
      </c>
      <c r="Q1317" t="s">
        <v>95</v>
      </c>
      <c r="R1317" t="s">
        <v>93</v>
      </c>
      <c r="S1317" t="s">
        <v>146</v>
      </c>
    </row>
    <row r="1318" spans="16:19" x14ac:dyDescent="0.25">
      <c r="P1318">
        <v>3681</v>
      </c>
      <c r="Q1318" t="s">
        <v>95</v>
      </c>
      <c r="R1318" t="s">
        <v>93</v>
      </c>
      <c r="S1318" t="s">
        <v>146</v>
      </c>
    </row>
    <row r="1319" spans="16:19" x14ac:dyDescent="0.25">
      <c r="P1319">
        <v>2220</v>
      </c>
      <c r="Q1319" t="s">
        <v>95</v>
      </c>
      <c r="R1319" t="s">
        <v>93</v>
      </c>
      <c r="S1319" t="s">
        <v>146</v>
      </c>
    </row>
    <row r="1320" spans="16:19" x14ac:dyDescent="0.25">
      <c r="P1320">
        <v>4363</v>
      </c>
      <c r="Q1320" t="s">
        <v>95</v>
      </c>
      <c r="R1320" t="s">
        <v>93</v>
      </c>
      <c r="S1320" t="s">
        <v>146</v>
      </c>
    </row>
    <row r="1321" spans="16:19" x14ac:dyDescent="0.25">
      <c r="P1321">
        <v>21352</v>
      </c>
      <c r="Q1321" t="s">
        <v>95</v>
      </c>
      <c r="R1321" t="s">
        <v>93</v>
      </c>
      <c r="S1321" t="s">
        <v>146</v>
      </c>
    </row>
    <row r="1322" spans="16:19" x14ac:dyDescent="0.25">
      <c r="P1322">
        <v>876</v>
      </c>
      <c r="Q1322" t="s">
        <v>95</v>
      </c>
      <c r="R1322" t="s">
        <v>93</v>
      </c>
      <c r="S1322" t="s">
        <v>146</v>
      </c>
    </row>
    <row r="1323" spans="16:19" x14ac:dyDescent="0.25">
      <c r="P1323">
        <v>7470</v>
      </c>
      <c r="Q1323" t="s">
        <v>95</v>
      </c>
      <c r="R1323" t="s">
        <v>93</v>
      </c>
      <c r="S1323" t="s">
        <v>146</v>
      </c>
    </row>
    <row r="1324" spans="16:19" x14ac:dyDescent="0.25">
      <c r="P1324">
        <v>4404</v>
      </c>
      <c r="Q1324" t="s">
        <v>95</v>
      </c>
      <c r="R1324" t="s">
        <v>93</v>
      </c>
      <c r="S1324" t="s">
        <v>146</v>
      </c>
    </row>
    <row r="1325" spans="16:19" x14ac:dyDescent="0.25">
      <c r="P1325">
        <v>4740</v>
      </c>
      <c r="Q1325" t="s">
        <v>95</v>
      </c>
      <c r="R1325" t="s">
        <v>93</v>
      </c>
      <c r="S1325" t="s">
        <v>146</v>
      </c>
    </row>
    <row r="1326" spans="16:19" x14ac:dyDescent="0.25">
      <c r="P1326">
        <v>778</v>
      </c>
      <c r="Q1326" t="s">
        <v>95</v>
      </c>
      <c r="R1326" t="s">
        <v>93</v>
      </c>
      <c r="S1326" t="s">
        <v>146</v>
      </c>
    </row>
    <row r="1327" spans="16:19" x14ac:dyDescent="0.25">
      <c r="P1327">
        <v>1775</v>
      </c>
      <c r="Q1327" t="s">
        <v>95</v>
      </c>
      <c r="R1327" t="s">
        <v>93</v>
      </c>
      <c r="S1327" t="s">
        <v>146</v>
      </c>
    </row>
    <row r="1328" spans="16:19" x14ac:dyDescent="0.25">
      <c r="P1328">
        <v>1380</v>
      </c>
      <c r="Q1328" t="s">
        <v>95</v>
      </c>
      <c r="R1328" t="s">
        <v>93</v>
      </c>
      <c r="S1328" t="s">
        <v>146</v>
      </c>
    </row>
    <row r="1329" spans="16:19" x14ac:dyDescent="0.25">
      <c r="P1329">
        <v>2127</v>
      </c>
      <c r="Q1329" t="s">
        <v>95</v>
      </c>
      <c r="R1329" t="s">
        <v>93</v>
      </c>
      <c r="S1329" t="s">
        <v>146</v>
      </c>
    </row>
    <row r="1330" spans="16:19" x14ac:dyDescent="0.25">
      <c r="P1330">
        <v>4340</v>
      </c>
      <c r="Q1330" t="s">
        <v>96</v>
      </c>
      <c r="R1330" t="s">
        <v>93</v>
      </c>
      <c r="S1330" t="s">
        <v>146</v>
      </c>
    </row>
    <row r="1331" spans="16:19" x14ac:dyDescent="0.25">
      <c r="P1331">
        <v>3725</v>
      </c>
      <c r="Q1331" t="s">
        <v>96</v>
      </c>
      <c r="R1331" t="s">
        <v>93</v>
      </c>
      <c r="S1331" t="s">
        <v>146</v>
      </c>
    </row>
    <row r="1332" spans="16:19" x14ac:dyDescent="0.25">
      <c r="P1332">
        <v>5706</v>
      </c>
      <c r="Q1332" t="s">
        <v>96</v>
      </c>
      <c r="R1332" t="s">
        <v>93</v>
      </c>
      <c r="S1332" t="s">
        <v>146</v>
      </c>
    </row>
    <row r="1333" spans="16:19" x14ac:dyDescent="0.25">
      <c r="P1333">
        <v>1739</v>
      </c>
      <c r="Q1333" t="s">
        <v>96</v>
      </c>
      <c r="R1333" t="s">
        <v>93</v>
      </c>
      <c r="S1333" t="s">
        <v>146</v>
      </c>
    </row>
    <row r="1334" spans="16:19" x14ac:dyDescent="0.25">
      <c r="P1334">
        <v>4963</v>
      </c>
      <c r="Q1334" t="s">
        <v>96</v>
      </c>
      <c r="R1334" t="s">
        <v>93</v>
      </c>
      <c r="S1334" t="s">
        <v>146</v>
      </c>
    </row>
    <row r="1335" spans="16:19" x14ac:dyDescent="0.25">
      <c r="P1335">
        <v>1595</v>
      </c>
      <c r="Q1335" t="s">
        <v>96</v>
      </c>
      <c r="R1335" t="s">
        <v>93</v>
      </c>
      <c r="S1335" t="s">
        <v>146</v>
      </c>
    </row>
    <row r="1336" spans="16:19" x14ac:dyDescent="0.25">
      <c r="P1336">
        <v>1435</v>
      </c>
      <c r="Q1336" t="s">
        <v>96</v>
      </c>
      <c r="R1336" t="s">
        <v>93</v>
      </c>
      <c r="S1336" t="s">
        <v>146</v>
      </c>
    </row>
    <row r="1337" spans="16:19" x14ac:dyDescent="0.25">
      <c r="P1337">
        <v>3076</v>
      </c>
      <c r="Q1337" t="s">
        <v>96</v>
      </c>
      <c r="R1337" t="s">
        <v>93</v>
      </c>
      <c r="S1337" t="s">
        <v>146</v>
      </c>
    </row>
    <row r="1338" spans="16:19" x14ac:dyDescent="0.25">
      <c r="P1338">
        <v>5486</v>
      </c>
      <c r="Q1338" t="s">
        <v>96</v>
      </c>
      <c r="R1338" t="s">
        <v>93</v>
      </c>
      <c r="S1338" t="s">
        <v>146</v>
      </c>
    </row>
    <row r="1339" spans="16:19" x14ac:dyDescent="0.25">
      <c r="P1339">
        <v>7153</v>
      </c>
      <c r="Q1339" t="s">
        <v>96</v>
      </c>
      <c r="R1339" t="s">
        <v>93</v>
      </c>
      <c r="S1339" t="s">
        <v>146</v>
      </c>
    </row>
    <row r="1340" spans="16:19" x14ac:dyDescent="0.25">
      <c r="P1340">
        <v>3090</v>
      </c>
      <c r="Q1340" t="s">
        <v>96</v>
      </c>
      <c r="R1340" t="s">
        <v>93</v>
      </c>
      <c r="S1340" t="s">
        <v>146</v>
      </c>
    </row>
    <row r="1341" spans="16:19" x14ac:dyDescent="0.25">
      <c r="P1341">
        <v>1620</v>
      </c>
      <c r="Q1341" t="s">
        <v>96</v>
      </c>
      <c r="R1341" t="s">
        <v>93</v>
      </c>
      <c r="S1341" t="s">
        <v>146</v>
      </c>
    </row>
    <row r="1342" spans="16:19" x14ac:dyDescent="0.25">
      <c r="P1342">
        <v>771</v>
      </c>
      <c r="Q1342" t="s">
        <v>96</v>
      </c>
      <c r="R1342" t="s">
        <v>93</v>
      </c>
      <c r="S1342" t="s">
        <v>146</v>
      </c>
    </row>
    <row r="1343" spans="16:19" x14ac:dyDescent="0.25">
      <c r="P1343">
        <v>7432</v>
      </c>
      <c r="Q1343" t="s">
        <v>96</v>
      </c>
      <c r="R1343" t="s">
        <v>93</v>
      </c>
      <c r="S1343" t="s">
        <v>146</v>
      </c>
    </row>
    <row r="1344" spans="16:19" x14ac:dyDescent="0.25">
      <c r="P1344">
        <v>2628</v>
      </c>
      <c r="Q1344" t="s">
        <v>96</v>
      </c>
      <c r="R1344" t="s">
        <v>93</v>
      </c>
      <c r="S1344" t="s">
        <v>146</v>
      </c>
    </row>
    <row r="1345" spans="16:19" x14ac:dyDescent="0.25">
      <c r="P1345">
        <v>4221</v>
      </c>
      <c r="Q1345" t="s">
        <v>96</v>
      </c>
      <c r="R1345" t="s">
        <v>93</v>
      </c>
      <c r="S1345" t="s">
        <v>146</v>
      </c>
    </row>
    <row r="1346" spans="16:19" x14ac:dyDescent="0.25">
      <c r="P1346">
        <v>4996</v>
      </c>
      <c r="Q1346" t="s">
        <v>96</v>
      </c>
      <c r="R1346" t="s">
        <v>93</v>
      </c>
      <c r="S1346" t="s">
        <v>146</v>
      </c>
    </row>
    <row r="1347" spans="16:19" x14ac:dyDescent="0.25">
      <c r="P1347">
        <v>468</v>
      </c>
      <c r="Q1347" t="s">
        <v>96</v>
      </c>
      <c r="R1347" t="s">
        <v>93</v>
      </c>
      <c r="S1347" t="s">
        <v>146</v>
      </c>
    </row>
    <row r="1348" spans="16:19" x14ac:dyDescent="0.25">
      <c r="P1348">
        <v>3570</v>
      </c>
      <c r="Q1348" t="s">
        <v>96</v>
      </c>
      <c r="R1348" t="s">
        <v>93</v>
      </c>
      <c r="S1348" t="s">
        <v>146</v>
      </c>
    </row>
    <row r="1349" spans="16:19" x14ac:dyDescent="0.25">
      <c r="P1349">
        <v>2667</v>
      </c>
      <c r="Q1349" t="s">
        <v>96</v>
      </c>
      <c r="R1349" t="s">
        <v>93</v>
      </c>
      <c r="S1349" t="s">
        <v>146</v>
      </c>
    </row>
    <row r="1350" spans="16:19" x14ac:dyDescent="0.25">
      <c r="P1350">
        <v>3661</v>
      </c>
      <c r="Q1350" t="s">
        <v>96</v>
      </c>
      <c r="R1350" t="s">
        <v>93</v>
      </c>
      <c r="S1350" t="s">
        <v>146</v>
      </c>
    </row>
    <row r="1351" spans="16:19" x14ac:dyDescent="0.25">
      <c r="P1351">
        <v>4065</v>
      </c>
      <c r="Q1351" t="s">
        <v>96</v>
      </c>
      <c r="R1351" t="s">
        <v>93</v>
      </c>
      <c r="S1351" t="s">
        <v>146</v>
      </c>
    </row>
    <row r="1352" spans="16:19" x14ac:dyDescent="0.25">
      <c r="P1352">
        <v>3466</v>
      </c>
      <c r="Q1352" t="s">
        <v>96</v>
      </c>
      <c r="R1352" t="s">
        <v>93</v>
      </c>
      <c r="S1352" t="s">
        <v>146</v>
      </c>
    </row>
    <row r="1353" spans="16:19" x14ac:dyDescent="0.25">
      <c r="P1353">
        <v>6592</v>
      </c>
      <c r="Q1353" t="s">
        <v>96</v>
      </c>
      <c r="R1353" t="s">
        <v>93</v>
      </c>
      <c r="S1353" t="s">
        <v>146</v>
      </c>
    </row>
    <row r="1354" spans="16:19" x14ac:dyDescent="0.25">
      <c r="P1354">
        <v>2450</v>
      </c>
      <c r="Q1354" t="s">
        <v>96</v>
      </c>
      <c r="R1354" t="s">
        <v>93</v>
      </c>
      <c r="S1354" t="s">
        <v>146</v>
      </c>
    </row>
    <row r="1355" spans="16:19" x14ac:dyDescent="0.25">
      <c r="P1355">
        <v>5927</v>
      </c>
      <c r="Q1355" t="s">
        <v>96</v>
      </c>
      <c r="R1355" t="s">
        <v>93</v>
      </c>
      <c r="S1355" t="s">
        <v>146</v>
      </c>
    </row>
    <row r="1356" spans="16:19" x14ac:dyDescent="0.25">
      <c r="P1356">
        <v>4979</v>
      </c>
      <c r="Q1356" t="s">
        <v>96</v>
      </c>
      <c r="R1356" t="s">
        <v>93</v>
      </c>
      <c r="S1356" t="s">
        <v>146</v>
      </c>
    </row>
    <row r="1357" spans="16:19" x14ac:dyDescent="0.25">
      <c r="P1357">
        <v>1271</v>
      </c>
      <c r="Q1357" t="s">
        <v>96</v>
      </c>
      <c r="R1357" t="s">
        <v>93</v>
      </c>
      <c r="S1357" t="s">
        <v>146</v>
      </c>
    </row>
    <row r="1358" spans="16:19" x14ac:dyDescent="0.25">
      <c r="P1358">
        <v>3055</v>
      </c>
      <c r="Q1358" t="s">
        <v>96</v>
      </c>
      <c r="R1358" t="s">
        <v>93</v>
      </c>
      <c r="S1358" t="s">
        <v>146</v>
      </c>
    </row>
    <row r="1359" spans="16:19" x14ac:dyDescent="0.25">
      <c r="P1359">
        <v>4065</v>
      </c>
      <c r="Q1359" t="s">
        <v>96</v>
      </c>
      <c r="R1359" t="s">
        <v>93</v>
      </c>
      <c r="S1359" t="s">
        <v>146</v>
      </c>
    </row>
    <row r="1360" spans="16:19" x14ac:dyDescent="0.25">
      <c r="P1360">
        <v>1137</v>
      </c>
      <c r="Q1360" t="s">
        <v>96</v>
      </c>
      <c r="R1360" t="s">
        <v>93</v>
      </c>
      <c r="S1360" t="s">
        <v>146</v>
      </c>
    </row>
    <row r="1361" spans="16:19" x14ac:dyDescent="0.25">
      <c r="P1361">
        <v>1974</v>
      </c>
      <c r="Q1361" t="s">
        <v>96</v>
      </c>
      <c r="R1361" t="s">
        <v>93</v>
      </c>
      <c r="S1361" t="s">
        <v>146</v>
      </c>
    </row>
    <row r="1362" spans="16:19" x14ac:dyDescent="0.25">
      <c r="P1362">
        <v>7884</v>
      </c>
      <c r="Q1362" t="s">
        <v>96</v>
      </c>
      <c r="R1362" t="s">
        <v>93</v>
      </c>
      <c r="S1362" t="s">
        <v>146</v>
      </c>
    </row>
    <row r="1363" spans="16:19" x14ac:dyDescent="0.25">
      <c r="P1363">
        <v>3678</v>
      </c>
      <c r="Q1363" t="s">
        <v>96</v>
      </c>
      <c r="R1363" t="s">
        <v>93</v>
      </c>
      <c r="S1363" t="s">
        <v>146</v>
      </c>
    </row>
    <row r="1364" spans="16:19" x14ac:dyDescent="0.25">
      <c r="P1364">
        <v>5991</v>
      </c>
      <c r="Q1364" t="s">
        <v>96</v>
      </c>
      <c r="R1364" t="s">
        <v>93</v>
      </c>
      <c r="S1364" t="s">
        <v>146</v>
      </c>
    </row>
    <row r="1365" spans="16:19" x14ac:dyDescent="0.25">
      <c r="P1365">
        <v>13728</v>
      </c>
      <c r="Q1365" t="s">
        <v>96</v>
      </c>
      <c r="R1365" t="s">
        <v>93</v>
      </c>
      <c r="S1365" t="s">
        <v>146</v>
      </c>
    </row>
    <row r="1366" spans="16:19" x14ac:dyDescent="0.25">
      <c r="P1366">
        <v>11089</v>
      </c>
      <c r="Q1366" t="s">
        <v>96</v>
      </c>
      <c r="R1366" t="s">
        <v>93</v>
      </c>
      <c r="S1366" t="s">
        <v>146</v>
      </c>
    </row>
    <row r="1367" spans="16:19" x14ac:dyDescent="0.25">
      <c r="P1367">
        <v>4587</v>
      </c>
      <c r="Q1367" t="s">
        <v>97</v>
      </c>
      <c r="R1367" t="s">
        <v>93</v>
      </c>
      <c r="S1367" t="s">
        <v>146</v>
      </c>
    </row>
    <row r="1368" spans="16:19" x14ac:dyDescent="0.25">
      <c r="P1368">
        <v>6727</v>
      </c>
      <c r="Q1368" t="s">
        <v>97</v>
      </c>
      <c r="R1368" t="s">
        <v>93</v>
      </c>
      <c r="S1368" t="s">
        <v>146</v>
      </c>
    </row>
    <row r="1369" spans="16:19" x14ac:dyDescent="0.25">
      <c r="P1369">
        <v>3894</v>
      </c>
      <c r="Q1369" t="s">
        <v>97</v>
      </c>
      <c r="R1369" t="s">
        <v>93</v>
      </c>
      <c r="S1369" t="s">
        <v>146</v>
      </c>
    </row>
    <row r="1370" spans="16:19" x14ac:dyDescent="0.25">
      <c r="P1370">
        <v>10475</v>
      </c>
      <c r="Q1370" t="s">
        <v>97</v>
      </c>
      <c r="R1370" t="s">
        <v>93</v>
      </c>
      <c r="S1370" t="s">
        <v>146</v>
      </c>
    </row>
    <row r="1371" spans="16:19" x14ac:dyDescent="0.25">
      <c r="P1371">
        <v>1669</v>
      </c>
      <c r="Q1371" t="s">
        <v>97</v>
      </c>
      <c r="R1371" t="s">
        <v>93</v>
      </c>
      <c r="S1371" t="s">
        <v>146</v>
      </c>
    </row>
    <row r="1372" spans="16:19" x14ac:dyDescent="0.25">
      <c r="P1372">
        <v>2603</v>
      </c>
      <c r="Q1372" t="s">
        <v>97</v>
      </c>
      <c r="R1372" t="s">
        <v>93</v>
      </c>
      <c r="S1372" t="s">
        <v>146</v>
      </c>
    </row>
    <row r="1373" spans="16:19" x14ac:dyDescent="0.25">
      <c r="P1373">
        <v>1494</v>
      </c>
      <c r="Q1373" t="s">
        <v>97</v>
      </c>
      <c r="R1373" t="s">
        <v>93</v>
      </c>
      <c r="S1373" t="s">
        <v>146</v>
      </c>
    </row>
    <row r="1374" spans="16:19" x14ac:dyDescent="0.25">
      <c r="P1374">
        <v>2999</v>
      </c>
      <c r="Q1374" t="s">
        <v>97</v>
      </c>
      <c r="R1374" t="s">
        <v>93</v>
      </c>
      <c r="S1374" t="s">
        <v>146</v>
      </c>
    </row>
    <row r="1375" spans="16:19" x14ac:dyDescent="0.25">
      <c r="P1375">
        <v>550</v>
      </c>
      <c r="Q1375" t="s">
        <v>97</v>
      </c>
      <c r="R1375" t="s">
        <v>93</v>
      </c>
      <c r="S1375" t="s">
        <v>146</v>
      </c>
    </row>
    <row r="1376" spans="16:19" x14ac:dyDescent="0.25">
      <c r="P1376">
        <v>2618</v>
      </c>
      <c r="Q1376" t="s">
        <v>97</v>
      </c>
      <c r="R1376" t="s">
        <v>93</v>
      </c>
      <c r="S1376" t="s">
        <v>146</v>
      </c>
    </row>
    <row r="1377" spans="16:19" x14ac:dyDescent="0.25">
      <c r="P1377">
        <v>3784</v>
      </c>
      <c r="Q1377" t="s">
        <v>97</v>
      </c>
      <c r="R1377" t="s">
        <v>93</v>
      </c>
      <c r="S1377" t="s">
        <v>146</v>
      </c>
    </row>
    <row r="1378" spans="16:19" x14ac:dyDescent="0.25">
      <c r="P1378">
        <v>1459</v>
      </c>
      <c r="Q1378" t="s">
        <v>97</v>
      </c>
      <c r="R1378" t="s">
        <v>93</v>
      </c>
      <c r="S1378" t="s">
        <v>146</v>
      </c>
    </row>
    <row r="1379" spans="16:19" x14ac:dyDescent="0.25">
      <c r="P1379">
        <v>906</v>
      </c>
      <c r="Q1379" t="s">
        <v>97</v>
      </c>
      <c r="R1379" t="s">
        <v>93</v>
      </c>
      <c r="S1379" t="s">
        <v>146</v>
      </c>
    </row>
    <row r="1380" spans="16:19" x14ac:dyDescent="0.25">
      <c r="P1380">
        <v>813</v>
      </c>
      <c r="Q1380" t="s">
        <v>97</v>
      </c>
      <c r="R1380" t="s">
        <v>93</v>
      </c>
      <c r="S1380" t="s">
        <v>146</v>
      </c>
    </row>
    <row r="1381" spans="16:19" x14ac:dyDescent="0.25">
      <c r="P1381">
        <v>1426</v>
      </c>
      <c r="Q1381" t="s">
        <v>97</v>
      </c>
      <c r="R1381" t="s">
        <v>93</v>
      </c>
      <c r="S1381" t="s">
        <v>146</v>
      </c>
    </row>
    <row r="1382" spans="16:19" x14ac:dyDescent="0.25">
      <c r="P1382">
        <v>2541</v>
      </c>
      <c r="Q1382" t="s">
        <v>97</v>
      </c>
      <c r="R1382" t="s">
        <v>93</v>
      </c>
      <c r="S1382" t="s">
        <v>146</v>
      </c>
    </row>
    <row r="1383" spans="16:19" x14ac:dyDescent="0.25">
      <c r="P1383">
        <v>4881</v>
      </c>
      <c r="Q1383" t="s">
        <v>97</v>
      </c>
      <c r="R1383" t="s">
        <v>93</v>
      </c>
      <c r="S1383" t="s">
        <v>146</v>
      </c>
    </row>
    <row r="1384" spans="16:19" x14ac:dyDescent="0.25">
      <c r="P1384">
        <v>11402</v>
      </c>
      <c r="Q1384" t="s">
        <v>97</v>
      </c>
      <c r="R1384" t="s">
        <v>93</v>
      </c>
      <c r="S1384" t="s">
        <v>146</v>
      </c>
    </row>
    <row r="1385" spans="16:19" x14ac:dyDescent="0.25">
      <c r="P1385">
        <v>1754</v>
      </c>
      <c r="Q1385" t="s">
        <v>97</v>
      </c>
      <c r="R1385" t="s">
        <v>93</v>
      </c>
      <c r="S1385" t="s">
        <v>146</v>
      </c>
    </row>
    <row r="1386" spans="16:19" x14ac:dyDescent="0.25">
      <c r="P1386">
        <v>3896</v>
      </c>
      <c r="Q1386" t="s">
        <v>97</v>
      </c>
      <c r="R1386" t="s">
        <v>93</v>
      </c>
      <c r="S1386" t="s">
        <v>146</v>
      </c>
    </row>
    <row r="1387" spans="16:19" x14ac:dyDescent="0.25">
      <c r="P1387">
        <v>3493</v>
      </c>
      <c r="Q1387" t="s">
        <v>97</v>
      </c>
      <c r="R1387" t="s">
        <v>93</v>
      </c>
      <c r="S1387" t="s">
        <v>146</v>
      </c>
    </row>
    <row r="1388" spans="16:19" x14ac:dyDescent="0.25">
      <c r="P1388">
        <v>451</v>
      </c>
      <c r="Q1388" t="s">
        <v>97</v>
      </c>
      <c r="R1388" t="s">
        <v>93</v>
      </c>
      <c r="S1388" t="s">
        <v>146</v>
      </c>
    </row>
    <row r="1389" spans="16:19" x14ac:dyDescent="0.25">
      <c r="P1389">
        <v>3125</v>
      </c>
      <c r="Q1389" t="s">
        <v>97</v>
      </c>
      <c r="R1389" t="s">
        <v>93</v>
      </c>
      <c r="S1389" t="s">
        <v>146</v>
      </c>
    </row>
    <row r="1390" spans="16:19" x14ac:dyDescent="0.25">
      <c r="P1390">
        <v>3081</v>
      </c>
      <c r="Q1390" t="s">
        <v>97</v>
      </c>
      <c r="R1390" t="s">
        <v>93</v>
      </c>
      <c r="S1390" t="s">
        <v>146</v>
      </c>
    </row>
    <row r="1391" spans="16:19" x14ac:dyDescent="0.25">
      <c r="P1391">
        <v>1078</v>
      </c>
      <c r="Q1391" t="s">
        <v>97</v>
      </c>
      <c r="R1391" t="s">
        <v>93</v>
      </c>
      <c r="S1391" t="s">
        <v>146</v>
      </c>
    </row>
    <row r="1392" spans="16:19" x14ac:dyDescent="0.25">
      <c r="P1392">
        <v>345</v>
      </c>
      <c r="Q1392" t="s">
        <v>98</v>
      </c>
      <c r="R1392" t="s">
        <v>93</v>
      </c>
      <c r="S1392" t="s">
        <v>146</v>
      </c>
    </row>
    <row r="1393" spans="16:19" x14ac:dyDescent="0.25">
      <c r="P1393">
        <v>541</v>
      </c>
      <c r="Q1393" t="s">
        <v>98</v>
      </c>
      <c r="R1393" t="s">
        <v>93</v>
      </c>
      <c r="S1393" t="s">
        <v>146</v>
      </c>
    </row>
    <row r="1394" spans="16:19" x14ac:dyDescent="0.25">
      <c r="P1394">
        <v>2449</v>
      </c>
      <c r="Q1394" t="s">
        <v>98</v>
      </c>
      <c r="R1394" t="s">
        <v>93</v>
      </c>
      <c r="S1394" t="s">
        <v>146</v>
      </c>
    </row>
    <row r="1395" spans="16:19" x14ac:dyDescent="0.25">
      <c r="P1395">
        <v>1604</v>
      </c>
      <c r="Q1395" t="s">
        <v>98</v>
      </c>
      <c r="R1395" t="s">
        <v>93</v>
      </c>
      <c r="S1395" t="s">
        <v>146</v>
      </c>
    </row>
    <row r="1396" spans="16:19" x14ac:dyDescent="0.25">
      <c r="P1396">
        <v>476</v>
      </c>
      <c r="Q1396" t="s">
        <v>98</v>
      </c>
      <c r="R1396" t="s">
        <v>93</v>
      </c>
      <c r="S1396" t="s">
        <v>146</v>
      </c>
    </row>
    <row r="1397" spans="16:19" x14ac:dyDescent="0.25">
      <c r="P1397">
        <v>1035</v>
      </c>
      <c r="Q1397" t="s">
        <v>98</v>
      </c>
      <c r="R1397" t="s">
        <v>93</v>
      </c>
      <c r="S1397" t="s">
        <v>146</v>
      </c>
    </row>
    <row r="1398" spans="16:19" x14ac:dyDescent="0.25">
      <c r="P1398">
        <v>762</v>
      </c>
      <c r="Q1398" t="s">
        <v>98</v>
      </c>
      <c r="R1398" t="s">
        <v>93</v>
      </c>
      <c r="S1398" t="s">
        <v>146</v>
      </c>
    </row>
    <row r="1399" spans="16:19" x14ac:dyDescent="0.25">
      <c r="P1399">
        <v>710</v>
      </c>
      <c r="Q1399" t="s">
        <v>98</v>
      </c>
      <c r="R1399" t="s">
        <v>93</v>
      </c>
      <c r="S1399" t="s">
        <v>146</v>
      </c>
    </row>
    <row r="1400" spans="16:19" x14ac:dyDescent="0.25">
      <c r="P1400">
        <v>3488</v>
      </c>
      <c r="Q1400" t="s">
        <v>98</v>
      </c>
      <c r="R1400" t="s">
        <v>93</v>
      </c>
      <c r="S1400" t="s">
        <v>146</v>
      </c>
    </row>
    <row r="1401" spans="16:19" x14ac:dyDescent="0.25">
      <c r="P1401">
        <v>5665</v>
      </c>
      <c r="Q1401" t="s">
        <v>98</v>
      </c>
      <c r="R1401" t="s">
        <v>93</v>
      </c>
      <c r="S1401" t="s">
        <v>146</v>
      </c>
    </row>
    <row r="1402" spans="16:19" x14ac:dyDescent="0.25">
      <c r="P1402">
        <v>348</v>
      </c>
      <c r="Q1402" t="s">
        <v>98</v>
      </c>
      <c r="R1402" t="s">
        <v>93</v>
      </c>
      <c r="S1402" t="s">
        <v>146</v>
      </c>
    </row>
    <row r="1403" spans="16:19" x14ac:dyDescent="0.25">
      <c r="P1403">
        <v>260</v>
      </c>
      <c r="Q1403" t="s">
        <v>98</v>
      </c>
      <c r="R1403" t="s">
        <v>93</v>
      </c>
      <c r="S1403" t="s">
        <v>146</v>
      </c>
    </row>
    <row r="1404" spans="16:19" x14ac:dyDescent="0.25">
      <c r="P1404">
        <v>1002</v>
      </c>
      <c r="Q1404" t="s">
        <v>98</v>
      </c>
      <c r="R1404" t="s">
        <v>93</v>
      </c>
      <c r="S1404" t="s">
        <v>146</v>
      </c>
    </row>
    <row r="1405" spans="16:19" x14ac:dyDescent="0.25">
      <c r="P1405">
        <v>306</v>
      </c>
      <c r="Q1405" t="s">
        <v>98</v>
      </c>
      <c r="R1405" t="s">
        <v>93</v>
      </c>
      <c r="S1405" t="s">
        <v>146</v>
      </c>
    </row>
    <row r="1406" spans="16:19" x14ac:dyDescent="0.25">
      <c r="P1406">
        <v>1168</v>
      </c>
      <c r="Q1406" t="s">
        <v>98</v>
      </c>
      <c r="R1406" t="s">
        <v>93</v>
      </c>
      <c r="S1406" t="s">
        <v>146</v>
      </c>
    </row>
    <row r="1407" spans="16:19" x14ac:dyDescent="0.25">
      <c r="P1407">
        <v>4000</v>
      </c>
      <c r="Q1407" t="s">
        <v>99</v>
      </c>
      <c r="R1407" t="s">
        <v>93</v>
      </c>
      <c r="S1407" t="s">
        <v>146</v>
      </c>
    </row>
    <row r="1408" spans="16:19" x14ac:dyDescent="0.25">
      <c r="P1408">
        <v>4895</v>
      </c>
      <c r="Q1408" t="s">
        <v>99</v>
      </c>
      <c r="R1408" t="s">
        <v>93</v>
      </c>
      <c r="S1408" t="s">
        <v>146</v>
      </c>
    </row>
    <row r="1409" spans="16:19" x14ac:dyDescent="0.25">
      <c r="P1409">
        <v>723</v>
      </c>
      <c r="Q1409" t="s">
        <v>99</v>
      </c>
      <c r="R1409" t="s">
        <v>93</v>
      </c>
      <c r="S1409" t="s">
        <v>146</v>
      </c>
    </row>
    <row r="1410" spans="16:19" x14ac:dyDescent="0.25">
      <c r="P1410">
        <v>754</v>
      </c>
      <c r="Q1410" t="s">
        <v>99</v>
      </c>
      <c r="R1410" t="s">
        <v>93</v>
      </c>
      <c r="S1410" t="s">
        <v>146</v>
      </c>
    </row>
    <row r="1411" spans="16:19" x14ac:dyDescent="0.25">
      <c r="P1411">
        <v>1226</v>
      </c>
      <c r="Q1411" t="s">
        <v>99</v>
      </c>
      <c r="R1411" t="s">
        <v>93</v>
      </c>
      <c r="S1411" t="s">
        <v>146</v>
      </c>
    </row>
    <row r="1412" spans="16:19" x14ac:dyDescent="0.25">
      <c r="P1412">
        <v>3108</v>
      </c>
      <c r="Q1412" t="s">
        <v>99</v>
      </c>
      <c r="R1412" t="s">
        <v>93</v>
      </c>
      <c r="S1412" t="s">
        <v>146</v>
      </c>
    </row>
    <row r="1413" spans="16:19" x14ac:dyDescent="0.25">
      <c r="P1413">
        <v>837</v>
      </c>
      <c r="Q1413" t="s">
        <v>99</v>
      </c>
      <c r="R1413" t="s">
        <v>93</v>
      </c>
      <c r="S1413" t="s">
        <v>146</v>
      </c>
    </row>
    <row r="1414" spans="16:19" x14ac:dyDescent="0.25">
      <c r="P1414">
        <v>1280</v>
      </c>
      <c r="Q1414" t="s">
        <v>99</v>
      </c>
      <c r="R1414" t="s">
        <v>93</v>
      </c>
      <c r="S1414" t="s">
        <v>146</v>
      </c>
    </row>
    <row r="1415" spans="16:19" x14ac:dyDescent="0.25">
      <c r="P1415">
        <v>3428</v>
      </c>
      <c r="Q1415" t="s">
        <v>99</v>
      </c>
      <c r="R1415" t="s">
        <v>93</v>
      </c>
      <c r="S1415" t="s">
        <v>146</v>
      </c>
    </row>
    <row r="1416" spans="16:19" x14ac:dyDescent="0.25">
      <c r="P1416">
        <v>2102</v>
      </c>
      <c r="Q1416" t="s">
        <v>99</v>
      </c>
      <c r="R1416" t="s">
        <v>93</v>
      </c>
      <c r="S1416" t="s">
        <v>146</v>
      </c>
    </row>
    <row r="1417" spans="16:19" x14ac:dyDescent="0.25">
      <c r="P1417">
        <v>3620</v>
      </c>
      <c r="Q1417" t="s">
        <v>99</v>
      </c>
      <c r="R1417" t="s">
        <v>93</v>
      </c>
      <c r="S1417" t="s">
        <v>146</v>
      </c>
    </row>
    <row r="1418" spans="16:19" x14ac:dyDescent="0.25">
      <c r="P1418">
        <v>2231</v>
      </c>
      <c r="Q1418" t="s">
        <v>99</v>
      </c>
      <c r="R1418" t="s">
        <v>93</v>
      </c>
      <c r="S1418" t="s">
        <v>146</v>
      </c>
    </row>
    <row r="1419" spans="16:19" x14ac:dyDescent="0.25">
      <c r="P1419">
        <v>5710</v>
      </c>
      <c r="Q1419" t="s">
        <v>99</v>
      </c>
      <c r="R1419" t="s">
        <v>93</v>
      </c>
      <c r="S1419" t="s">
        <v>146</v>
      </c>
    </row>
    <row r="1420" spans="16:19" x14ac:dyDescent="0.25">
      <c r="P1420">
        <v>2586</v>
      </c>
      <c r="Q1420" t="s">
        <v>99</v>
      </c>
      <c r="R1420" t="s">
        <v>93</v>
      </c>
      <c r="S1420" t="s">
        <v>146</v>
      </c>
    </row>
    <row r="1421" spans="16:19" x14ac:dyDescent="0.25">
      <c r="P1421">
        <v>2763</v>
      </c>
      <c r="Q1421" t="s">
        <v>99</v>
      </c>
      <c r="R1421" t="s">
        <v>93</v>
      </c>
      <c r="S1421" t="s">
        <v>146</v>
      </c>
    </row>
    <row r="1422" spans="16:19" x14ac:dyDescent="0.25">
      <c r="P1422">
        <v>3843</v>
      </c>
      <c r="Q1422" t="s">
        <v>99</v>
      </c>
      <c r="R1422" t="s">
        <v>93</v>
      </c>
      <c r="S1422" t="s">
        <v>146</v>
      </c>
    </row>
    <row r="1423" spans="16:19" x14ac:dyDescent="0.25">
      <c r="P1423">
        <v>3065</v>
      </c>
      <c r="Q1423" t="s">
        <v>99</v>
      </c>
      <c r="R1423" t="s">
        <v>93</v>
      </c>
      <c r="S1423" t="s">
        <v>146</v>
      </c>
    </row>
    <row r="1424" spans="16:19" x14ac:dyDescent="0.25">
      <c r="P1424">
        <v>2837</v>
      </c>
      <c r="Q1424" t="s">
        <v>99</v>
      </c>
      <c r="R1424" t="s">
        <v>93</v>
      </c>
      <c r="S1424" t="s">
        <v>146</v>
      </c>
    </row>
    <row r="1425" spans="16:19" x14ac:dyDescent="0.25">
      <c r="P1425">
        <v>16961</v>
      </c>
      <c r="Q1425" t="s">
        <v>99</v>
      </c>
      <c r="R1425" t="s">
        <v>93</v>
      </c>
      <c r="S1425" t="s">
        <v>146</v>
      </c>
    </row>
    <row r="1426" spans="16:19" x14ac:dyDescent="0.25">
      <c r="P1426">
        <v>1192</v>
      </c>
      <c r="Q1426" t="s">
        <v>99</v>
      </c>
      <c r="R1426" t="s">
        <v>93</v>
      </c>
      <c r="S1426" t="s">
        <v>146</v>
      </c>
    </row>
    <row r="1427" spans="16:19" x14ac:dyDescent="0.25">
      <c r="P1427">
        <v>1549</v>
      </c>
      <c r="Q1427" t="s">
        <v>99</v>
      </c>
      <c r="R1427" t="s">
        <v>93</v>
      </c>
      <c r="S1427" t="s">
        <v>146</v>
      </c>
    </row>
    <row r="1428" spans="16:19" x14ac:dyDescent="0.25">
      <c r="P1428">
        <v>2705</v>
      </c>
      <c r="Q1428" t="s">
        <v>99</v>
      </c>
      <c r="R1428" t="s">
        <v>93</v>
      </c>
      <c r="S1428" t="s">
        <v>146</v>
      </c>
    </row>
    <row r="1429" spans="16:19" x14ac:dyDescent="0.25">
      <c r="P1429">
        <v>1969</v>
      </c>
      <c r="Q1429" t="s">
        <v>99</v>
      </c>
      <c r="R1429" t="s">
        <v>93</v>
      </c>
      <c r="S1429" t="s">
        <v>146</v>
      </c>
    </row>
    <row r="1430" spans="16:19" x14ac:dyDescent="0.25">
      <c r="P1430">
        <v>3011</v>
      </c>
      <c r="Q1430" t="s">
        <v>99</v>
      </c>
      <c r="R1430" t="s">
        <v>93</v>
      </c>
      <c r="S1430" t="s">
        <v>146</v>
      </c>
    </row>
    <row r="1431" spans="16:19" x14ac:dyDescent="0.25">
      <c r="P1431">
        <v>589</v>
      </c>
      <c r="Q1431" t="s">
        <v>99</v>
      </c>
      <c r="R1431" t="s">
        <v>93</v>
      </c>
      <c r="S1431" t="s">
        <v>146</v>
      </c>
    </row>
    <row r="1432" spans="16:19" x14ac:dyDescent="0.25">
      <c r="P1432">
        <v>1133</v>
      </c>
      <c r="Q1432" t="s">
        <v>99</v>
      </c>
      <c r="R1432" t="s">
        <v>93</v>
      </c>
      <c r="S1432" t="s">
        <v>146</v>
      </c>
    </row>
    <row r="1433" spans="16:19" x14ac:dyDescent="0.25">
      <c r="P1433">
        <v>401</v>
      </c>
      <c r="Q1433" t="s">
        <v>99</v>
      </c>
      <c r="R1433" t="s">
        <v>93</v>
      </c>
      <c r="S1433" t="s">
        <v>146</v>
      </c>
    </row>
    <row r="1434" spans="16:19" x14ac:dyDescent="0.25">
      <c r="P1434">
        <v>10128</v>
      </c>
      <c r="Q1434" t="s">
        <v>99</v>
      </c>
      <c r="R1434" t="s">
        <v>93</v>
      </c>
      <c r="S1434" t="s">
        <v>146</v>
      </c>
    </row>
    <row r="1435" spans="16:19" x14ac:dyDescent="0.25">
      <c r="P1435">
        <v>292630</v>
      </c>
      <c r="Q1435" t="s">
        <v>100</v>
      </c>
      <c r="R1435" t="s">
        <v>101</v>
      </c>
      <c r="S1435" t="s">
        <v>150</v>
      </c>
    </row>
    <row r="1436" spans="16:19" x14ac:dyDescent="0.25">
      <c r="P1436">
        <v>3040</v>
      </c>
      <c r="Q1436" t="s">
        <v>102</v>
      </c>
      <c r="R1436" t="s">
        <v>101</v>
      </c>
      <c r="S1436" t="s">
        <v>150</v>
      </c>
    </row>
    <row r="1437" spans="16:19" x14ac:dyDescent="0.25">
      <c r="P1437">
        <v>3647</v>
      </c>
      <c r="Q1437" t="s">
        <v>102</v>
      </c>
      <c r="R1437" t="s">
        <v>101</v>
      </c>
      <c r="S1437" t="s">
        <v>150</v>
      </c>
    </row>
    <row r="1438" spans="16:19" x14ac:dyDescent="0.25">
      <c r="P1438">
        <v>1602</v>
      </c>
      <c r="Q1438" t="s">
        <v>102</v>
      </c>
      <c r="R1438" t="s">
        <v>101</v>
      </c>
      <c r="S1438" t="s">
        <v>150</v>
      </c>
    </row>
    <row r="1439" spans="16:19" x14ac:dyDescent="0.25">
      <c r="P1439">
        <v>1905</v>
      </c>
      <c r="Q1439" t="s">
        <v>102</v>
      </c>
      <c r="R1439" t="s">
        <v>101</v>
      </c>
      <c r="S1439" t="s">
        <v>150</v>
      </c>
    </row>
    <row r="1440" spans="16:19" x14ac:dyDescent="0.25">
      <c r="P1440">
        <v>1693</v>
      </c>
      <c r="Q1440" t="s">
        <v>102</v>
      </c>
      <c r="R1440" t="s">
        <v>101</v>
      </c>
      <c r="S1440" t="s">
        <v>150</v>
      </c>
    </row>
    <row r="1441" spans="16:19" x14ac:dyDescent="0.25">
      <c r="P1441">
        <v>1240</v>
      </c>
      <c r="Q1441" t="s">
        <v>102</v>
      </c>
      <c r="R1441" t="s">
        <v>101</v>
      </c>
      <c r="S1441" t="s">
        <v>150</v>
      </c>
    </row>
    <row r="1442" spans="16:19" x14ac:dyDescent="0.25">
      <c r="P1442">
        <v>1662</v>
      </c>
      <c r="Q1442" t="s">
        <v>102</v>
      </c>
      <c r="R1442" t="s">
        <v>101</v>
      </c>
      <c r="S1442" t="s">
        <v>150</v>
      </c>
    </row>
    <row r="1443" spans="16:19" x14ac:dyDescent="0.25">
      <c r="P1443">
        <v>11676</v>
      </c>
      <c r="Q1443" t="s">
        <v>102</v>
      </c>
      <c r="R1443" t="s">
        <v>101</v>
      </c>
      <c r="S1443" t="s">
        <v>150</v>
      </c>
    </row>
    <row r="1444" spans="16:19" x14ac:dyDescent="0.25">
      <c r="P1444">
        <v>6365</v>
      </c>
      <c r="Q1444" t="s">
        <v>102</v>
      </c>
      <c r="R1444" t="s">
        <v>101</v>
      </c>
      <c r="S1444" t="s">
        <v>150</v>
      </c>
    </row>
    <row r="1445" spans="16:19" x14ac:dyDescent="0.25">
      <c r="P1445">
        <v>4124</v>
      </c>
      <c r="Q1445" t="s">
        <v>102</v>
      </c>
      <c r="R1445" t="s">
        <v>101</v>
      </c>
      <c r="S1445" t="s">
        <v>150</v>
      </c>
    </row>
    <row r="1446" spans="16:19" x14ac:dyDescent="0.25">
      <c r="P1446">
        <v>3078</v>
      </c>
      <c r="Q1446" t="s">
        <v>102</v>
      </c>
      <c r="R1446" t="s">
        <v>101</v>
      </c>
      <c r="S1446" t="s">
        <v>150</v>
      </c>
    </row>
    <row r="1447" spans="16:19" x14ac:dyDescent="0.25">
      <c r="P1447">
        <v>3596</v>
      </c>
      <c r="Q1447" t="s">
        <v>102</v>
      </c>
      <c r="R1447" t="s">
        <v>101</v>
      </c>
      <c r="S1447" t="s">
        <v>150</v>
      </c>
    </row>
    <row r="1448" spans="16:19" x14ac:dyDescent="0.25">
      <c r="P1448">
        <v>4471</v>
      </c>
      <c r="Q1448" t="s">
        <v>102</v>
      </c>
      <c r="R1448" t="s">
        <v>101</v>
      </c>
      <c r="S1448" t="s">
        <v>150</v>
      </c>
    </row>
    <row r="1449" spans="16:19" x14ac:dyDescent="0.25">
      <c r="P1449">
        <v>8686</v>
      </c>
      <c r="Q1449" t="s">
        <v>102</v>
      </c>
      <c r="R1449" t="s">
        <v>101</v>
      </c>
      <c r="S1449" t="s">
        <v>150</v>
      </c>
    </row>
    <row r="1450" spans="16:19" x14ac:dyDescent="0.25">
      <c r="P1450">
        <v>4252</v>
      </c>
      <c r="Q1450" t="s">
        <v>102</v>
      </c>
      <c r="R1450" t="s">
        <v>101</v>
      </c>
      <c r="S1450" t="s">
        <v>150</v>
      </c>
    </row>
    <row r="1451" spans="16:19" x14ac:dyDescent="0.25">
      <c r="P1451">
        <v>7133</v>
      </c>
      <c r="Q1451" t="s">
        <v>103</v>
      </c>
      <c r="R1451" t="s">
        <v>101</v>
      </c>
      <c r="S1451" t="s">
        <v>150</v>
      </c>
    </row>
    <row r="1452" spans="16:19" x14ac:dyDescent="0.25">
      <c r="P1452">
        <v>4215</v>
      </c>
      <c r="Q1452" t="s">
        <v>103</v>
      </c>
      <c r="R1452" t="s">
        <v>101</v>
      </c>
      <c r="S1452" t="s">
        <v>150</v>
      </c>
    </row>
    <row r="1453" spans="16:19" x14ac:dyDescent="0.25">
      <c r="P1453">
        <v>8374</v>
      </c>
      <c r="Q1453" t="s">
        <v>103</v>
      </c>
      <c r="R1453" t="s">
        <v>101</v>
      </c>
      <c r="S1453" t="s">
        <v>150</v>
      </c>
    </row>
    <row r="1454" spans="16:19" x14ac:dyDescent="0.25">
      <c r="P1454">
        <v>5414</v>
      </c>
      <c r="Q1454" t="s">
        <v>103</v>
      </c>
      <c r="R1454" t="s">
        <v>101</v>
      </c>
      <c r="S1454" t="s">
        <v>150</v>
      </c>
    </row>
    <row r="1455" spans="16:19" x14ac:dyDescent="0.25">
      <c r="P1455">
        <v>1581</v>
      </c>
      <c r="Q1455" t="s">
        <v>103</v>
      </c>
      <c r="R1455" t="s">
        <v>101</v>
      </c>
      <c r="S1455" t="s">
        <v>150</v>
      </c>
    </row>
    <row r="1456" spans="16:19" x14ac:dyDescent="0.25">
      <c r="P1456">
        <v>3701</v>
      </c>
      <c r="Q1456" t="s">
        <v>103</v>
      </c>
      <c r="R1456" t="s">
        <v>101</v>
      </c>
      <c r="S1456" t="s">
        <v>150</v>
      </c>
    </row>
    <row r="1457" spans="16:19" x14ac:dyDescent="0.25">
      <c r="P1457">
        <v>2860</v>
      </c>
      <c r="Q1457" t="s">
        <v>103</v>
      </c>
      <c r="R1457" t="s">
        <v>101</v>
      </c>
      <c r="S1457" t="s">
        <v>150</v>
      </c>
    </row>
    <row r="1458" spans="16:19" x14ac:dyDescent="0.25">
      <c r="P1458">
        <v>8073</v>
      </c>
      <c r="Q1458" t="s">
        <v>103</v>
      </c>
      <c r="R1458" t="s">
        <v>101</v>
      </c>
      <c r="S1458" t="s">
        <v>150</v>
      </c>
    </row>
    <row r="1459" spans="16:19" x14ac:dyDescent="0.25">
      <c r="P1459">
        <v>3895</v>
      </c>
      <c r="Q1459" t="s">
        <v>103</v>
      </c>
      <c r="R1459" t="s">
        <v>101</v>
      </c>
      <c r="S1459" t="s">
        <v>150</v>
      </c>
    </row>
    <row r="1460" spans="16:19" x14ac:dyDescent="0.25">
      <c r="P1460">
        <v>2795</v>
      </c>
      <c r="Q1460" t="s">
        <v>103</v>
      </c>
      <c r="R1460" t="s">
        <v>101</v>
      </c>
      <c r="S1460" t="s">
        <v>150</v>
      </c>
    </row>
    <row r="1461" spans="16:19" x14ac:dyDescent="0.25">
      <c r="P1461">
        <v>5457</v>
      </c>
      <c r="Q1461" t="s">
        <v>103</v>
      </c>
      <c r="R1461" t="s">
        <v>101</v>
      </c>
      <c r="S1461" t="s">
        <v>150</v>
      </c>
    </row>
    <row r="1462" spans="16:19" x14ac:dyDescent="0.25">
      <c r="P1462">
        <v>2367</v>
      </c>
      <c r="Q1462" t="s">
        <v>103</v>
      </c>
      <c r="R1462" t="s">
        <v>101</v>
      </c>
      <c r="S1462" t="s">
        <v>150</v>
      </c>
    </row>
    <row r="1463" spans="16:19" x14ac:dyDescent="0.25">
      <c r="P1463">
        <v>1468</v>
      </c>
      <c r="Q1463" t="s">
        <v>103</v>
      </c>
      <c r="R1463" t="s">
        <v>101</v>
      </c>
      <c r="S1463" t="s">
        <v>150</v>
      </c>
    </row>
    <row r="1464" spans="16:19" x14ac:dyDescent="0.25">
      <c r="P1464">
        <v>1277</v>
      </c>
      <c r="Q1464" t="s">
        <v>103</v>
      </c>
      <c r="R1464" t="s">
        <v>101</v>
      </c>
      <c r="S1464" t="s">
        <v>150</v>
      </c>
    </row>
    <row r="1465" spans="16:19" x14ac:dyDescent="0.25">
      <c r="P1465">
        <v>2160</v>
      </c>
      <c r="Q1465" t="s">
        <v>103</v>
      </c>
      <c r="R1465" t="s">
        <v>101</v>
      </c>
      <c r="S1465" t="s">
        <v>150</v>
      </c>
    </row>
    <row r="1466" spans="16:19" x14ac:dyDescent="0.25">
      <c r="P1466">
        <v>3279</v>
      </c>
      <c r="Q1466" t="s">
        <v>103</v>
      </c>
      <c r="R1466" t="s">
        <v>101</v>
      </c>
      <c r="S1466" t="s">
        <v>150</v>
      </c>
    </row>
    <row r="1467" spans="16:19" x14ac:dyDescent="0.25">
      <c r="P1467">
        <v>3007</v>
      </c>
      <c r="Q1467" t="s">
        <v>103</v>
      </c>
      <c r="R1467" t="s">
        <v>101</v>
      </c>
      <c r="S1467" t="s">
        <v>150</v>
      </c>
    </row>
    <row r="1468" spans="16:19" x14ac:dyDescent="0.25">
      <c r="P1468">
        <v>711</v>
      </c>
      <c r="Q1468" t="s">
        <v>103</v>
      </c>
      <c r="R1468" t="s">
        <v>101</v>
      </c>
      <c r="S1468" t="s">
        <v>150</v>
      </c>
    </row>
    <row r="1469" spans="16:19" x14ac:dyDescent="0.25">
      <c r="P1469">
        <v>2420</v>
      </c>
      <c r="Q1469" t="s">
        <v>103</v>
      </c>
      <c r="R1469" t="s">
        <v>101</v>
      </c>
      <c r="S1469" t="s">
        <v>150</v>
      </c>
    </row>
    <row r="1470" spans="16:19" x14ac:dyDescent="0.25">
      <c r="P1470">
        <v>2084</v>
      </c>
      <c r="Q1470" t="s">
        <v>103</v>
      </c>
      <c r="R1470" t="s">
        <v>101</v>
      </c>
      <c r="S1470" t="s">
        <v>150</v>
      </c>
    </row>
    <row r="1471" spans="16:19" x14ac:dyDescent="0.25">
      <c r="P1471">
        <v>4731</v>
      </c>
      <c r="Q1471" t="s">
        <v>103</v>
      </c>
      <c r="R1471" t="s">
        <v>101</v>
      </c>
      <c r="S1471" t="s">
        <v>150</v>
      </c>
    </row>
    <row r="1472" spans="16:19" x14ac:dyDescent="0.25">
      <c r="P1472">
        <v>2746</v>
      </c>
      <c r="Q1472" t="s">
        <v>103</v>
      </c>
      <c r="R1472" t="s">
        <v>101</v>
      </c>
      <c r="S1472" t="s">
        <v>150</v>
      </c>
    </row>
    <row r="1473" spans="16:19" x14ac:dyDescent="0.25">
      <c r="P1473">
        <v>2554</v>
      </c>
      <c r="Q1473" t="s">
        <v>103</v>
      </c>
      <c r="R1473" t="s">
        <v>101</v>
      </c>
      <c r="S1473" t="s">
        <v>150</v>
      </c>
    </row>
    <row r="1474" spans="16:19" x14ac:dyDescent="0.25">
      <c r="P1474">
        <v>1652</v>
      </c>
      <c r="Q1474" t="s">
        <v>103</v>
      </c>
      <c r="R1474" t="s">
        <v>101</v>
      </c>
      <c r="S1474" t="s">
        <v>150</v>
      </c>
    </row>
    <row r="1475" spans="16:19" x14ac:dyDescent="0.25">
      <c r="P1475">
        <v>4452</v>
      </c>
      <c r="Q1475" t="s">
        <v>103</v>
      </c>
      <c r="R1475" t="s">
        <v>101</v>
      </c>
      <c r="S1475" t="s">
        <v>150</v>
      </c>
    </row>
    <row r="1476" spans="16:19" x14ac:dyDescent="0.25">
      <c r="P1476">
        <v>3705</v>
      </c>
      <c r="Q1476" t="s">
        <v>103</v>
      </c>
      <c r="R1476" t="s">
        <v>101</v>
      </c>
      <c r="S1476" t="s">
        <v>150</v>
      </c>
    </row>
    <row r="1477" spans="16:19" x14ac:dyDescent="0.25">
      <c r="P1477">
        <v>7009</v>
      </c>
      <c r="Q1477" t="s">
        <v>103</v>
      </c>
      <c r="R1477" t="s">
        <v>101</v>
      </c>
      <c r="S1477" t="s">
        <v>150</v>
      </c>
    </row>
    <row r="1478" spans="16:19" x14ac:dyDescent="0.25">
      <c r="P1478">
        <v>4911</v>
      </c>
      <c r="Q1478" t="s">
        <v>103</v>
      </c>
      <c r="R1478" t="s">
        <v>101</v>
      </c>
      <c r="S1478" t="s">
        <v>150</v>
      </c>
    </row>
    <row r="1479" spans="16:19" x14ac:dyDescent="0.25">
      <c r="P1479">
        <v>6524</v>
      </c>
      <c r="Q1479" t="s">
        <v>103</v>
      </c>
      <c r="R1479" t="s">
        <v>101</v>
      </c>
      <c r="S1479" t="s">
        <v>150</v>
      </c>
    </row>
    <row r="1480" spans="16:19" x14ac:dyDescent="0.25">
      <c r="P1480">
        <v>12779</v>
      </c>
      <c r="Q1480" t="s">
        <v>103</v>
      </c>
      <c r="R1480" t="s">
        <v>101</v>
      </c>
      <c r="S1480" t="s">
        <v>150</v>
      </c>
    </row>
    <row r="1481" spans="16:19" x14ac:dyDescent="0.25">
      <c r="P1481">
        <v>7296</v>
      </c>
      <c r="Q1481" t="s">
        <v>103</v>
      </c>
      <c r="R1481" t="s">
        <v>101</v>
      </c>
      <c r="S1481" t="s">
        <v>150</v>
      </c>
    </row>
    <row r="1482" spans="16:19" x14ac:dyDescent="0.25">
      <c r="P1482">
        <v>2733</v>
      </c>
      <c r="Q1482" t="s">
        <v>103</v>
      </c>
      <c r="R1482" t="s">
        <v>101</v>
      </c>
      <c r="S1482" t="s">
        <v>150</v>
      </c>
    </row>
    <row r="1483" spans="16:19" x14ac:dyDescent="0.25">
      <c r="P1483">
        <v>4722</v>
      </c>
      <c r="Q1483" t="s">
        <v>103</v>
      </c>
      <c r="R1483" t="s">
        <v>101</v>
      </c>
      <c r="S1483" t="s">
        <v>150</v>
      </c>
    </row>
    <row r="1484" spans="16:19" x14ac:dyDescent="0.25">
      <c r="P1484">
        <v>3745</v>
      </c>
      <c r="Q1484" t="s">
        <v>103</v>
      </c>
      <c r="R1484" t="s">
        <v>101</v>
      </c>
      <c r="S1484" t="s">
        <v>150</v>
      </c>
    </row>
    <row r="1485" spans="16:19" x14ac:dyDescent="0.25">
      <c r="P1485">
        <v>11972</v>
      </c>
      <c r="Q1485" t="s">
        <v>103</v>
      </c>
      <c r="R1485" t="s">
        <v>101</v>
      </c>
      <c r="S1485" t="s">
        <v>150</v>
      </c>
    </row>
    <row r="1486" spans="16:19" x14ac:dyDescent="0.25">
      <c r="P1486">
        <v>6610</v>
      </c>
      <c r="Q1486" t="s">
        <v>103</v>
      </c>
      <c r="R1486" t="s">
        <v>101</v>
      </c>
      <c r="S1486" t="s">
        <v>150</v>
      </c>
    </row>
    <row r="1487" spans="16:19" x14ac:dyDescent="0.25">
      <c r="P1487">
        <v>1597</v>
      </c>
      <c r="Q1487" t="s">
        <v>104</v>
      </c>
      <c r="R1487" t="s">
        <v>101</v>
      </c>
      <c r="S1487" t="s">
        <v>150</v>
      </c>
    </row>
    <row r="1488" spans="16:19" x14ac:dyDescent="0.25">
      <c r="P1488">
        <v>963</v>
      </c>
      <c r="Q1488" t="s">
        <v>104</v>
      </c>
      <c r="R1488" t="s">
        <v>101</v>
      </c>
      <c r="S1488" t="s">
        <v>150</v>
      </c>
    </row>
    <row r="1489" spans="16:19" x14ac:dyDescent="0.25">
      <c r="P1489">
        <v>1423</v>
      </c>
      <c r="Q1489" t="s">
        <v>104</v>
      </c>
      <c r="R1489" t="s">
        <v>101</v>
      </c>
      <c r="S1489" t="s">
        <v>150</v>
      </c>
    </row>
    <row r="1490" spans="16:19" x14ac:dyDescent="0.25">
      <c r="P1490">
        <v>1292</v>
      </c>
      <c r="Q1490" t="s">
        <v>104</v>
      </c>
      <c r="R1490" t="s">
        <v>101</v>
      </c>
      <c r="S1490" t="s">
        <v>150</v>
      </c>
    </row>
    <row r="1491" spans="16:19" x14ac:dyDescent="0.25">
      <c r="P1491">
        <v>2732</v>
      </c>
      <c r="Q1491" t="s">
        <v>104</v>
      </c>
      <c r="R1491" t="s">
        <v>101</v>
      </c>
      <c r="S1491" t="s">
        <v>150</v>
      </c>
    </row>
    <row r="1492" spans="16:19" x14ac:dyDescent="0.25">
      <c r="P1492">
        <v>2266</v>
      </c>
      <c r="Q1492" t="s">
        <v>104</v>
      </c>
      <c r="R1492" t="s">
        <v>101</v>
      </c>
      <c r="S1492" t="s">
        <v>150</v>
      </c>
    </row>
    <row r="1493" spans="16:19" x14ac:dyDescent="0.25">
      <c r="P1493">
        <v>1985</v>
      </c>
      <c r="Q1493" t="s">
        <v>104</v>
      </c>
      <c r="R1493" t="s">
        <v>101</v>
      </c>
      <c r="S1493" t="s">
        <v>150</v>
      </c>
    </row>
    <row r="1494" spans="16:19" x14ac:dyDescent="0.25">
      <c r="P1494">
        <v>1497</v>
      </c>
      <c r="Q1494" t="s">
        <v>104</v>
      </c>
      <c r="R1494" t="s">
        <v>101</v>
      </c>
      <c r="S1494" t="s">
        <v>150</v>
      </c>
    </row>
    <row r="1495" spans="16:19" x14ac:dyDescent="0.25">
      <c r="P1495">
        <v>1183</v>
      </c>
      <c r="Q1495" t="s">
        <v>104</v>
      </c>
      <c r="R1495" t="s">
        <v>101</v>
      </c>
      <c r="S1495" t="s">
        <v>150</v>
      </c>
    </row>
    <row r="1496" spans="16:19" x14ac:dyDescent="0.25">
      <c r="P1496">
        <v>1351</v>
      </c>
      <c r="Q1496" t="s">
        <v>104</v>
      </c>
      <c r="R1496" t="s">
        <v>101</v>
      </c>
      <c r="S1496" t="s">
        <v>150</v>
      </c>
    </row>
    <row r="1497" spans="16:19" x14ac:dyDescent="0.25">
      <c r="P1497">
        <v>2188</v>
      </c>
      <c r="Q1497" t="s">
        <v>104</v>
      </c>
      <c r="R1497" t="s">
        <v>101</v>
      </c>
      <c r="S1497" t="s">
        <v>150</v>
      </c>
    </row>
    <row r="1498" spans="16:19" x14ac:dyDescent="0.25">
      <c r="P1498">
        <v>2077</v>
      </c>
      <c r="Q1498" t="s">
        <v>104</v>
      </c>
      <c r="R1498" t="s">
        <v>101</v>
      </c>
      <c r="S1498" t="s">
        <v>150</v>
      </c>
    </row>
    <row r="1499" spans="16:19" x14ac:dyDescent="0.25">
      <c r="P1499">
        <v>1528</v>
      </c>
      <c r="Q1499" t="s">
        <v>104</v>
      </c>
      <c r="R1499" t="s">
        <v>101</v>
      </c>
      <c r="S1499" t="s">
        <v>150</v>
      </c>
    </row>
    <row r="1500" spans="16:19" x14ac:dyDescent="0.25">
      <c r="P1500">
        <v>1703</v>
      </c>
      <c r="Q1500" t="s">
        <v>104</v>
      </c>
      <c r="R1500" t="s">
        <v>101</v>
      </c>
      <c r="S1500" t="s">
        <v>150</v>
      </c>
    </row>
    <row r="1501" spans="16:19" x14ac:dyDescent="0.25">
      <c r="P1501">
        <v>2006</v>
      </c>
      <c r="Q1501" t="s">
        <v>104</v>
      </c>
      <c r="R1501" t="s">
        <v>101</v>
      </c>
      <c r="S1501" t="s">
        <v>150</v>
      </c>
    </row>
    <row r="1502" spans="16:19" x14ac:dyDescent="0.25">
      <c r="P1502">
        <v>2322</v>
      </c>
      <c r="Q1502" t="s">
        <v>104</v>
      </c>
      <c r="R1502" t="s">
        <v>101</v>
      </c>
      <c r="S1502" t="s">
        <v>150</v>
      </c>
    </row>
    <row r="1503" spans="16:19" x14ac:dyDescent="0.25">
      <c r="P1503">
        <v>3613</v>
      </c>
      <c r="Q1503" t="s">
        <v>104</v>
      </c>
      <c r="R1503" t="s">
        <v>101</v>
      </c>
      <c r="S1503" t="s">
        <v>150</v>
      </c>
    </row>
    <row r="1504" spans="16:19" x14ac:dyDescent="0.25">
      <c r="P1504">
        <v>6465</v>
      </c>
      <c r="Q1504" t="s">
        <v>104</v>
      </c>
      <c r="R1504" t="s">
        <v>101</v>
      </c>
      <c r="S1504" t="s">
        <v>150</v>
      </c>
    </row>
    <row r="1505" spans="16:19" x14ac:dyDescent="0.25">
      <c r="P1505">
        <v>2479</v>
      </c>
      <c r="Q1505" t="s">
        <v>104</v>
      </c>
      <c r="R1505" t="s">
        <v>101</v>
      </c>
      <c r="S1505" t="s">
        <v>150</v>
      </c>
    </row>
    <row r="1506" spans="16:19" x14ac:dyDescent="0.25">
      <c r="P1506">
        <v>3204</v>
      </c>
      <c r="Q1506" t="s">
        <v>104</v>
      </c>
      <c r="R1506" t="s">
        <v>101</v>
      </c>
      <c r="S1506" t="s">
        <v>150</v>
      </c>
    </row>
    <row r="1507" spans="16:19" x14ac:dyDescent="0.25">
      <c r="P1507">
        <v>2766</v>
      </c>
      <c r="Q1507" t="s">
        <v>104</v>
      </c>
      <c r="R1507" t="s">
        <v>101</v>
      </c>
      <c r="S1507" t="s">
        <v>150</v>
      </c>
    </row>
    <row r="1508" spans="16:19" x14ac:dyDescent="0.25">
      <c r="P1508">
        <v>2864</v>
      </c>
      <c r="Q1508" t="s">
        <v>104</v>
      </c>
      <c r="R1508" t="s">
        <v>101</v>
      </c>
      <c r="S1508" t="s">
        <v>150</v>
      </c>
    </row>
    <row r="1509" spans="16:19" x14ac:dyDescent="0.25">
      <c r="P1509">
        <v>12888</v>
      </c>
      <c r="Q1509" t="s">
        <v>104</v>
      </c>
      <c r="R1509" t="s">
        <v>101</v>
      </c>
      <c r="S1509" t="s">
        <v>150</v>
      </c>
    </row>
    <row r="1510" spans="16:19" x14ac:dyDescent="0.25">
      <c r="P1510">
        <v>3561</v>
      </c>
      <c r="Q1510" t="s">
        <v>104</v>
      </c>
      <c r="R1510" t="s">
        <v>101</v>
      </c>
      <c r="S1510" t="s">
        <v>150</v>
      </c>
    </row>
    <row r="1511" spans="16:19" x14ac:dyDescent="0.25">
      <c r="P1511">
        <v>1601</v>
      </c>
      <c r="Q1511" t="s">
        <v>104</v>
      </c>
      <c r="R1511" t="s">
        <v>101</v>
      </c>
      <c r="S1511" t="s">
        <v>150</v>
      </c>
    </row>
    <row r="1512" spans="16:19" x14ac:dyDescent="0.25">
      <c r="P1512">
        <v>2315</v>
      </c>
      <c r="Q1512" t="s">
        <v>104</v>
      </c>
      <c r="R1512" t="s">
        <v>101</v>
      </c>
      <c r="S1512" t="s">
        <v>150</v>
      </c>
    </row>
    <row r="1513" spans="16:19" x14ac:dyDescent="0.25">
      <c r="P1513">
        <v>5589</v>
      </c>
      <c r="Q1513" t="s">
        <v>104</v>
      </c>
      <c r="R1513" t="s">
        <v>101</v>
      </c>
      <c r="S1513" t="s">
        <v>150</v>
      </c>
    </row>
    <row r="1514" spans="16:19" x14ac:dyDescent="0.25">
      <c r="P1514">
        <v>4429</v>
      </c>
      <c r="Q1514" t="s">
        <v>104</v>
      </c>
      <c r="R1514" t="s">
        <v>101</v>
      </c>
      <c r="S1514" t="s">
        <v>150</v>
      </c>
    </row>
    <row r="1515" spans="16:19" x14ac:dyDescent="0.25">
      <c r="P1515">
        <v>6308</v>
      </c>
      <c r="Q1515" t="s">
        <v>104</v>
      </c>
      <c r="R1515" t="s">
        <v>101</v>
      </c>
      <c r="S1515" t="s">
        <v>150</v>
      </c>
    </row>
    <row r="1516" spans="16:19" x14ac:dyDescent="0.25">
      <c r="P1516">
        <v>3609</v>
      </c>
      <c r="Q1516" t="s">
        <v>105</v>
      </c>
      <c r="R1516" t="s">
        <v>101</v>
      </c>
      <c r="S1516" t="s">
        <v>150</v>
      </c>
    </row>
    <row r="1517" spans="16:19" x14ac:dyDescent="0.25">
      <c r="P1517">
        <v>954</v>
      </c>
      <c r="Q1517" t="s">
        <v>105</v>
      </c>
      <c r="R1517" t="s">
        <v>101</v>
      </c>
      <c r="S1517" t="s">
        <v>150</v>
      </c>
    </row>
    <row r="1518" spans="16:19" x14ac:dyDescent="0.25">
      <c r="P1518">
        <v>1614</v>
      </c>
      <c r="Q1518" t="s">
        <v>105</v>
      </c>
      <c r="R1518" t="s">
        <v>101</v>
      </c>
      <c r="S1518" t="s">
        <v>150</v>
      </c>
    </row>
    <row r="1519" spans="16:19" x14ac:dyDescent="0.25">
      <c r="P1519">
        <v>1326</v>
      </c>
      <c r="Q1519" t="s">
        <v>105</v>
      </c>
      <c r="R1519" t="s">
        <v>101</v>
      </c>
      <c r="S1519" t="s">
        <v>150</v>
      </c>
    </row>
    <row r="1520" spans="16:19" x14ac:dyDescent="0.25">
      <c r="P1520">
        <v>24414</v>
      </c>
      <c r="Q1520" t="s">
        <v>105</v>
      </c>
      <c r="R1520" t="s">
        <v>101</v>
      </c>
      <c r="S1520" t="s">
        <v>150</v>
      </c>
    </row>
    <row r="1521" spans="16:19" x14ac:dyDescent="0.25">
      <c r="P1521">
        <v>1702</v>
      </c>
      <c r="Q1521" t="s">
        <v>105</v>
      </c>
      <c r="R1521" t="s">
        <v>101</v>
      </c>
      <c r="S1521" t="s">
        <v>150</v>
      </c>
    </row>
    <row r="1522" spans="16:19" x14ac:dyDescent="0.25">
      <c r="P1522">
        <v>2355</v>
      </c>
      <c r="Q1522" t="s">
        <v>105</v>
      </c>
      <c r="R1522" t="s">
        <v>101</v>
      </c>
      <c r="S1522" t="s">
        <v>150</v>
      </c>
    </row>
    <row r="1523" spans="16:19" x14ac:dyDescent="0.25">
      <c r="P1523">
        <v>1592</v>
      </c>
      <c r="Q1523" t="s">
        <v>105</v>
      </c>
      <c r="R1523" t="s">
        <v>101</v>
      </c>
      <c r="S1523" t="s">
        <v>150</v>
      </c>
    </row>
    <row r="1524" spans="16:19" x14ac:dyDescent="0.25">
      <c r="P1524">
        <v>498</v>
      </c>
      <c r="Q1524" t="s">
        <v>105</v>
      </c>
      <c r="R1524" t="s">
        <v>101</v>
      </c>
      <c r="S1524" t="s">
        <v>150</v>
      </c>
    </row>
    <row r="1525" spans="16:19" x14ac:dyDescent="0.25">
      <c r="P1525">
        <v>3065</v>
      </c>
      <c r="Q1525" t="s">
        <v>105</v>
      </c>
      <c r="R1525" t="s">
        <v>101</v>
      </c>
      <c r="S1525" t="s">
        <v>150</v>
      </c>
    </row>
    <row r="1526" spans="16:19" x14ac:dyDescent="0.25">
      <c r="P1526">
        <v>2324</v>
      </c>
      <c r="Q1526" t="s">
        <v>105</v>
      </c>
      <c r="R1526" t="s">
        <v>101</v>
      </c>
      <c r="S1526" t="s">
        <v>150</v>
      </c>
    </row>
    <row r="1527" spans="16:19" x14ac:dyDescent="0.25">
      <c r="P1527">
        <v>1851</v>
      </c>
      <c r="Q1527" t="s">
        <v>105</v>
      </c>
      <c r="R1527" t="s">
        <v>101</v>
      </c>
      <c r="S1527" t="s">
        <v>150</v>
      </c>
    </row>
    <row r="1528" spans="16:19" x14ac:dyDescent="0.25">
      <c r="P1528">
        <v>1416</v>
      </c>
      <c r="Q1528" t="s">
        <v>105</v>
      </c>
      <c r="R1528" t="s">
        <v>101</v>
      </c>
      <c r="S1528" t="s">
        <v>150</v>
      </c>
    </row>
    <row r="1529" spans="16:19" x14ac:dyDescent="0.25">
      <c r="P1529">
        <v>889</v>
      </c>
      <c r="Q1529" t="s">
        <v>105</v>
      </c>
      <c r="R1529" t="s">
        <v>101</v>
      </c>
      <c r="S1529" t="s">
        <v>150</v>
      </c>
    </row>
    <row r="1530" spans="16:19" x14ac:dyDescent="0.25">
      <c r="P1530">
        <v>542</v>
      </c>
      <c r="Q1530" t="s">
        <v>105</v>
      </c>
      <c r="R1530" t="s">
        <v>101</v>
      </c>
      <c r="S1530" t="s">
        <v>150</v>
      </c>
    </row>
    <row r="1531" spans="16:19" x14ac:dyDescent="0.25">
      <c r="P1531">
        <v>10980</v>
      </c>
      <c r="Q1531" t="s">
        <v>105</v>
      </c>
      <c r="R1531" t="s">
        <v>101</v>
      </c>
      <c r="S1531" t="s">
        <v>150</v>
      </c>
    </row>
    <row r="1532" spans="16:19" x14ac:dyDescent="0.25">
      <c r="P1532">
        <v>2722</v>
      </c>
      <c r="Q1532" t="s">
        <v>106</v>
      </c>
      <c r="R1532" t="s">
        <v>101</v>
      </c>
      <c r="S1532" t="s">
        <v>150</v>
      </c>
    </row>
    <row r="1533" spans="16:19" x14ac:dyDescent="0.25">
      <c r="P1533">
        <v>1849</v>
      </c>
      <c r="Q1533" t="s">
        <v>106</v>
      </c>
      <c r="R1533" t="s">
        <v>101</v>
      </c>
      <c r="S1533" t="s">
        <v>150</v>
      </c>
    </row>
    <row r="1534" spans="16:19" x14ac:dyDescent="0.25">
      <c r="P1534">
        <v>809</v>
      </c>
      <c r="Q1534" t="s">
        <v>106</v>
      </c>
      <c r="R1534" t="s">
        <v>101</v>
      </c>
      <c r="S1534" t="s">
        <v>150</v>
      </c>
    </row>
    <row r="1535" spans="16:19" x14ac:dyDescent="0.25">
      <c r="P1535">
        <v>1283</v>
      </c>
      <c r="Q1535" t="s">
        <v>106</v>
      </c>
      <c r="R1535" t="s">
        <v>101</v>
      </c>
      <c r="S1535" t="s">
        <v>150</v>
      </c>
    </row>
    <row r="1536" spans="16:19" x14ac:dyDescent="0.25">
      <c r="P1536">
        <v>4953</v>
      </c>
      <c r="Q1536" t="s">
        <v>106</v>
      </c>
      <c r="R1536" t="s">
        <v>101</v>
      </c>
      <c r="S1536" t="s">
        <v>150</v>
      </c>
    </row>
    <row r="1537" spans="16:19" x14ac:dyDescent="0.25">
      <c r="P1537">
        <v>3112</v>
      </c>
      <c r="Q1537" t="s">
        <v>106</v>
      </c>
      <c r="R1537" t="s">
        <v>101</v>
      </c>
      <c r="S1537" t="s">
        <v>150</v>
      </c>
    </row>
    <row r="1538" spans="16:19" x14ac:dyDescent="0.25">
      <c r="P1538">
        <v>1156</v>
      </c>
      <c r="Q1538" t="s">
        <v>106</v>
      </c>
      <c r="R1538" t="s">
        <v>101</v>
      </c>
      <c r="S1538" t="s">
        <v>150</v>
      </c>
    </row>
    <row r="1539" spans="16:19" x14ac:dyDescent="0.25">
      <c r="P1539">
        <v>2465</v>
      </c>
      <c r="Q1539" t="s">
        <v>106</v>
      </c>
      <c r="R1539" t="s">
        <v>101</v>
      </c>
      <c r="S1539" t="s">
        <v>150</v>
      </c>
    </row>
    <row r="1540" spans="16:19" x14ac:dyDescent="0.25">
      <c r="P1540">
        <v>1698</v>
      </c>
      <c r="Q1540" t="s">
        <v>106</v>
      </c>
      <c r="R1540" t="s">
        <v>101</v>
      </c>
      <c r="S1540" t="s">
        <v>150</v>
      </c>
    </row>
    <row r="1541" spans="16:19" x14ac:dyDescent="0.25">
      <c r="P1541">
        <v>2861</v>
      </c>
      <c r="Q1541" t="s">
        <v>106</v>
      </c>
      <c r="R1541" t="s">
        <v>101</v>
      </c>
      <c r="S1541" t="s">
        <v>150</v>
      </c>
    </row>
    <row r="1542" spans="16:19" x14ac:dyDescent="0.25">
      <c r="P1542">
        <v>1512</v>
      </c>
      <c r="Q1542" t="s">
        <v>106</v>
      </c>
      <c r="R1542" t="s">
        <v>101</v>
      </c>
      <c r="S1542" t="s">
        <v>150</v>
      </c>
    </row>
    <row r="1543" spans="16:19" x14ac:dyDescent="0.25">
      <c r="P1543">
        <v>3344</v>
      </c>
      <c r="Q1543" t="s">
        <v>106</v>
      </c>
      <c r="R1543" t="s">
        <v>101</v>
      </c>
      <c r="S1543" t="s">
        <v>150</v>
      </c>
    </row>
    <row r="1544" spans="16:19" x14ac:dyDescent="0.25">
      <c r="P1544">
        <v>438</v>
      </c>
      <c r="Q1544" t="s">
        <v>106</v>
      </c>
      <c r="R1544" t="s">
        <v>101</v>
      </c>
      <c r="S1544" t="s">
        <v>150</v>
      </c>
    </row>
    <row r="1545" spans="16:19" x14ac:dyDescent="0.25">
      <c r="P1545">
        <v>1150</v>
      </c>
      <c r="Q1545" t="s">
        <v>106</v>
      </c>
      <c r="R1545" t="s">
        <v>101</v>
      </c>
      <c r="S1545" t="s">
        <v>150</v>
      </c>
    </row>
    <row r="1546" spans="16:19" x14ac:dyDescent="0.25">
      <c r="P1546">
        <v>4957</v>
      </c>
      <c r="Q1546" t="s">
        <v>106</v>
      </c>
      <c r="R1546" t="s">
        <v>101</v>
      </c>
      <c r="S1546" t="s">
        <v>150</v>
      </c>
    </row>
    <row r="1547" spans="16:19" x14ac:dyDescent="0.25">
      <c r="P1547">
        <v>1315</v>
      </c>
      <c r="Q1547" t="s">
        <v>106</v>
      </c>
      <c r="R1547" t="s">
        <v>101</v>
      </c>
      <c r="S1547" t="s">
        <v>150</v>
      </c>
    </row>
    <row r="1548" spans="16:19" x14ac:dyDescent="0.25">
      <c r="P1548">
        <v>4930</v>
      </c>
      <c r="Q1548" t="s">
        <v>106</v>
      </c>
      <c r="R1548" t="s">
        <v>101</v>
      </c>
      <c r="S1548" t="s">
        <v>150</v>
      </c>
    </row>
    <row r="1549" spans="16:19" x14ac:dyDescent="0.25">
      <c r="P1549">
        <v>1312</v>
      </c>
      <c r="Q1549" t="s">
        <v>106</v>
      </c>
      <c r="R1549" t="s">
        <v>101</v>
      </c>
      <c r="S1549" t="s">
        <v>150</v>
      </c>
    </row>
    <row r="1550" spans="16:19" x14ac:dyDescent="0.25">
      <c r="P1550">
        <v>4132</v>
      </c>
      <c r="Q1550" t="s">
        <v>106</v>
      </c>
      <c r="R1550" t="s">
        <v>101</v>
      </c>
      <c r="S1550" t="s">
        <v>150</v>
      </c>
    </row>
    <row r="1551" spans="16:19" x14ac:dyDescent="0.25">
      <c r="P1551">
        <v>2562</v>
      </c>
      <c r="Q1551" t="s">
        <v>106</v>
      </c>
      <c r="R1551" t="s">
        <v>101</v>
      </c>
      <c r="S1551" t="s">
        <v>150</v>
      </c>
    </row>
    <row r="1552" spans="16:19" x14ac:dyDescent="0.25">
      <c r="P1552">
        <v>8245</v>
      </c>
      <c r="Q1552" t="s">
        <v>106</v>
      </c>
      <c r="R1552" t="s">
        <v>101</v>
      </c>
      <c r="S1552" t="s">
        <v>150</v>
      </c>
    </row>
    <row r="1553" spans="16:19" x14ac:dyDescent="0.25">
      <c r="P1553">
        <v>1207</v>
      </c>
      <c r="Q1553" t="s">
        <v>106</v>
      </c>
      <c r="R1553" t="s">
        <v>101</v>
      </c>
      <c r="S1553" t="s">
        <v>150</v>
      </c>
    </row>
    <row r="1554" spans="16:19" x14ac:dyDescent="0.25">
      <c r="P1554">
        <v>1917</v>
      </c>
      <c r="Q1554" t="s">
        <v>106</v>
      </c>
      <c r="R1554" t="s">
        <v>101</v>
      </c>
      <c r="S1554" t="s">
        <v>150</v>
      </c>
    </row>
    <row r="1555" spans="16:19" x14ac:dyDescent="0.25">
      <c r="P1555">
        <v>1984</v>
      </c>
      <c r="Q1555" t="s">
        <v>106</v>
      </c>
      <c r="R1555" t="s">
        <v>101</v>
      </c>
      <c r="S1555" t="s">
        <v>150</v>
      </c>
    </row>
    <row r="1556" spans="16:19" x14ac:dyDescent="0.25">
      <c r="P1556">
        <v>5125</v>
      </c>
      <c r="Q1556" t="s">
        <v>106</v>
      </c>
      <c r="R1556" t="s">
        <v>101</v>
      </c>
      <c r="S1556" t="s">
        <v>150</v>
      </c>
    </row>
    <row r="1557" spans="16:19" x14ac:dyDescent="0.25">
      <c r="P1557">
        <v>1786</v>
      </c>
      <c r="Q1557" t="s">
        <v>106</v>
      </c>
      <c r="R1557" t="s">
        <v>101</v>
      </c>
      <c r="S1557" t="s">
        <v>150</v>
      </c>
    </row>
    <row r="1558" spans="16:19" x14ac:dyDescent="0.25">
      <c r="P1558">
        <v>6538</v>
      </c>
      <c r="Q1558" t="s">
        <v>106</v>
      </c>
      <c r="R1558" t="s">
        <v>101</v>
      </c>
      <c r="S1558" t="s">
        <v>150</v>
      </c>
    </row>
    <row r="1559" spans="16:19" x14ac:dyDescent="0.25">
      <c r="P1559">
        <v>1481</v>
      </c>
      <c r="Q1559" t="s">
        <v>106</v>
      </c>
      <c r="R1559" t="s">
        <v>101</v>
      </c>
      <c r="S1559" t="s">
        <v>150</v>
      </c>
    </row>
    <row r="1560" spans="16:19" x14ac:dyDescent="0.25">
      <c r="P1560">
        <v>2766</v>
      </c>
      <c r="Q1560" t="s">
        <v>106</v>
      </c>
      <c r="R1560" t="s">
        <v>101</v>
      </c>
      <c r="S1560" t="s">
        <v>150</v>
      </c>
    </row>
    <row r="1561" spans="16:19" x14ac:dyDescent="0.25">
      <c r="P1561">
        <v>886</v>
      </c>
      <c r="Q1561" t="s">
        <v>107</v>
      </c>
      <c r="R1561" t="s">
        <v>101</v>
      </c>
      <c r="S1561" t="s">
        <v>150</v>
      </c>
    </row>
    <row r="1562" spans="16:19" x14ac:dyDescent="0.25">
      <c r="P1562">
        <v>591</v>
      </c>
      <c r="Q1562" t="s">
        <v>107</v>
      </c>
      <c r="R1562" t="s">
        <v>101</v>
      </c>
      <c r="S1562" t="s">
        <v>150</v>
      </c>
    </row>
    <row r="1563" spans="16:19" x14ac:dyDescent="0.25">
      <c r="P1563">
        <v>2002</v>
      </c>
      <c r="Q1563" t="s">
        <v>107</v>
      </c>
      <c r="R1563" t="s">
        <v>101</v>
      </c>
      <c r="S1563" t="s">
        <v>150</v>
      </c>
    </row>
    <row r="1564" spans="16:19" x14ac:dyDescent="0.25">
      <c r="P1564">
        <v>917</v>
      </c>
      <c r="Q1564" t="s">
        <v>107</v>
      </c>
      <c r="R1564" t="s">
        <v>101</v>
      </c>
      <c r="S1564" t="s">
        <v>150</v>
      </c>
    </row>
    <row r="1565" spans="16:19" x14ac:dyDescent="0.25">
      <c r="P1565">
        <v>1383</v>
      </c>
      <c r="Q1565" t="s">
        <v>107</v>
      </c>
      <c r="R1565" t="s">
        <v>101</v>
      </c>
      <c r="S1565" t="s">
        <v>150</v>
      </c>
    </row>
    <row r="1566" spans="16:19" x14ac:dyDescent="0.25">
      <c r="P1566">
        <v>3432</v>
      </c>
      <c r="Q1566" t="s">
        <v>107</v>
      </c>
      <c r="R1566" t="s">
        <v>101</v>
      </c>
      <c r="S1566" t="s">
        <v>150</v>
      </c>
    </row>
    <row r="1567" spans="16:19" x14ac:dyDescent="0.25">
      <c r="P1567">
        <v>4866</v>
      </c>
      <c r="Q1567" t="s">
        <v>107</v>
      </c>
      <c r="R1567" t="s">
        <v>101</v>
      </c>
      <c r="S1567" t="s">
        <v>150</v>
      </c>
    </row>
    <row r="1568" spans="16:19" x14ac:dyDescent="0.25">
      <c r="P1568">
        <v>2939</v>
      </c>
      <c r="Q1568" t="s">
        <v>107</v>
      </c>
      <c r="R1568" t="s">
        <v>101</v>
      </c>
      <c r="S1568" t="s">
        <v>150</v>
      </c>
    </row>
    <row r="1569" spans="16:19" x14ac:dyDescent="0.25">
      <c r="P1569">
        <v>1130</v>
      </c>
      <c r="Q1569" t="s">
        <v>107</v>
      </c>
      <c r="R1569" t="s">
        <v>101</v>
      </c>
      <c r="S1569" t="s">
        <v>150</v>
      </c>
    </row>
    <row r="1570" spans="16:19" x14ac:dyDescent="0.25">
      <c r="P1570">
        <v>1703</v>
      </c>
      <c r="Q1570" t="s">
        <v>107</v>
      </c>
      <c r="R1570" t="s">
        <v>101</v>
      </c>
      <c r="S1570" t="s">
        <v>150</v>
      </c>
    </row>
    <row r="1571" spans="16:19" x14ac:dyDescent="0.25">
      <c r="P1571">
        <v>1742</v>
      </c>
      <c r="Q1571" t="s">
        <v>107</v>
      </c>
      <c r="R1571" t="s">
        <v>101</v>
      </c>
      <c r="S1571" t="s">
        <v>150</v>
      </c>
    </row>
    <row r="1572" spans="16:19" x14ac:dyDescent="0.25">
      <c r="P1572">
        <v>2142</v>
      </c>
      <c r="Q1572" t="s">
        <v>107</v>
      </c>
      <c r="R1572" t="s">
        <v>101</v>
      </c>
      <c r="S1572" t="s">
        <v>150</v>
      </c>
    </row>
    <row r="1573" spans="16:19" x14ac:dyDescent="0.25">
      <c r="P1573">
        <v>1665</v>
      </c>
      <c r="Q1573" t="s">
        <v>107</v>
      </c>
      <c r="R1573" t="s">
        <v>101</v>
      </c>
      <c r="S1573" t="s">
        <v>150</v>
      </c>
    </row>
    <row r="1574" spans="16:19" x14ac:dyDescent="0.25">
      <c r="P1574">
        <v>1854</v>
      </c>
      <c r="Q1574" t="s">
        <v>107</v>
      </c>
      <c r="R1574" t="s">
        <v>101</v>
      </c>
      <c r="S1574" t="s">
        <v>150</v>
      </c>
    </row>
    <row r="1575" spans="16:19" x14ac:dyDescent="0.25">
      <c r="P1575">
        <v>2465</v>
      </c>
      <c r="Q1575" t="s">
        <v>108</v>
      </c>
      <c r="R1575" t="s">
        <v>101</v>
      </c>
      <c r="S1575" t="s">
        <v>150</v>
      </c>
    </row>
    <row r="1576" spans="16:19" x14ac:dyDescent="0.25">
      <c r="P1576">
        <v>3255</v>
      </c>
      <c r="Q1576" t="s">
        <v>108</v>
      </c>
      <c r="R1576" t="s">
        <v>101</v>
      </c>
      <c r="S1576" t="s">
        <v>150</v>
      </c>
    </row>
    <row r="1577" spans="16:19" x14ac:dyDescent="0.25">
      <c r="P1577">
        <v>2185</v>
      </c>
      <c r="Q1577" t="s">
        <v>108</v>
      </c>
      <c r="R1577" t="s">
        <v>101</v>
      </c>
      <c r="S1577" t="s">
        <v>150</v>
      </c>
    </row>
    <row r="1578" spans="16:19" x14ac:dyDescent="0.25">
      <c r="P1578">
        <v>1575</v>
      </c>
      <c r="Q1578" t="s">
        <v>108</v>
      </c>
      <c r="R1578" t="s">
        <v>101</v>
      </c>
      <c r="S1578" t="s">
        <v>150</v>
      </c>
    </row>
    <row r="1579" spans="16:19" x14ac:dyDescent="0.25">
      <c r="P1579">
        <v>807</v>
      </c>
      <c r="Q1579" t="s">
        <v>108</v>
      </c>
      <c r="R1579" t="s">
        <v>101</v>
      </c>
      <c r="S1579" t="s">
        <v>150</v>
      </c>
    </row>
    <row r="1580" spans="16:19" x14ac:dyDescent="0.25">
      <c r="P1580">
        <v>3183</v>
      </c>
      <c r="Q1580" t="s">
        <v>108</v>
      </c>
      <c r="R1580" t="s">
        <v>101</v>
      </c>
      <c r="S1580" t="s">
        <v>150</v>
      </c>
    </row>
    <row r="1581" spans="16:19" x14ac:dyDescent="0.25">
      <c r="P1581">
        <v>9455</v>
      </c>
      <c r="Q1581" t="s">
        <v>108</v>
      </c>
      <c r="R1581" t="s">
        <v>101</v>
      </c>
      <c r="S1581" t="s">
        <v>150</v>
      </c>
    </row>
    <row r="1582" spans="16:19" x14ac:dyDescent="0.25">
      <c r="P1582">
        <v>5778</v>
      </c>
      <c r="Q1582" t="s">
        <v>108</v>
      </c>
      <c r="R1582" t="s">
        <v>101</v>
      </c>
      <c r="S1582" t="s">
        <v>150</v>
      </c>
    </row>
    <row r="1583" spans="16:19" x14ac:dyDescent="0.25">
      <c r="P1583">
        <v>1659</v>
      </c>
      <c r="Q1583" t="s">
        <v>108</v>
      </c>
      <c r="R1583" t="s">
        <v>101</v>
      </c>
      <c r="S1583" t="s">
        <v>150</v>
      </c>
    </row>
    <row r="1584" spans="16:19" x14ac:dyDescent="0.25">
      <c r="P1584">
        <v>1489</v>
      </c>
      <c r="Q1584" t="s">
        <v>108</v>
      </c>
      <c r="R1584" t="s">
        <v>101</v>
      </c>
      <c r="S1584" t="s">
        <v>150</v>
      </c>
    </row>
    <row r="1585" spans="16:19" x14ac:dyDescent="0.25">
      <c r="P1585">
        <v>994</v>
      </c>
      <c r="Q1585" t="s">
        <v>108</v>
      </c>
      <c r="R1585" t="s">
        <v>101</v>
      </c>
      <c r="S1585" t="s">
        <v>150</v>
      </c>
    </row>
    <row r="1586" spans="16:19" x14ac:dyDescent="0.25">
      <c r="P1586">
        <v>1599</v>
      </c>
      <c r="Q1586" t="s">
        <v>108</v>
      </c>
      <c r="R1586" t="s">
        <v>101</v>
      </c>
      <c r="S1586" t="s">
        <v>150</v>
      </c>
    </row>
    <row r="1587" spans="16:19" x14ac:dyDescent="0.25">
      <c r="P1587">
        <v>9673</v>
      </c>
      <c r="Q1587" t="s">
        <v>108</v>
      </c>
      <c r="R1587" t="s">
        <v>101</v>
      </c>
      <c r="S1587" t="s">
        <v>150</v>
      </c>
    </row>
    <row r="1588" spans="16:19" x14ac:dyDescent="0.25">
      <c r="P1588">
        <v>2759</v>
      </c>
      <c r="Q1588" t="s">
        <v>108</v>
      </c>
      <c r="R1588" t="s">
        <v>101</v>
      </c>
      <c r="S1588" t="s">
        <v>150</v>
      </c>
    </row>
    <row r="1589" spans="16:19" x14ac:dyDescent="0.25">
      <c r="P1589">
        <v>4163</v>
      </c>
      <c r="Q1589" t="s">
        <v>108</v>
      </c>
      <c r="R1589" t="s">
        <v>101</v>
      </c>
      <c r="S1589" t="s">
        <v>150</v>
      </c>
    </row>
    <row r="1590" spans="16:19" x14ac:dyDescent="0.25">
      <c r="P1590">
        <v>2269</v>
      </c>
      <c r="Q1590" t="s">
        <v>109</v>
      </c>
      <c r="R1590" t="s">
        <v>101</v>
      </c>
      <c r="S1590" t="s">
        <v>150</v>
      </c>
    </row>
    <row r="1591" spans="16:19" x14ac:dyDescent="0.25">
      <c r="P1591">
        <v>1524</v>
      </c>
      <c r="Q1591" t="s">
        <v>109</v>
      </c>
      <c r="R1591" t="s">
        <v>101</v>
      </c>
      <c r="S1591" t="s">
        <v>150</v>
      </c>
    </row>
    <row r="1592" spans="16:19" x14ac:dyDescent="0.25">
      <c r="P1592">
        <v>1209</v>
      </c>
      <c r="Q1592" t="s">
        <v>109</v>
      </c>
      <c r="R1592" t="s">
        <v>101</v>
      </c>
      <c r="S1592" t="s">
        <v>150</v>
      </c>
    </row>
    <row r="1593" spans="16:19" x14ac:dyDescent="0.25">
      <c r="P1593">
        <v>872</v>
      </c>
      <c r="Q1593" t="s">
        <v>109</v>
      </c>
      <c r="R1593" t="s">
        <v>101</v>
      </c>
      <c r="S1593" t="s">
        <v>150</v>
      </c>
    </row>
    <row r="1594" spans="16:19" x14ac:dyDescent="0.25">
      <c r="P1594">
        <v>2967</v>
      </c>
      <c r="Q1594" t="s">
        <v>109</v>
      </c>
      <c r="R1594" t="s">
        <v>101</v>
      </c>
      <c r="S1594" t="s">
        <v>150</v>
      </c>
    </row>
    <row r="1595" spans="16:19" x14ac:dyDescent="0.25">
      <c r="P1595">
        <v>2329</v>
      </c>
      <c r="Q1595" t="s">
        <v>109</v>
      </c>
      <c r="R1595" t="s">
        <v>101</v>
      </c>
      <c r="S1595" t="s">
        <v>150</v>
      </c>
    </row>
    <row r="1596" spans="16:19" x14ac:dyDescent="0.25">
      <c r="P1596">
        <v>2514</v>
      </c>
      <c r="Q1596" t="s">
        <v>109</v>
      </c>
      <c r="R1596" t="s">
        <v>101</v>
      </c>
      <c r="S1596" t="s">
        <v>150</v>
      </c>
    </row>
    <row r="1597" spans="16:19" x14ac:dyDescent="0.25">
      <c r="P1597">
        <v>659</v>
      </c>
      <c r="Q1597" t="s">
        <v>109</v>
      </c>
      <c r="R1597" t="s">
        <v>101</v>
      </c>
      <c r="S1597" t="s">
        <v>150</v>
      </c>
    </row>
    <row r="1598" spans="16:19" x14ac:dyDescent="0.25">
      <c r="P1598">
        <v>2130</v>
      </c>
      <c r="Q1598" t="s">
        <v>109</v>
      </c>
      <c r="R1598" t="s">
        <v>101</v>
      </c>
      <c r="S1598" t="s">
        <v>150</v>
      </c>
    </row>
    <row r="1599" spans="16:19" x14ac:dyDescent="0.25">
      <c r="P1599">
        <v>2231</v>
      </c>
      <c r="Q1599" t="s">
        <v>109</v>
      </c>
      <c r="R1599" t="s">
        <v>101</v>
      </c>
      <c r="S1599" t="s">
        <v>150</v>
      </c>
    </row>
    <row r="1600" spans="16:19" x14ac:dyDescent="0.25">
      <c r="P1600">
        <v>1340</v>
      </c>
      <c r="Q1600" t="s">
        <v>109</v>
      </c>
      <c r="R1600" t="s">
        <v>101</v>
      </c>
      <c r="S1600" t="s">
        <v>150</v>
      </c>
    </row>
    <row r="1601" spans="16:19" x14ac:dyDescent="0.25">
      <c r="P1601">
        <v>2046</v>
      </c>
      <c r="Q1601" t="s">
        <v>109</v>
      </c>
      <c r="R1601" t="s">
        <v>101</v>
      </c>
      <c r="S1601" t="s">
        <v>150</v>
      </c>
    </row>
    <row r="1602" spans="16:19" x14ac:dyDescent="0.25">
      <c r="P1602">
        <v>1073</v>
      </c>
      <c r="Q1602" t="s">
        <v>109</v>
      </c>
      <c r="R1602" t="s">
        <v>101</v>
      </c>
      <c r="S1602" t="s">
        <v>150</v>
      </c>
    </row>
    <row r="1603" spans="16:19" x14ac:dyDescent="0.25">
      <c r="P1603">
        <v>704</v>
      </c>
      <c r="Q1603" t="s">
        <v>109</v>
      </c>
      <c r="R1603" t="s">
        <v>101</v>
      </c>
      <c r="S1603" t="s">
        <v>150</v>
      </c>
    </row>
    <row r="1604" spans="16:19" x14ac:dyDescent="0.25">
      <c r="P1604">
        <v>622</v>
      </c>
      <c r="Q1604" t="s">
        <v>109</v>
      </c>
      <c r="R1604" t="s">
        <v>101</v>
      </c>
      <c r="S1604" t="s">
        <v>150</v>
      </c>
    </row>
    <row r="1605" spans="16:19" x14ac:dyDescent="0.25">
      <c r="P1605">
        <v>1061</v>
      </c>
      <c r="Q1605" t="s">
        <v>109</v>
      </c>
      <c r="R1605" t="s">
        <v>101</v>
      </c>
      <c r="S1605" t="s">
        <v>150</v>
      </c>
    </row>
    <row r="1606" spans="16:19" x14ac:dyDescent="0.25">
      <c r="P1606">
        <v>4158</v>
      </c>
      <c r="Q1606" t="s">
        <v>109</v>
      </c>
      <c r="R1606" t="s">
        <v>101</v>
      </c>
      <c r="S1606" t="s">
        <v>150</v>
      </c>
    </row>
    <row r="1607" spans="16:19" x14ac:dyDescent="0.25">
      <c r="P1607">
        <v>4454</v>
      </c>
      <c r="Q1607" t="s">
        <v>109</v>
      </c>
      <c r="R1607" t="s">
        <v>101</v>
      </c>
      <c r="S1607" t="s">
        <v>150</v>
      </c>
    </row>
    <row r="1608" spans="16:19" x14ac:dyDescent="0.25">
      <c r="P1608">
        <v>1903</v>
      </c>
      <c r="Q1608" t="s">
        <v>109</v>
      </c>
      <c r="R1608" t="s">
        <v>101</v>
      </c>
      <c r="S1608" t="s">
        <v>150</v>
      </c>
    </row>
    <row r="1609" spans="16:19" x14ac:dyDescent="0.25">
      <c r="P1609">
        <v>2492</v>
      </c>
      <c r="Q1609" t="s">
        <v>109</v>
      </c>
      <c r="R1609" t="s">
        <v>101</v>
      </c>
      <c r="S1609" t="s">
        <v>150</v>
      </c>
    </row>
    <row r="1610" spans="16:19" x14ac:dyDescent="0.25">
      <c r="P1610">
        <v>3961</v>
      </c>
      <c r="Q1610" t="s">
        <v>109</v>
      </c>
      <c r="R1610" t="s">
        <v>101</v>
      </c>
      <c r="S1610" t="s">
        <v>150</v>
      </c>
    </row>
    <row r="1611" spans="16:19" x14ac:dyDescent="0.25">
      <c r="P1611">
        <v>4972</v>
      </c>
      <c r="Q1611" t="s">
        <v>109</v>
      </c>
      <c r="R1611" t="s">
        <v>101</v>
      </c>
      <c r="S1611" t="s">
        <v>150</v>
      </c>
    </row>
    <row r="1612" spans="16:19" x14ac:dyDescent="0.25">
      <c r="P1612">
        <v>1784</v>
      </c>
      <c r="Q1612" t="s">
        <v>109</v>
      </c>
      <c r="R1612" t="s">
        <v>101</v>
      </c>
      <c r="S1612" t="s">
        <v>150</v>
      </c>
    </row>
    <row r="1613" spans="16:19" x14ac:dyDescent="0.25">
      <c r="P1613">
        <v>1759</v>
      </c>
      <c r="Q1613" t="s">
        <v>109</v>
      </c>
      <c r="R1613" t="s">
        <v>101</v>
      </c>
      <c r="S1613" t="s">
        <v>150</v>
      </c>
    </row>
    <row r="1614" spans="16:19" x14ac:dyDescent="0.25">
      <c r="P1614">
        <v>11200</v>
      </c>
      <c r="Q1614" t="s">
        <v>109</v>
      </c>
      <c r="R1614" t="s">
        <v>101</v>
      </c>
      <c r="S1614" t="s">
        <v>150</v>
      </c>
    </row>
    <row r="1615" spans="16:19" x14ac:dyDescent="0.25">
      <c r="P1615">
        <v>1630</v>
      </c>
      <c r="Q1615" t="s">
        <v>109</v>
      </c>
      <c r="R1615" t="s">
        <v>101</v>
      </c>
      <c r="S1615" t="s">
        <v>150</v>
      </c>
    </row>
    <row r="1616" spans="16:19" x14ac:dyDescent="0.25">
      <c r="P1616">
        <v>2190</v>
      </c>
      <c r="Q1616" t="s">
        <v>109</v>
      </c>
      <c r="R1616" t="s">
        <v>101</v>
      </c>
      <c r="S1616" t="s">
        <v>150</v>
      </c>
    </row>
    <row r="1617" spans="16:19" x14ac:dyDescent="0.25">
      <c r="P1617">
        <v>4428</v>
      </c>
      <c r="Q1617" t="s">
        <v>109</v>
      </c>
      <c r="R1617" t="s">
        <v>101</v>
      </c>
      <c r="S1617" t="s">
        <v>150</v>
      </c>
    </row>
    <row r="1618" spans="16:19" x14ac:dyDescent="0.25">
      <c r="P1618">
        <v>3687</v>
      </c>
      <c r="Q1618" t="s">
        <v>109</v>
      </c>
      <c r="R1618" t="s">
        <v>101</v>
      </c>
      <c r="S1618" t="s">
        <v>150</v>
      </c>
    </row>
    <row r="1619" spans="16:19" x14ac:dyDescent="0.25">
      <c r="P1619">
        <v>5551</v>
      </c>
      <c r="Q1619" t="s">
        <v>109</v>
      </c>
      <c r="R1619" t="s">
        <v>101</v>
      </c>
      <c r="S1619" t="s">
        <v>150</v>
      </c>
    </row>
    <row r="1620" spans="16:19" x14ac:dyDescent="0.25">
      <c r="P1620">
        <v>11791</v>
      </c>
      <c r="Q1620" t="s">
        <v>109</v>
      </c>
      <c r="R1620" t="s">
        <v>101</v>
      </c>
      <c r="S1620" t="s">
        <v>150</v>
      </c>
    </row>
    <row r="1621" spans="16:19" x14ac:dyDescent="0.25">
      <c r="P1621">
        <v>7558</v>
      </c>
      <c r="Q1621" t="s">
        <v>110</v>
      </c>
      <c r="R1621" t="s">
        <v>101</v>
      </c>
      <c r="S1621" t="s">
        <v>150</v>
      </c>
    </row>
    <row r="1622" spans="16:19" x14ac:dyDescent="0.25">
      <c r="P1622">
        <v>1318</v>
      </c>
      <c r="Q1622" t="s">
        <v>110</v>
      </c>
      <c r="R1622" t="s">
        <v>101</v>
      </c>
      <c r="S1622" t="s">
        <v>150</v>
      </c>
    </row>
    <row r="1623" spans="16:19" x14ac:dyDescent="0.25">
      <c r="P1623">
        <v>380</v>
      </c>
      <c r="Q1623" t="s">
        <v>110</v>
      </c>
      <c r="R1623" t="s">
        <v>101</v>
      </c>
      <c r="S1623" t="s">
        <v>150</v>
      </c>
    </row>
    <row r="1624" spans="16:19" x14ac:dyDescent="0.25">
      <c r="P1624">
        <v>1931</v>
      </c>
      <c r="Q1624" t="s">
        <v>110</v>
      </c>
      <c r="R1624" t="s">
        <v>101</v>
      </c>
      <c r="S1624" t="s">
        <v>150</v>
      </c>
    </row>
    <row r="1625" spans="16:19" x14ac:dyDescent="0.25">
      <c r="P1625">
        <v>430</v>
      </c>
      <c r="Q1625" t="s">
        <v>110</v>
      </c>
      <c r="R1625" t="s">
        <v>101</v>
      </c>
      <c r="S1625" t="s">
        <v>150</v>
      </c>
    </row>
    <row r="1626" spans="16:19" x14ac:dyDescent="0.25">
      <c r="P1626">
        <v>860</v>
      </c>
      <c r="Q1626" t="s">
        <v>110</v>
      </c>
      <c r="R1626" t="s">
        <v>101</v>
      </c>
      <c r="S1626" t="s">
        <v>150</v>
      </c>
    </row>
    <row r="1627" spans="16:19" x14ac:dyDescent="0.25">
      <c r="P1627">
        <v>1069</v>
      </c>
      <c r="Q1627" t="s">
        <v>110</v>
      </c>
      <c r="R1627" t="s">
        <v>101</v>
      </c>
      <c r="S1627" t="s">
        <v>150</v>
      </c>
    </row>
    <row r="1628" spans="16:19" x14ac:dyDescent="0.25">
      <c r="P1628">
        <v>1308</v>
      </c>
      <c r="Q1628" t="s">
        <v>110</v>
      </c>
      <c r="R1628" t="s">
        <v>101</v>
      </c>
      <c r="S1628" t="s">
        <v>150</v>
      </c>
    </row>
    <row r="1629" spans="16:19" x14ac:dyDescent="0.25">
      <c r="P1629">
        <v>1270</v>
      </c>
      <c r="Q1629" t="s">
        <v>110</v>
      </c>
      <c r="R1629" t="s">
        <v>101</v>
      </c>
      <c r="S1629" t="s">
        <v>150</v>
      </c>
    </row>
    <row r="1630" spans="16:19" x14ac:dyDescent="0.25">
      <c r="P1630">
        <v>6962</v>
      </c>
      <c r="Q1630" t="s">
        <v>110</v>
      </c>
      <c r="R1630" t="s">
        <v>101</v>
      </c>
      <c r="S1630" t="s">
        <v>150</v>
      </c>
    </row>
    <row r="1631" spans="16:19" x14ac:dyDescent="0.25">
      <c r="P1631">
        <v>1860</v>
      </c>
      <c r="Q1631" t="s">
        <v>110</v>
      </c>
      <c r="R1631" t="s">
        <v>101</v>
      </c>
      <c r="S1631" t="s">
        <v>150</v>
      </c>
    </row>
    <row r="1632" spans="16:19" x14ac:dyDescent="0.25">
      <c r="P1632">
        <v>9557</v>
      </c>
      <c r="Q1632" t="s">
        <v>110</v>
      </c>
      <c r="R1632" t="s">
        <v>101</v>
      </c>
      <c r="S1632" t="s">
        <v>150</v>
      </c>
    </row>
    <row r="1633" spans="16:19" x14ac:dyDescent="0.25">
      <c r="P1633">
        <v>12603</v>
      </c>
      <c r="Q1633" t="s">
        <v>110</v>
      </c>
      <c r="R1633" t="s">
        <v>101</v>
      </c>
      <c r="S1633" t="s">
        <v>150</v>
      </c>
    </row>
    <row r="1634" spans="16:19" x14ac:dyDescent="0.25">
      <c r="P1634">
        <v>3783</v>
      </c>
      <c r="Q1634" t="s">
        <v>110</v>
      </c>
      <c r="R1634" t="s">
        <v>101</v>
      </c>
      <c r="S1634" t="s">
        <v>150</v>
      </c>
    </row>
    <row r="1635" spans="16:19" x14ac:dyDescent="0.25">
      <c r="P1635">
        <v>2922</v>
      </c>
      <c r="Q1635" t="s">
        <v>110</v>
      </c>
      <c r="R1635" t="s">
        <v>101</v>
      </c>
      <c r="S1635" t="s">
        <v>150</v>
      </c>
    </row>
    <row r="1636" spans="16:19" x14ac:dyDescent="0.25">
      <c r="P1636">
        <v>2515</v>
      </c>
      <c r="Q1636" t="s">
        <v>110</v>
      </c>
      <c r="R1636" t="s">
        <v>101</v>
      </c>
      <c r="S1636" t="s">
        <v>150</v>
      </c>
    </row>
    <row r="1637" spans="16:19" x14ac:dyDescent="0.25">
      <c r="P1637">
        <v>2057</v>
      </c>
      <c r="Q1637" t="s">
        <v>110</v>
      </c>
      <c r="R1637" t="s">
        <v>101</v>
      </c>
      <c r="S1637" t="s">
        <v>150</v>
      </c>
    </row>
    <row r="1638" spans="16:19" x14ac:dyDescent="0.25">
      <c r="P1638">
        <v>2665</v>
      </c>
      <c r="Q1638" t="s">
        <v>110</v>
      </c>
      <c r="R1638" t="s">
        <v>101</v>
      </c>
      <c r="S1638" t="s">
        <v>150</v>
      </c>
    </row>
    <row r="1639" spans="16:19" x14ac:dyDescent="0.25">
      <c r="P1639">
        <v>5350</v>
      </c>
      <c r="Q1639" t="s">
        <v>110</v>
      </c>
      <c r="R1639" t="s">
        <v>101</v>
      </c>
      <c r="S1639" t="s">
        <v>150</v>
      </c>
    </row>
    <row r="1640" spans="16:19" x14ac:dyDescent="0.25">
      <c r="P1640">
        <v>4847</v>
      </c>
      <c r="Q1640" t="s">
        <v>110</v>
      </c>
      <c r="R1640" t="s">
        <v>101</v>
      </c>
      <c r="S1640" t="s">
        <v>150</v>
      </c>
    </row>
    <row r="1641" spans="16:19" x14ac:dyDescent="0.25">
      <c r="P1641">
        <v>1602</v>
      </c>
      <c r="Q1641" t="s">
        <v>111</v>
      </c>
      <c r="R1641" t="s">
        <v>101</v>
      </c>
      <c r="S1641" t="s">
        <v>150</v>
      </c>
    </row>
    <row r="1642" spans="16:19" x14ac:dyDescent="0.25">
      <c r="P1642">
        <v>5371</v>
      </c>
      <c r="Q1642" t="s">
        <v>111</v>
      </c>
      <c r="R1642" t="s">
        <v>101</v>
      </c>
      <c r="S1642" t="s">
        <v>150</v>
      </c>
    </row>
    <row r="1643" spans="16:19" x14ac:dyDescent="0.25">
      <c r="P1643">
        <v>3877</v>
      </c>
      <c r="Q1643" t="s">
        <v>111</v>
      </c>
      <c r="R1643" t="s">
        <v>101</v>
      </c>
      <c r="S1643" t="s">
        <v>150</v>
      </c>
    </row>
    <row r="1644" spans="16:19" x14ac:dyDescent="0.25">
      <c r="P1644">
        <v>2493</v>
      </c>
      <c r="Q1644" t="s">
        <v>111</v>
      </c>
      <c r="R1644" t="s">
        <v>101</v>
      </c>
      <c r="S1644" t="s">
        <v>150</v>
      </c>
    </row>
    <row r="1645" spans="16:19" x14ac:dyDescent="0.25">
      <c r="P1645">
        <v>3722</v>
      </c>
      <c r="Q1645" t="s">
        <v>111</v>
      </c>
      <c r="R1645" t="s">
        <v>101</v>
      </c>
      <c r="S1645" t="s">
        <v>150</v>
      </c>
    </row>
    <row r="1646" spans="16:19" x14ac:dyDescent="0.25">
      <c r="P1646">
        <v>1745</v>
      </c>
      <c r="Q1646" t="s">
        <v>111</v>
      </c>
      <c r="R1646" t="s">
        <v>101</v>
      </c>
      <c r="S1646" t="s">
        <v>150</v>
      </c>
    </row>
    <row r="1647" spans="16:19" x14ac:dyDescent="0.25">
      <c r="P1647">
        <v>1821</v>
      </c>
      <c r="Q1647" t="s">
        <v>111</v>
      </c>
      <c r="R1647" t="s">
        <v>101</v>
      </c>
      <c r="S1647" t="s">
        <v>150</v>
      </c>
    </row>
    <row r="1648" spans="16:19" x14ac:dyDescent="0.25">
      <c r="P1648">
        <v>1571</v>
      </c>
      <c r="Q1648" t="s">
        <v>111</v>
      </c>
      <c r="R1648" t="s">
        <v>101</v>
      </c>
      <c r="S1648" t="s">
        <v>150</v>
      </c>
    </row>
    <row r="1649" spans="16:19" x14ac:dyDescent="0.25">
      <c r="P1649">
        <v>2442</v>
      </c>
      <c r="Q1649" t="s">
        <v>111</v>
      </c>
      <c r="R1649" t="s">
        <v>101</v>
      </c>
      <c r="S1649" t="s">
        <v>150</v>
      </c>
    </row>
    <row r="1650" spans="16:19" x14ac:dyDescent="0.25">
      <c r="P1650">
        <v>15720</v>
      </c>
      <c r="Q1650" t="s">
        <v>111</v>
      </c>
      <c r="R1650" t="s">
        <v>101</v>
      </c>
      <c r="S1650" t="s">
        <v>150</v>
      </c>
    </row>
    <row r="1651" spans="16:19" x14ac:dyDescent="0.25">
      <c r="P1651">
        <v>22138</v>
      </c>
      <c r="Q1651" t="s">
        <v>111</v>
      </c>
      <c r="R1651" t="s">
        <v>101</v>
      </c>
      <c r="S1651" t="s">
        <v>150</v>
      </c>
    </row>
    <row r="1652" spans="16:19" x14ac:dyDescent="0.25">
      <c r="P1652">
        <v>8197</v>
      </c>
      <c r="Q1652" t="s">
        <v>111</v>
      </c>
      <c r="R1652" t="s">
        <v>101</v>
      </c>
      <c r="S1652" t="s">
        <v>150</v>
      </c>
    </row>
    <row r="1653" spans="16:19" x14ac:dyDescent="0.25">
      <c r="P1653">
        <v>3618</v>
      </c>
      <c r="Q1653" t="s">
        <v>111</v>
      </c>
      <c r="R1653" t="s">
        <v>101</v>
      </c>
      <c r="S1653" t="s">
        <v>150</v>
      </c>
    </row>
    <row r="1654" spans="16:19" x14ac:dyDescent="0.25">
      <c r="P1654">
        <v>8156</v>
      </c>
      <c r="Q1654" t="s">
        <v>111</v>
      </c>
      <c r="R1654" t="s">
        <v>101</v>
      </c>
      <c r="S1654" t="s">
        <v>150</v>
      </c>
    </row>
    <row r="1655" spans="16:19" x14ac:dyDescent="0.25">
      <c r="P1655">
        <v>2356</v>
      </c>
      <c r="Q1655" t="s">
        <v>111</v>
      </c>
      <c r="R1655" t="s">
        <v>101</v>
      </c>
      <c r="S1655" t="s">
        <v>150</v>
      </c>
    </row>
    <row r="1656" spans="16:19" x14ac:dyDescent="0.25">
      <c r="P1656">
        <v>6517</v>
      </c>
      <c r="Q1656" t="s">
        <v>111</v>
      </c>
      <c r="R1656" t="s">
        <v>101</v>
      </c>
      <c r="S1656" t="s">
        <v>150</v>
      </c>
    </row>
    <row r="1657" spans="16:19" x14ac:dyDescent="0.25">
      <c r="P1657">
        <v>2871</v>
      </c>
      <c r="Q1657" t="s">
        <v>111</v>
      </c>
      <c r="R1657" t="s">
        <v>101</v>
      </c>
      <c r="S1657" t="s">
        <v>150</v>
      </c>
    </row>
    <row r="1658" spans="16:19" x14ac:dyDescent="0.25">
      <c r="P1658">
        <v>2207</v>
      </c>
      <c r="Q1658" t="s">
        <v>111</v>
      </c>
      <c r="R1658" t="s">
        <v>101</v>
      </c>
      <c r="S1658" t="s">
        <v>150</v>
      </c>
    </row>
    <row r="1659" spans="16:19" x14ac:dyDescent="0.25">
      <c r="P1659">
        <v>1818</v>
      </c>
      <c r="Q1659" t="s">
        <v>111</v>
      </c>
      <c r="R1659" t="s">
        <v>101</v>
      </c>
      <c r="S1659" t="s">
        <v>150</v>
      </c>
    </row>
    <row r="1660" spans="16:19" x14ac:dyDescent="0.25">
      <c r="P1660">
        <v>1584</v>
      </c>
      <c r="Q1660" t="s">
        <v>112</v>
      </c>
      <c r="R1660" t="s">
        <v>101</v>
      </c>
      <c r="S1660" t="s">
        <v>150</v>
      </c>
    </row>
    <row r="1661" spans="16:19" x14ac:dyDescent="0.25">
      <c r="P1661">
        <v>2184</v>
      </c>
      <c r="Q1661" t="s">
        <v>112</v>
      </c>
      <c r="R1661" t="s">
        <v>101</v>
      </c>
      <c r="S1661" t="s">
        <v>150</v>
      </c>
    </row>
    <row r="1662" spans="16:19" x14ac:dyDescent="0.25">
      <c r="P1662">
        <v>1063</v>
      </c>
      <c r="Q1662" t="s">
        <v>112</v>
      </c>
      <c r="R1662" t="s">
        <v>101</v>
      </c>
      <c r="S1662" t="s">
        <v>150</v>
      </c>
    </row>
    <row r="1663" spans="16:19" x14ac:dyDescent="0.25">
      <c r="P1663">
        <v>1282</v>
      </c>
      <c r="Q1663" t="s">
        <v>112</v>
      </c>
      <c r="R1663" t="s">
        <v>101</v>
      </c>
      <c r="S1663" t="s">
        <v>150</v>
      </c>
    </row>
    <row r="1664" spans="16:19" x14ac:dyDescent="0.25">
      <c r="P1664">
        <v>2652</v>
      </c>
      <c r="Q1664" t="s">
        <v>112</v>
      </c>
      <c r="R1664" t="s">
        <v>101</v>
      </c>
      <c r="S1664" t="s">
        <v>150</v>
      </c>
    </row>
    <row r="1665" spans="16:19" x14ac:dyDescent="0.25">
      <c r="P1665">
        <v>1893</v>
      </c>
      <c r="Q1665" t="s">
        <v>112</v>
      </c>
      <c r="R1665" t="s">
        <v>101</v>
      </c>
      <c r="S1665" t="s">
        <v>150</v>
      </c>
    </row>
    <row r="1666" spans="16:19" x14ac:dyDescent="0.25">
      <c r="P1666">
        <v>1282</v>
      </c>
      <c r="Q1666" t="s">
        <v>112</v>
      </c>
      <c r="R1666" t="s">
        <v>101</v>
      </c>
      <c r="S1666" t="s">
        <v>150</v>
      </c>
    </row>
    <row r="1667" spans="16:19" x14ac:dyDescent="0.25">
      <c r="P1667">
        <v>6774</v>
      </c>
      <c r="Q1667" t="s">
        <v>112</v>
      </c>
      <c r="R1667" t="s">
        <v>101</v>
      </c>
      <c r="S1667" t="s">
        <v>150</v>
      </c>
    </row>
    <row r="1668" spans="16:19" x14ac:dyDescent="0.25">
      <c r="P1668">
        <v>2199</v>
      </c>
      <c r="Q1668" t="s">
        <v>112</v>
      </c>
      <c r="R1668" t="s">
        <v>101</v>
      </c>
      <c r="S1668" t="s">
        <v>150</v>
      </c>
    </row>
    <row r="1669" spans="16:19" x14ac:dyDescent="0.25">
      <c r="P1669">
        <v>1459</v>
      </c>
      <c r="Q1669" t="s">
        <v>112</v>
      </c>
      <c r="R1669" t="s">
        <v>101</v>
      </c>
      <c r="S1669" t="s">
        <v>150</v>
      </c>
    </row>
    <row r="1670" spans="16:19" x14ac:dyDescent="0.25">
      <c r="P1670">
        <v>1595</v>
      </c>
      <c r="Q1670" t="s">
        <v>112</v>
      </c>
      <c r="R1670" t="s">
        <v>101</v>
      </c>
      <c r="S1670" t="s">
        <v>150</v>
      </c>
    </row>
    <row r="1671" spans="16:19" x14ac:dyDescent="0.25">
      <c r="P1671">
        <v>3135</v>
      </c>
      <c r="Q1671" t="s">
        <v>112</v>
      </c>
      <c r="R1671" t="s">
        <v>101</v>
      </c>
      <c r="S1671" t="s">
        <v>150</v>
      </c>
    </row>
    <row r="1672" spans="16:19" x14ac:dyDescent="0.25">
      <c r="P1672">
        <v>2030</v>
      </c>
      <c r="Q1672" t="s">
        <v>112</v>
      </c>
      <c r="R1672" t="s">
        <v>101</v>
      </c>
      <c r="S1672" t="s">
        <v>150</v>
      </c>
    </row>
    <row r="1673" spans="16:19" x14ac:dyDescent="0.25">
      <c r="P1673">
        <v>1028</v>
      </c>
      <c r="Q1673" t="s">
        <v>112</v>
      </c>
      <c r="R1673" t="s">
        <v>101</v>
      </c>
      <c r="S1673" t="s">
        <v>150</v>
      </c>
    </row>
    <row r="1674" spans="16:19" x14ac:dyDescent="0.25">
      <c r="P1674">
        <v>2227</v>
      </c>
      <c r="Q1674" t="s">
        <v>112</v>
      </c>
      <c r="R1674" t="s">
        <v>101</v>
      </c>
      <c r="S1674" t="s">
        <v>150</v>
      </c>
    </row>
    <row r="1675" spans="16:19" x14ac:dyDescent="0.25">
      <c r="P1675">
        <v>1419</v>
      </c>
      <c r="Q1675" t="s">
        <v>112</v>
      </c>
      <c r="R1675" t="s">
        <v>101</v>
      </c>
      <c r="S1675" t="s">
        <v>150</v>
      </c>
    </row>
    <row r="1676" spans="16:19" x14ac:dyDescent="0.25">
      <c r="P1676">
        <v>1340</v>
      </c>
      <c r="Q1676" t="s">
        <v>112</v>
      </c>
      <c r="R1676" t="s">
        <v>101</v>
      </c>
      <c r="S1676" t="s">
        <v>150</v>
      </c>
    </row>
    <row r="1677" spans="16:19" x14ac:dyDescent="0.25">
      <c r="P1677">
        <v>1461</v>
      </c>
      <c r="Q1677" t="s">
        <v>112</v>
      </c>
      <c r="R1677" t="s">
        <v>101</v>
      </c>
      <c r="S1677" t="s">
        <v>150</v>
      </c>
    </row>
    <row r="1678" spans="16:19" x14ac:dyDescent="0.25">
      <c r="P1678">
        <v>2205</v>
      </c>
      <c r="Q1678" t="s">
        <v>112</v>
      </c>
      <c r="R1678" t="s">
        <v>101</v>
      </c>
      <c r="S1678" t="s">
        <v>150</v>
      </c>
    </row>
    <row r="1679" spans="16:19" x14ac:dyDescent="0.25">
      <c r="P1679">
        <v>1397</v>
      </c>
      <c r="Q1679" t="s">
        <v>112</v>
      </c>
      <c r="R1679" t="s">
        <v>101</v>
      </c>
      <c r="S1679" t="s">
        <v>150</v>
      </c>
    </row>
    <row r="1680" spans="16:19" x14ac:dyDescent="0.25">
      <c r="P1680">
        <v>3929</v>
      </c>
      <c r="Q1680" t="s">
        <v>112</v>
      </c>
      <c r="R1680" t="s">
        <v>101</v>
      </c>
      <c r="S1680" t="s">
        <v>150</v>
      </c>
    </row>
    <row r="1681" spans="16:19" x14ac:dyDescent="0.25">
      <c r="P1681">
        <v>2017</v>
      </c>
      <c r="Q1681" t="s">
        <v>112</v>
      </c>
      <c r="R1681" t="s">
        <v>101</v>
      </c>
      <c r="S1681" t="s">
        <v>150</v>
      </c>
    </row>
    <row r="1682" spans="16:19" x14ac:dyDescent="0.25">
      <c r="P1682">
        <v>2425</v>
      </c>
      <c r="Q1682" t="s">
        <v>112</v>
      </c>
      <c r="R1682" t="s">
        <v>101</v>
      </c>
      <c r="S1682" t="s">
        <v>150</v>
      </c>
    </row>
    <row r="1683" spans="16:19" x14ac:dyDescent="0.25">
      <c r="P1683">
        <v>8774</v>
      </c>
      <c r="Q1683" t="s">
        <v>112</v>
      </c>
      <c r="R1683" t="s">
        <v>101</v>
      </c>
      <c r="S1683" t="s">
        <v>150</v>
      </c>
    </row>
    <row r="1684" spans="16:19" x14ac:dyDescent="0.25">
      <c r="P1684">
        <v>3189</v>
      </c>
      <c r="Q1684" t="s">
        <v>112</v>
      </c>
      <c r="R1684" t="s">
        <v>101</v>
      </c>
      <c r="S1684" t="s">
        <v>150</v>
      </c>
    </row>
    <row r="1685" spans="16:19" x14ac:dyDescent="0.25">
      <c r="P1685">
        <v>2109</v>
      </c>
      <c r="Q1685" t="s">
        <v>112</v>
      </c>
      <c r="R1685" t="s">
        <v>101</v>
      </c>
      <c r="S1685" t="s">
        <v>150</v>
      </c>
    </row>
    <row r="1686" spans="16:19" x14ac:dyDescent="0.25">
      <c r="P1686">
        <v>2117</v>
      </c>
      <c r="Q1686" t="s">
        <v>112</v>
      </c>
      <c r="R1686" t="s">
        <v>101</v>
      </c>
      <c r="S1686" t="s">
        <v>150</v>
      </c>
    </row>
    <row r="1687" spans="16:19" x14ac:dyDescent="0.25">
      <c r="P1687">
        <v>3731</v>
      </c>
      <c r="Q1687" t="s">
        <v>112</v>
      </c>
      <c r="R1687" t="s">
        <v>101</v>
      </c>
      <c r="S1687" t="s">
        <v>150</v>
      </c>
    </row>
    <row r="1688" spans="16:19" x14ac:dyDescent="0.25">
      <c r="P1688">
        <v>3022</v>
      </c>
      <c r="Q1688" t="s">
        <v>112</v>
      </c>
      <c r="R1688" t="s">
        <v>101</v>
      </c>
      <c r="S1688" t="s">
        <v>150</v>
      </c>
    </row>
    <row r="1689" spans="16:19" x14ac:dyDescent="0.25">
      <c r="P1689">
        <v>1818</v>
      </c>
      <c r="Q1689" t="s">
        <v>112</v>
      </c>
      <c r="R1689" t="s">
        <v>101</v>
      </c>
      <c r="S1689" t="s">
        <v>150</v>
      </c>
    </row>
    <row r="1690" spans="16:19" x14ac:dyDescent="0.25">
      <c r="P1690">
        <v>1496</v>
      </c>
      <c r="Q1690" t="s">
        <v>112</v>
      </c>
      <c r="R1690" t="s">
        <v>101</v>
      </c>
      <c r="S1690" t="s">
        <v>150</v>
      </c>
    </row>
    <row r="1691" spans="16:19" x14ac:dyDescent="0.25">
      <c r="P1691">
        <v>5958</v>
      </c>
      <c r="Q1691" t="s">
        <v>112</v>
      </c>
      <c r="R1691" t="s">
        <v>101</v>
      </c>
      <c r="S1691" t="s">
        <v>150</v>
      </c>
    </row>
    <row r="1692" spans="16:19" x14ac:dyDescent="0.25">
      <c r="P1692">
        <v>1405</v>
      </c>
      <c r="Q1692" t="s">
        <v>112</v>
      </c>
      <c r="R1692" t="s">
        <v>101</v>
      </c>
      <c r="S1692" t="s">
        <v>150</v>
      </c>
    </row>
    <row r="1693" spans="16:19" x14ac:dyDescent="0.25">
      <c r="P1693">
        <v>2640</v>
      </c>
      <c r="Q1693" t="s">
        <v>112</v>
      </c>
      <c r="R1693" t="s">
        <v>101</v>
      </c>
      <c r="S1693" t="s">
        <v>150</v>
      </c>
    </row>
    <row r="1694" spans="16:19" x14ac:dyDescent="0.25">
      <c r="P1694">
        <v>4650</v>
      </c>
      <c r="Q1694" t="s">
        <v>112</v>
      </c>
      <c r="R1694" t="s">
        <v>101</v>
      </c>
      <c r="S1694" t="s">
        <v>150</v>
      </c>
    </row>
    <row r="1695" spans="16:19" x14ac:dyDescent="0.25">
      <c r="P1695">
        <v>1435</v>
      </c>
      <c r="Q1695" t="s">
        <v>112</v>
      </c>
      <c r="R1695" t="s">
        <v>101</v>
      </c>
      <c r="S1695" t="s">
        <v>150</v>
      </c>
    </row>
    <row r="1696" spans="16:19" x14ac:dyDescent="0.25">
      <c r="P1696">
        <v>1354</v>
      </c>
      <c r="Q1696" t="s">
        <v>113</v>
      </c>
      <c r="R1696" t="s">
        <v>101</v>
      </c>
      <c r="S1696" t="s">
        <v>150</v>
      </c>
    </row>
    <row r="1697" spans="16:19" x14ac:dyDescent="0.25">
      <c r="P1697">
        <v>1360</v>
      </c>
      <c r="Q1697" t="s">
        <v>113</v>
      </c>
      <c r="R1697" t="s">
        <v>101</v>
      </c>
      <c r="S1697" t="s">
        <v>150</v>
      </c>
    </row>
    <row r="1698" spans="16:19" x14ac:dyDescent="0.25">
      <c r="P1698">
        <v>1728</v>
      </c>
      <c r="Q1698" t="s">
        <v>113</v>
      </c>
      <c r="R1698" t="s">
        <v>101</v>
      </c>
      <c r="S1698" t="s">
        <v>150</v>
      </c>
    </row>
    <row r="1699" spans="16:19" x14ac:dyDescent="0.25">
      <c r="P1699">
        <v>1629</v>
      </c>
      <c r="Q1699" t="s">
        <v>113</v>
      </c>
      <c r="R1699" t="s">
        <v>101</v>
      </c>
      <c r="S1699" t="s">
        <v>150</v>
      </c>
    </row>
    <row r="1700" spans="16:19" x14ac:dyDescent="0.25">
      <c r="P1700">
        <v>1538</v>
      </c>
      <c r="Q1700" t="s">
        <v>113</v>
      </c>
      <c r="R1700" t="s">
        <v>101</v>
      </c>
      <c r="S1700" t="s">
        <v>150</v>
      </c>
    </row>
    <row r="1701" spans="16:19" x14ac:dyDescent="0.25">
      <c r="P1701">
        <v>1157</v>
      </c>
      <c r="Q1701" t="s">
        <v>113</v>
      </c>
      <c r="R1701" t="s">
        <v>101</v>
      </c>
      <c r="S1701" t="s">
        <v>150</v>
      </c>
    </row>
    <row r="1702" spans="16:19" x14ac:dyDescent="0.25">
      <c r="P1702">
        <v>1361</v>
      </c>
      <c r="Q1702" t="s">
        <v>113</v>
      </c>
      <c r="R1702" t="s">
        <v>101</v>
      </c>
      <c r="S1702" t="s">
        <v>150</v>
      </c>
    </row>
    <row r="1703" spans="16:19" x14ac:dyDescent="0.25">
      <c r="P1703">
        <v>1201</v>
      </c>
      <c r="Q1703" t="s">
        <v>113</v>
      </c>
      <c r="R1703" t="s">
        <v>101</v>
      </c>
      <c r="S1703" t="s">
        <v>150</v>
      </c>
    </row>
    <row r="1704" spans="16:19" x14ac:dyDescent="0.25">
      <c r="P1704">
        <v>1254</v>
      </c>
      <c r="Q1704" t="s">
        <v>113</v>
      </c>
      <c r="R1704" t="s">
        <v>101</v>
      </c>
      <c r="S1704" t="s">
        <v>150</v>
      </c>
    </row>
    <row r="1705" spans="16:19" x14ac:dyDescent="0.25">
      <c r="P1705">
        <v>5195</v>
      </c>
      <c r="Q1705" t="s">
        <v>113</v>
      </c>
      <c r="R1705" t="s">
        <v>101</v>
      </c>
      <c r="S1705" t="s">
        <v>150</v>
      </c>
    </row>
    <row r="1706" spans="16:19" x14ac:dyDescent="0.25">
      <c r="P1706">
        <v>3178</v>
      </c>
      <c r="Q1706" t="s">
        <v>113</v>
      </c>
      <c r="R1706" t="s">
        <v>101</v>
      </c>
      <c r="S1706" t="s">
        <v>150</v>
      </c>
    </row>
    <row r="1707" spans="16:19" x14ac:dyDescent="0.25">
      <c r="P1707">
        <v>1777</v>
      </c>
      <c r="Q1707" t="s">
        <v>113</v>
      </c>
      <c r="R1707" t="s">
        <v>101</v>
      </c>
      <c r="S1707" t="s">
        <v>150</v>
      </c>
    </row>
    <row r="1708" spans="16:19" x14ac:dyDescent="0.25">
      <c r="P1708">
        <v>7150</v>
      </c>
      <c r="Q1708" t="s">
        <v>113</v>
      </c>
      <c r="R1708" t="s">
        <v>101</v>
      </c>
      <c r="S1708" t="s">
        <v>150</v>
      </c>
    </row>
    <row r="1709" spans="16:19" x14ac:dyDescent="0.25">
      <c r="P1709">
        <v>13337</v>
      </c>
      <c r="Q1709" t="s">
        <v>113</v>
      </c>
      <c r="R1709" t="s">
        <v>101</v>
      </c>
      <c r="S1709" t="s">
        <v>150</v>
      </c>
    </row>
    <row r="1710" spans="16:19" x14ac:dyDescent="0.25">
      <c r="P1710">
        <v>5990</v>
      </c>
      <c r="Q1710" t="s">
        <v>113</v>
      </c>
      <c r="R1710" t="s">
        <v>101</v>
      </c>
      <c r="S1710" t="s">
        <v>150</v>
      </c>
    </row>
    <row r="1711" spans="16:19" x14ac:dyDescent="0.25">
      <c r="P1711">
        <v>3244</v>
      </c>
      <c r="Q1711" t="s">
        <v>113</v>
      </c>
      <c r="R1711" t="s">
        <v>101</v>
      </c>
      <c r="S1711" t="s">
        <v>150</v>
      </c>
    </row>
    <row r="1712" spans="16:19" x14ac:dyDescent="0.25">
      <c r="P1712">
        <v>4564</v>
      </c>
      <c r="Q1712" t="s">
        <v>113</v>
      </c>
      <c r="R1712" t="s">
        <v>101</v>
      </c>
      <c r="S1712" t="s">
        <v>150</v>
      </c>
    </row>
    <row r="1713" spans="16:19" x14ac:dyDescent="0.25">
      <c r="P1713">
        <v>3454</v>
      </c>
      <c r="Q1713" t="s">
        <v>113</v>
      </c>
      <c r="R1713" t="s">
        <v>101</v>
      </c>
      <c r="S1713" t="s">
        <v>150</v>
      </c>
    </row>
    <row r="1714" spans="16:19" x14ac:dyDescent="0.25">
      <c r="P1714">
        <v>3142</v>
      </c>
      <c r="Q1714" t="s">
        <v>113</v>
      </c>
      <c r="R1714" t="s">
        <v>101</v>
      </c>
      <c r="S1714" t="s">
        <v>150</v>
      </c>
    </row>
    <row r="1715" spans="16:19" x14ac:dyDescent="0.25">
      <c r="P1715">
        <v>2549</v>
      </c>
      <c r="Q1715" t="s">
        <v>113</v>
      </c>
      <c r="R1715" t="s">
        <v>101</v>
      </c>
      <c r="S1715" t="s">
        <v>150</v>
      </c>
    </row>
    <row r="1716" spans="16:19" x14ac:dyDescent="0.25">
      <c r="P1716">
        <v>4944</v>
      </c>
      <c r="Q1716" t="s">
        <v>113</v>
      </c>
      <c r="R1716" t="s">
        <v>101</v>
      </c>
      <c r="S1716" t="s">
        <v>150</v>
      </c>
    </row>
    <row r="1717" spans="16:19" x14ac:dyDescent="0.25">
      <c r="P1717">
        <v>2357</v>
      </c>
      <c r="Q1717" t="s">
        <v>113</v>
      </c>
      <c r="R1717" t="s">
        <v>101</v>
      </c>
      <c r="S1717" t="s">
        <v>150</v>
      </c>
    </row>
    <row r="1718" spans="16:19" x14ac:dyDescent="0.25">
      <c r="P1718">
        <v>2909</v>
      </c>
      <c r="Q1718" t="s">
        <v>113</v>
      </c>
      <c r="R1718" t="s">
        <v>101</v>
      </c>
      <c r="S1718" t="s">
        <v>150</v>
      </c>
    </row>
    <row r="1719" spans="16:19" x14ac:dyDescent="0.25">
      <c r="P1719">
        <v>3832</v>
      </c>
      <c r="Q1719" t="s">
        <v>113</v>
      </c>
      <c r="R1719" t="s">
        <v>101</v>
      </c>
      <c r="S1719" t="s">
        <v>150</v>
      </c>
    </row>
    <row r="1720" spans="16:19" x14ac:dyDescent="0.25">
      <c r="P1720">
        <v>3492</v>
      </c>
      <c r="Q1720" t="s">
        <v>113</v>
      </c>
      <c r="R1720" t="s">
        <v>101</v>
      </c>
      <c r="S1720" t="s">
        <v>150</v>
      </c>
    </row>
    <row r="1721" spans="16:19" x14ac:dyDescent="0.25">
      <c r="P1721">
        <v>130585</v>
      </c>
      <c r="Q1721" t="s">
        <v>3</v>
      </c>
      <c r="R1721" t="s">
        <v>114</v>
      </c>
      <c r="S1721" t="s">
        <v>147</v>
      </c>
    </row>
    <row r="1722" spans="16:19" x14ac:dyDescent="0.25">
      <c r="P1722">
        <v>3158</v>
      </c>
      <c r="Q1722" t="s">
        <v>1</v>
      </c>
      <c r="R1722" t="s">
        <v>114</v>
      </c>
      <c r="S1722" t="s">
        <v>147</v>
      </c>
    </row>
    <row r="1723" spans="16:19" x14ac:dyDescent="0.25">
      <c r="P1723">
        <v>4825</v>
      </c>
      <c r="Q1723" t="s">
        <v>1</v>
      </c>
      <c r="R1723" t="s">
        <v>114</v>
      </c>
      <c r="S1723" t="s">
        <v>147</v>
      </c>
    </row>
    <row r="1724" spans="16:19" x14ac:dyDescent="0.25">
      <c r="P1724">
        <v>10919</v>
      </c>
      <c r="Q1724" t="s">
        <v>1</v>
      </c>
      <c r="R1724" t="s">
        <v>114</v>
      </c>
      <c r="S1724" t="s">
        <v>147</v>
      </c>
    </row>
    <row r="1725" spans="16:19" x14ac:dyDescent="0.25">
      <c r="P1725">
        <v>821</v>
      </c>
      <c r="Q1725" t="s">
        <v>1</v>
      </c>
      <c r="R1725" t="s">
        <v>114</v>
      </c>
      <c r="S1725" t="s">
        <v>147</v>
      </c>
    </row>
    <row r="1726" spans="16:19" x14ac:dyDescent="0.25">
      <c r="P1726">
        <v>919</v>
      </c>
      <c r="Q1726" t="s">
        <v>1</v>
      </c>
      <c r="R1726" t="s">
        <v>114</v>
      </c>
      <c r="S1726" t="s">
        <v>147</v>
      </c>
    </row>
    <row r="1727" spans="16:19" x14ac:dyDescent="0.25">
      <c r="P1727">
        <v>630</v>
      </c>
      <c r="Q1727" t="s">
        <v>1</v>
      </c>
      <c r="R1727" t="s">
        <v>114</v>
      </c>
      <c r="S1727" t="s">
        <v>147</v>
      </c>
    </row>
    <row r="1728" spans="16:19" x14ac:dyDescent="0.25">
      <c r="P1728">
        <v>702</v>
      </c>
      <c r="Q1728" t="s">
        <v>1</v>
      </c>
      <c r="R1728" t="s">
        <v>114</v>
      </c>
      <c r="S1728" t="s">
        <v>147</v>
      </c>
    </row>
    <row r="1729" spans="16:19" x14ac:dyDescent="0.25">
      <c r="P1729">
        <v>4811</v>
      </c>
      <c r="Q1729" t="s">
        <v>1</v>
      </c>
      <c r="R1729" t="s">
        <v>114</v>
      </c>
      <c r="S1729" t="s">
        <v>147</v>
      </c>
    </row>
    <row r="1730" spans="16:19" x14ac:dyDescent="0.25">
      <c r="P1730">
        <v>3941</v>
      </c>
      <c r="Q1730" t="s">
        <v>1</v>
      </c>
      <c r="R1730" t="s">
        <v>114</v>
      </c>
      <c r="S1730" t="s">
        <v>147</v>
      </c>
    </row>
    <row r="1731" spans="16:19" x14ac:dyDescent="0.25">
      <c r="P1731">
        <v>625</v>
      </c>
      <c r="Q1731" t="s">
        <v>1</v>
      </c>
      <c r="R1731" t="s">
        <v>114</v>
      </c>
      <c r="S1731" t="s">
        <v>147</v>
      </c>
    </row>
    <row r="1732" spans="16:19" x14ac:dyDescent="0.25">
      <c r="P1732">
        <v>1342</v>
      </c>
      <c r="Q1732" t="s">
        <v>1</v>
      </c>
      <c r="R1732" t="s">
        <v>114</v>
      </c>
      <c r="S1732" t="s">
        <v>147</v>
      </c>
    </row>
    <row r="1733" spans="16:19" x14ac:dyDescent="0.25">
      <c r="P1733">
        <v>2198</v>
      </c>
      <c r="Q1733" t="s">
        <v>1</v>
      </c>
      <c r="R1733" t="s">
        <v>114</v>
      </c>
      <c r="S1733" t="s">
        <v>147</v>
      </c>
    </row>
    <row r="1734" spans="16:19" x14ac:dyDescent="0.25">
      <c r="P1734">
        <v>1400</v>
      </c>
      <c r="Q1734" t="s">
        <v>1</v>
      </c>
      <c r="R1734" t="s">
        <v>114</v>
      </c>
      <c r="S1734" t="s">
        <v>147</v>
      </c>
    </row>
    <row r="1735" spans="16:19" x14ac:dyDescent="0.25">
      <c r="P1735">
        <v>2346</v>
      </c>
      <c r="Q1735" t="s">
        <v>1</v>
      </c>
      <c r="R1735" t="s">
        <v>114</v>
      </c>
      <c r="S1735" t="s">
        <v>147</v>
      </c>
    </row>
    <row r="1736" spans="16:19" x14ac:dyDescent="0.25">
      <c r="P1736">
        <v>2489</v>
      </c>
      <c r="Q1736" t="s">
        <v>1</v>
      </c>
      <c r="R1736" t="s">
        <v>114</v>
      </c>
      <c r="S1736" t="s">
        <v>147</v>
      </c>
    </row>
    <row r="1737" spans="16:19" x14ac:dyDescent="0.25">
      <c r="P1737">
        <v>1890</v>
      </c>
      <c r="Q1737" t="s">
        <v>1</v>
      </c>
      <c r="R1737" t="s">
        <v>114</v>
      </c>
      <c r="S1737" t="s">
        <v>147</v>
      </c>
    </row>
    <row r="1738" spans="16:19" x14ac:dyDescent="0.25">
      <c r="P1738">
        <v>1422</v>
      </c>
      <c r="Q1738" t="s">
        <v>1</v>
      </c>
      <c r="R1738" t="s">
        <v>114</v>
      </c>
      <c r="S1738" t="s">
        <v>147</v>
      </c>
    </row>
    <row r="1739" spans="16:19" x14ac:dyDescent="0.25">
      <c r="P1739">
        <v>1632</v>
      </c>
      <c r="Q1739" t="s">
        <v>1</v>
      </c>
      <c r="R1739" t="s">
        <v>114</v>
      </c>
      <c r="S1739" t="s">
        <v>147</v>
      </c>
    </row>
    <row r="1740" spans="16:19" x14ac:dyDescent="0.25">
      <c r="P1740">
        <v>2580</v>
      </c>
      <c r="Q1740" t="s">
        <v>1</v>
      </c>
      <c r="R1740" t="s">
        <v>114</v>
      </c>
      <c r="S1740" t="s">
        <v>147</v>
      </c>
    </row>
    <row r="1741" spans="16:19" x14ac:dyDescent="0.25">
      <c r="P1741">
        <v>3030</v>
      </c>
      <c r="Q1741" t="s">
        <v>1</v>
      </c>
      <c r="R1741" t="s">
        <v>114</v>
      </c>
      <c r="S1741" t="s">
        <v>147</v>
      </c>
    </row>
    <row r="1742" spans="16:19" x14ac:dyDescent="0.25">
      <c r="P1742">
        <v>1548</v>
      </c>
      <c r="Q1742" t="s">
        <v>1</v>
      </c>
      <c r="R1742" t="s">
        <v>114</v>
      </c>
      <c r="S1742" t="s">
        <v>147</v>
      </c>
    </row>
    <row r="1743" spans="16:19" x14ac:dyDescent="0.25">
      <c r="P1743">
        <v>2785</v>
      </c>
      <c r="Q1743" t="s">
        <v>1</v>
      </c>
      <c r="R1743" t="s">
        <v>114</v>
      </c>
      <c r="S1743" t="s">
        <v>147</v>
      </c>
    </row>
    <row r="1744" spans="16:19" x14ac:dyDescent="0.25">
      <c r="P1744">
        <v>3403</v>
      </c>
      <c r="Q1744" t="s">
        <v>1</v>
      </c>
      <c r="R1744" t="s">
        <v>114</v>
      </c>
      <c r="S1744" t="s">
        <v>147</v>
      </c>
    </row>
    <row r="1745" spans="16:19" x14ac:dyDescent="0.25">
      <c r="P1745">
        <v>2123</v>
      </c>
      <c r="Q1745" t="s">
        <v>1</v>
      </c>
      <c r="R1745" t="s">
        <v>114</v>
      </c>
      <c r="S1745" t="s">
        <v>147</v>
      </c>
    </row>
    <row r="1746" spans="16:19" x14ac:dyDescent="0.25">
      <c r="P1746">
        <v>7330</v>
      </c>
      <c r="Q1746" t="s">
        <v>2</v>
      </c>
      <c r="R1746" t="s">
        <v>114</v>
      </c>
      <c r="S1746" t="s">
        <v>147</v>
      </c>
    </row>
    <row r="1747" spans="16:19" x14ac:dyDescent="0.25">
      <c r="P1747">
        <v>2814</v>
      </c>
      <c r="Q1747" t="s">
        <v>2</v>
      </c>
      <c r="R1747" t="s">
        <v>114</v>
      </c>
      <c r="S1747" t="s">
        <v>147</v>
      </c>
    </row>
    <row r="1748" spans="16:19" x14ac:dyDescent="0.25">
      <c r="P1748">
        <v>1828</v>
      </c>
      <c r="Q1748" t="s">
        <v>2</v>
      </c>
      <c r="R1748" t="s">
        <v>114</v>
      </c>
      <c r="S1748" t="s">
        <v>147</v>
      </c>
    </row>
    <row r="1749" spans="16:19" x14ac:dyDescent="0.25">
      <c r="P1749">
        <v>6193</v>
      </c>
      <c r="Q1749" t="s">
        <v>2</v>
      </c>
      <c r="R1749" t="s">
        <v>114</v>
      </c>
      <c r="S1749" t="s">
        <v>147</v>
      </c>
    </row>
    <row r="1750" spans="16:19" x14ac:dyDescent="0.25">
      <c r="P1750">
        <v>1304</v>
      </c>
      <c r="Q1750" t="s">
        <v>2</v>
      </c>
      <c r="R1750" t="s">
        <v>114</v>
      </c>
      <c r="S1750" t="s">
        <v>147</v>
      </c>
    </row>
    <row r="1751" spans="16:19" x14ac:dyDescent="0.25">
      <c r="P1751">
        <v>1486</v>
      </c>
      <c r="Q1751" t="s">
        <v>2</v>
      </c>
      <c r="R1751" t="s">
        <v>114</v>
      </c>
      <c r="S1751" t="s">
        <v>147</v>
      </c>
    </row>
    <row r="1752" spans="16:19" x14ac:dyDescent="0.25">
      <c r="P1752">
        <v>1143</v>
      </c>
      <c r="Q1752" t="s">
        <v>2</v>
      </c>
      <c r="R1752" t="s">
        <v>114</v>
      </c>
      <c r="S1752" t="s">
        <v>147</v>
      </c>
    </row>
    <row r="1753" spans="16:19" x14ac:dyDescent="0.25">
      <c r="P1753">
        <v>1319</v>
      </c>
      <c r="Q1753" t="s">
        <v>2</v>
      </c>
      <c r="R1753" t="s">
        <v>114</v>
      </c>
      <c r="S1753" t="s">
        <v>147</v>
      </c>
    </row>
    <row r="1754" spans="16:19" x14ac:dyDescent="0.25">
      <c r="P1754">
        <v>2173</v>
      </c>
      <c r="Q1754" t="s">
        <v>2</v>
      </c>
      <c r="R1754" t="s">
        <v>114</v>
      </c>
      <c r="S1754" t="s">
        <v>147</v>
      </c>
    </row>
    <row r="1755" spans="16:19" x14ac:dyDescent="0.25">
      <c r="P1755">
        <v>4474</v>
      </c>
      <c r="Q1755" t="s">
        <v>2</v>
      </c>
      <c r="R1755" t="s">
        <v>114</v>
      </c>
      <c r="S1755" t="s">
        <v>147</v>
      </c>
    </row>
    <row r="1756" spans="16:19" x14ac:dyDescent="0.25">
      <c r="P1756">
        <v>842</v>
      </c>
      <c r="Q1756" t="s">
        <v>2</v>
      </c>
      <c r="R1756" t="s">
        <v>114</v>
      </c>
      <c r="S1756" t="s">
        <v>147</v>
      </c>
    </row>
    <row r="1757" spans="16:19" x14ac:dyDescent="0.25">
      <c r="P1757">
        <v>4119</v>
      </c>
      <c r="Q1757" t="s">
        <v>2</v>
      </c>
      <c r="R1757" t="s">
        <v>114</v>
      </c>
      <c r="S1757" t="s">
        <v>147</v>
      </c>
    </row>
    <row r="1758" spans="16:19" x14ac:dyDescent="0.25">
      <c r="P1758">
        <v>1329</v>
      </c>
      <c r="Q1758" t="s">
        <v>2</v>
      </c>
      <c r="R1758" t="s">
        <v>114</v>
      </c>
      <c r="S1758" t="s">
        <v>147</v>
      </c>
    </row>
    <row r="1759" spans="16:19" x14ac:dyDescent="0.25">
      <c r="P1759">
        <v>616</v>
      </c>
      <c r="Q1759" t="s">
        <v>2</v>
      </c>
      <c r="R1759" t="s">
        <v>114</v>
      </c>
      <c r="S1759" t="s">
        <v>147</v>
      </c>
    </row>
    <row r="1760" spans="16:19" x14ac:dyDescent="0.25">
      <c r="P1760">
        <v>1458</v>
      </c>
      <c r="Q1760" t="s">
        <v>2</v>
      </c>
      <c r="R1760" t="s">
        <v>114</v>
      </c>
      <c r="S1760" t="s">
        <v>147</v>
      </c>
    </row>
    <row r="1761" spans="16:19" x14ac:dyDescent="0.25">
      <c r="P1761">
        <v>447</v>
      </c>
      <c r="Q1761" t="s">
        <v>2</v>
      </c>
      <c r="R1761" t="s">
        <v>114</v>
      </c>
      <c r="S1761" t="s">
        <v>147</v>
      </c>
    </row>
    <row r="1762" spans="16:19" x14ac:dyDescent="0.25">
      <c r="P1762">
        <v>1503</v>
      </c>
      <c r="Q1762" t="s">
        <v>2</v>
      </c>
      <c r="R1762" t="s">
        <v>114</v>
      </c>
      <c r="S1762" t="s">
        <v>147</v>
      </c>
    </row>
    <row r="1763" spans="16:19" x14ac:dyDescent="0.25">
      <c r="P1763">
        <v>3994</v>
      </c>
      <c r="Q1763" t="s">
        <v>2</v>
      </c>
      <c r="R1763" t="s">
        <v>114</v>
      </c>
      <c r="S1763" t="s">
        <v>147</v>
      </c>
    </row>
    <row r="1764" spans="16:19" x14ac:dyDescent="0.25">
      <c r="P1764">
        <v>3001</v>
      </c>
      <c r="Q1764" t="s">
        <v>2</v>
      </c>
      <c r="R1764" t="s">
        <v>114</v>
      </c>
      <c r="S1764" t="s">
        <v>147</v>
      </c>
    </row>
    <row r="1765" spans="16:19" x14ac:dyDescent="0.25">
      <c r="P1765">
        <v>1664</v>
      </c>
      <c r="Q1765" t="s">
        <v>2</v>
      </c>
      <c r="R1765" t="s">
        <v>114</v>
      </c>
      <c r="S1765" t="s">
        <v>147</v>
      </c>
    </row>
    <row r="1766" spans="16:19" x14ac:dyDescent="0.25">
      <c r="P1766">
        <v>833</v>
      </c>
      <c r="Q1766" t="s">
        <v>2</v>
      </c>
      <c r="R1766" t="s">
        <v>114</v>
      </c>
      <c r="S1766" t="s">
        <v>147</v>
      </c>
    </row>
    <row r="1767" spans="16:19" x14ac:dyDescent="0.25">
      <c r="P1767">
        <v>1129</v>
      </c>
      <c r="Q1767" t="s">
        <v>2</v>
      </c>
      <c r="R1767" t="s">
        <v>114</v>
      </c>
      <c r="S1767" t="s">
        <v>147</v>
      </c>
    </row>
    <row r="1768" spans="16:19" x14ac:dyDescent="0.25">
      <c r="P1768">
        <v>2472</v>
      </c>
      <c r="Q1768" t="s">
        <v>2</v>
      </c>
      <c r="R1768" t="s">
        <v>114</v>
      </c>
      <c r="S1768" t="s">
        <v>147</v>
      </c>
    </row>
    <row r="1769" spans="16:19" x14ac:dyDescent="0.25">
      <c r="P1769">
        <v>1976</v>
      </c>
      <c r="Q1769" t="s">
        <v>2</v>
      </c>
      <c r="R1769" t="s">
        <v>114</v>
      </c>
      <c r="S1769" t="s">
        <v>147</v>
      </c>
    </row>
    <row r="1770" spans="16:19" x14ac:dyDescent="0.25">
      <c r="P1770">
        <v>4625</v>
      </c>
      <c r="Q1770" t="s">
        <v>2</v>
      </c>
      <c r="R1770" t="s">
        <v>114</v>
      </c>
      <c r="S1770" t="s">
        <v>147</v>
      </c>
    </row>
    <row r="1771" spans="16:19" x14ac:dyDescent="0.25">
      <c r="P1771">
        <v>2248</v>
      </c>
      <c r="Q1771" t="s">
        <v>2</v>
      </c>
      <c r="R1771" t="s">
        <v>114</v>
      </c>
      <c r="S1771" t="s">
        <v>147</v>
      </c>
    </row>
    <row r="1772" spans="16:19" x14ac:dyDescent="0.25">
      <c r="P1772">
        <v>2112</v>
      </c>
      <c r="Q1772" t="s">
        <v>2</v>
      </c>
      <c r="R1772" t="s">
        <v>114</v>
      </c>
      <c r="S1772" t="s">
        <v>147</v>
      </c>
    </row>
    <row r="1773" spans="16:19" x14ac:dyDescent="0.25">
      <c r="P1773">
        <v>2061</v>
      </c>
      <c r="Q1773" t="s">
        <v>2</v>
      </c>
      <c r="R1773" t="s">
        <v>114</v>
      </c>
      <c r="S1773" t="s">
        <v>147</v>
      </c>
    </row>
    <row r="1774" spans="16:19" x14ac:dyDescent="0.25">
      <c r="P1774">
        <v>4882</v>
      </c>
      <c r="Q1774" t="s">
        <v>2</v>
      </c>
      <c r="R1774" t="s">
        <v>114</v>
      </c>
      <c r="S1774" t="s">
        <v>147</v>
      </c>
    </row>
    <row r="1775" spans="16:19" x14ac:dyDescent="0.25">
      <c r="P1775">
        <v>1884</v>
      </c>
      <c r="Q1775" t="s">
        <v>2</v>
      </c>
      <c r="R1775" t="s">
        <v>114</v>
      </c>
      <c r="S1775" t="s">
        <v>147</v>
      </c>
    </row>
    <row r="1776" spans="16:19" x14ac:dyDescent="0.25">
      <c r="P1776">
        <v>391</v>
      </c>
      <c r="Q1776" t="s">
        <v>2</v>
      </c>
      <c r="R1776" t="s">
        <v>114</v>
      </c>
      <c r="S1776" t="s">
        <v>147</v>
      </c>
    </row>
    <row r="1777" spans="16:19" x14ac:dyDescent="0.25">
      <c r="P1777">
        <v>3096</v>
      </c>
      <c r="Q1777" t="s">
        <v>2</v>
      </c>
      <c r="R1777" t="s">
        <v>114</v>
      </c>
      <c r="S1777" t="s">
        <v>147</v>
      </c>
    </row>
    <row r="1778" spans="16:19" x14ac:dyDescent="0.25">
      <c r="P1778">
        <v>1115</v>
      </c>
      <c r="Q1778" t="s">
        <v>2</v>
      </c>
      <c r="R1778" t="s">
        <v>114</v>
      </c>
      <c r="S1778" t="s">
        <v>147</v>
      </c>
    </row>
    <row r="1779" spans="16:19" x14ac:dyDescent="0.25">
      <c r="P1779">
        <v>1082</v>
      </c>
      <c r="Q1779" t="s">
        <v>2</v>
      </c>
      <c r="R1779" t="s">
        <v>114</v>
      </c>
      <c r="S1779" t="s">
        <v>147</v>
      </c>
    </row>
    <row r="1780" spans="16:19" x14ac:dyDescent="0.25">
      <c r="P1780">
        <v>1239</v>
      </c>
      <c r="Q1780" t="s">
        <v>2</v>
      </c>
      <c r="R1780" t="s">
        <v>114</v>
      </c>
      <c r="S1780" t="s">
        <v>147</v>
      </c>
    </row>
    <row r="1781" spans="16:19" x14ac:dyDescent="0.25">
      <c r="P1781">
        <v>1300</v>
      </c>
      <c r="Q1781" t="s">
        <v>2</v>
      </c>
      <c r="R1781" t="s">
        <v>114</v>
      </c>
      <c r="S1781" t="s">
        <v>147</v>
      </c>
    </row>
    <row r="1782" spans="16:19" x14ac:dyDescent="0.25">
      <c r="P1782">
        <v>1115</v>
      </c>
      <c r="Q1782" t="s">
        <v>2</v>
      </c>
      <c r="R1782" t="s">
        <v>114</v>
      </c>
      <c r="S1782" t="s">
        <v>147</v>
      </c>
    </row>
    <row r="1783" spans="16:19" x14ac:dyDescent="0.25">
      <c r="P1783">
        <v>1454</v>
      </c>
      <c r="Q1783" t="s">
        <v>2</v>
      </c>
      <c r="R1783" t="s">
        <v>114</v>
      </c>
      <c r="S1783" t="s">
        <v>147</v>
      </c>
    </row>
    <row r="1784" spans="16:19" x14ac:dyDescent="0.25">
      <c r="P1784">
        <v>1940</v>
      </c>
      <c r="Q1784" t="s">
        <v>2</v>
      </c>
      <c r="R1784" t="s">
        <v>114</v>
      </c>
      <c r="S1784" t="s">
        <v>147</v>
      </c>
    </row>
    <row r="1785" spans="16:19" x14ac:dyDescent="0.25">
      <c r="P1785">
        <v>9337</v>
      </c>
      <c r="Q1785" t="s">
        <v>2</v>
      </c>
      <c r="R1785" t="s">
        <v>114</v>
      </c>
      <c r="S1785" t="s">
        <v>147</v>
      </c>
    </row>
    <row r="1786" spans="16:19" x14ac:dyDescent="0.25">
      <c r="P1786">
        <v>186</v>
      </c>
      <c r="Q1786" t="s">
        <v>2</v>
      </c>
      <c r="R1786" t="s">
        <v>114</v>
      </c>
      <c r="S1786" t="s">
        <v>147</v>
      </c>
    </row>
    <row r="1787" spans="16:19" x14ac:dyDescent="0.25">
      <c r="P1787">
        <v>1389</v>
      </c>
      <c r="Q1787" t="s">
        <v>2</v>
      </c>
      <c r="R1787" t="s">
        <v>114</v>
      </c>
      <c r="S1787" t="s">
        <v>147</v>
      </c>
    </row>
    <row r="1788" spans="16:19" x14ac:dyDescent="0.25">
      <c r="P1788">
        <v>887</v>
      </c>
      <c r="Q1788" t="s">
        <v>2</v>
      </c>
      <c r="R1788" t="s">
        <v>114</v>
      </c>
      <c r="S1788" t="s">
        <v>147</v>
      </c>
    </row>
    <row r="1789" spans="16:19" x14ac:dyDescent="0.25">
      <c r="P1789">
        <v>1092</v>
      </c>
      <c r="Q1789" t="s">
        <v>2</v>
      </c>
      <c r="R1789" t="s">
        <v>114</v>
      </c>
      <c r="S1789" t="s">
        <v>147</v>
      </c>
    </row>
    <row r="1790" spans="16:19" x14ac:dyDescent="0.25">
      <c r="P1790">
        <v>3516</v>
      </c>
      <c r="Q1790" t="s">
        <v>2</v>
      </c>
      <c r="R1790" t="s">
        <v>114</v>
      </c>
      <c r="S1790" t="s">
        <v>147</v>
      </c>
    </row>
    <row r="1791" spans="16:19" x14ac:dyDescent="0.25">
      <c r="P1791">
        <v>1350</v>
      </c>
      <c r="Q1791" t="s">
        <v>2</v>
      </c>
      <c r="R1791" t="s">
        <v>114</v>
      </c>
      <c r="S1791" t="s">
        <v>147</v>
      </c>
    </row>
    <row r="1792" spans="16:19" x14ac:dyDescent="0.25">
      <c r="P1792">
        <v>2277</v>
      </c>
      <c r="Q1792" t="s">
        <v>2</v>
      </c>
      <c r="R1792" t="s">
        <v>114</v>
      </c>
      <c r="S1792" t="s">
        <v>147</v>
      </c>
    </row>
    <row r="1793" spans="16:19" x14ac:dyDescent="0.25">
      <c r="P1793">
        <v>14322</v>
      </c>
      <c r="Q1793" t="s">
        <v>2</v>
      </c>
      <c r="R1793" t="s">
        <v>114</v>
      </c>
      <c r="S1793" t="s">
        <v>147</v>
      </c>
    </row>
    <row r="1794" spans="16:19" x14ac:dyDescent="0.25">
      <c r="P1794">
        <v>3685</v>
      </c>
      <c r="Q1794" t="s">
        <v>2</v>
      </c>
      <c r="R1794" t="s">
        <v>114</v>
      </c>
      <c r="S1794" t="s">
        <v>147</v>
      </c>
    </row>
    <row r="1795" spans="16:19" x14ac:dyDescent="0.25">
      <c r="P1795">
        <v>1616</v>
      </c>
      <c r="Q1795" t="s">
        <v>2</v>
      </c>
      <c r="R1795" t="s">
        <v>114</v>
      </c>
      <c r="S1795" t="s">
        <v>147</v>
      </c>
    </row>
    <row r="1796" spans="16:19" x14ac:dyDescent="0.25">
      <c r="P1796">
        <v>16133</v>
      </c>
      <c r="Q1796" t="s">
        <v>2</v>
      </c>
      <c r="R1796" t="s">
        <v>114</v>
      </c>
      <c r="S1796" t="s">
        <v>147</v>
      </c>
    </row>
    <row r="1797" spans="16:19" x14ac:dyDescent="0.25">
      <c r="P1797">
        <v>4178</v>
      </c>
      <c r="Q1797" t="s">
        <v>2</v>
      </c>
      <c r="R1797" t="s">
        <v>114</v>
      </c>
      <c r="S1797" t="s">
        <v>147</v>
      </c>
    </row>
    <row r="1798" spans="16:19" x14ac:dyDescent="0.25">
      <c r="P1798">
        <v>1336</v>
      </c>
      <c r="Q1798" t="s">
        <v>2</v>
      </c>
      <c r="R1798" t="s">
        <v>114</v>
      </c>
      <c r="S1798" t="s">
        <v>147</v>
      </c>
    </row>
    <row r="1799" spans="16:19" x14ac:dyDescent="0.25">
      <c r="P1799">
        <v>1689</v>
      </c>
      <c r="Q1799" t="s">
        <v>2</v>
      </c>
      <c r="R1799" t="s">
        <v>114</v>
      </c>
      <c r="S1799" t="s">
        <v>147</v>
      </c>
    </row>
    <row r="1800" spans="16:19" x14ac:dyDescent="0.25">
      <c r="P1800">
        <v>241</v>
      </c>
      <c r="Q1800" t="s">
        <v>2</v>
      </c>
      <c r="R1800" t="s">
        <v>114</v>
      </c>
      <c r="S1800" t="s">
        <v>147</v>
      </c>
    </row>
    <row r="1801" spans="16:19" x14ac:dyDescent="0.25">
      <c r="P1801">
        <v>525</v>
      </c>
      <c r="Q1801" t="s">
        <v>2</v>
      </c>
      <c r="R1801" t="s">
        <v>114</v>
      </c>
      <c r="S1801" t="s">
        <v>147</v>
      </c>
    </row>
    <row r="1802" spans="16:19" x14ac:dyDescent="0.25">
      <c r="P1802">
        <v>7038</v>
      </c>
      <c r="Q1802" t="s">
        <v>2</v>
      </c>
      <c r="R1802" t="s">
        <v>114</v>
      </c>
      <c r="S1802" t="s">
        <v>147</v>
      </c>
    </row>
    <row r="1803" spans="16:19" x14ac:dyDescent="0.25">
      <c r="P1803">
        <v>4547</v>
      </c>
      <c r="Q1803" t="s">
        <v>2</v>
      </c>
      <c r="R1803" t="s">
        <v>114</v>
      </c>
      <c r="S1803" t="s">
        <v>147</v>
      </c>
    </row>
    <row r="1804" spans="16:19" x14ac:dyDescent="0.25">
      <c r="P1804">
        <v>774</v>
      </c>
      <c r="Q1804" t="s">
        <v>2</v>
      </c>
      <c r="R1804" t="s">
        <v>114</v>
      </c>
      <c r="S1804" t="s">
        <v>147</v>
      </c>
    </row>
    <row r="1805" spans="16:19" x14ac:dyDescent="0.25">
      <c r="P1805">
        <v>8103</v>
      </c>
      <c r="Q1805" t="s">
        <v>2</v>
      </c>
      <c r="R1805" t="s">
        <v>114</v>
      </c>
      <c r="S1805" t="s">
        <v>147</v>
      </c>
    </row>
    <row r="1806" spans="16:19" x14ac:dyDescent="0.25">
      <c r="P1806">
        <v>988</v>
      </c>
      <c r="Q1806" t="s">
        <v>2</v>
      </c>
      <c r="R1806" t="s">
        <v>114</v>
      </c>
      <c r="S1806" t="s">
        <v>147</v>
      </c>
    </row>
    <row r="1807" spans="16:19" x14ac:dyDescent="0.25">
      <c r="P1807">
        <v>8142</v>
      </c>
      <c r="Q1807" t="s">
        <v>2</v>
      </c>
      <c r="R1807" t="s">
        <v>114</v>
      </c>
      <c r="S1807" t="s">
        <v>147</v>
      </c>
    </row>
    <row r="1808" spans="16:19" x14ac:dyDescent="0.25">
      <c r="P1808">
        <v>3576</v>
      </c>
      <c r="Q1808" t="s">
        <v>2</v>
      </c>
      <c r="R1808" t="s">
        <v>114</v>
      </c>
      <c r="S1808" t="s">
        <v>147</v>
      </c>
    </row>
    <row r="1809" spans="16:19" x14ac:dyDescent="0.25">
      <c r="P1809">
        <v>1140</v>
      </c>
      <c r="Q1809" t="s">
        <v>9</v>
      </c>
      <c r="R1809" t="s">
        <v>114</v>
      </c>
      <c r="S1809" t="s">
        <v>147</v>
      </c>
    </row>
    <row r="1810" spans="16:19" x14ac:dyDescent="0.25">
      <c r="P1810">
        <v>2638</v>
      </c>
      <c r="Q1810" t="s">
        <v>9</v>
      </c>
      <c r="R1810" t="s">
        <v>114</v>
      </c>
      <c r="S1810" t="s">
        <v>147</v>
      </c>
    </row>
    <row r="1811" spans="16:19" x14ac:dyDescent="0.25">
      <c r="P1811">
        <v>4525</v>
      </c>
      <c r="Q1811" t="s">
        <v>9</v>
      </c>
      <c r="R1811" t="s">
        <v>114</v>
      </c>
      <c r="S1811" t="s">
        <v>147</v>
      </c>
    </row>
    <row r="1812" spans="16:19" x14ac:dyDescent="0.25">
      <c r="P1812">
        <v>1950</v>
      </c>
      <c r="Q1812" t="s">
        <v>9</v>
      </c>
      <c r="R1812" t="s">
        <v>114</v>
      </c>
      <c r="S1812" t="s">
        <v>147</v>
      </c>
    </row>
    <row r="1813" spans="16:19" x14ac:dyDescent="0.25">
      <c r="P1813">
        <v>1276</v>
      </c>
      <c r="Q1813" t="s">
        <v>9</v>
      </c>
      <c r="R1813" t="s">
        <v>114</v>
      </c>
      <c r="S1813" t="s">
        <v>147</v>
      </c>
    </row>
    <row r="1814" spans="16:19" x14ac:dyDescent="0.25">
      <c r="P1814">
        <v>5674</v>
      </c>
      <c r="Q1814" t="s">
        <v>9</v>
      </c>
      <c r="R1814" t="s">
        <v>114</v>
      </c>
      <c r="S1814" t="s">
        <v>147</v>
      </c>
    </row>
    <row r="1815" spans="16:19" x14ac:dyDescent="0.25">
      <c r="P1815">
        <v>1194</v>
      </c>
      <c r="Q1815" t="s">
        <v>9</v>
      </c>
      <c r="R1815" t="s">
        <v>114</v>
      </c>
      <c r="S1815" t="s">
        <v>147</v>
      </c>
    </row>
    <row r="1816" spans="16:19" x14ac:dyDescent="0.25">
      <c r="P1816">
        <v>1533</v>
      </c>
      <c r="Q1816" t="s">
        <v>9</v>
      </c>
      <c r="R1816" t="s">
        <v>114</v>
      </c>
      <c r="S1816" t="s">
        <v>147</v>
      </c>
    </row>
    <row r="1817" spans="16:19" x14ac:dyDescent="0.25">
      <c r="P1817">
        <v>5361</v>
      </c>
      <c r="Q1817" t="s">
        <v>9</v>
      </c>
      <c r="R1817" t="s">
        <v>114</v>
      </c>
      <c r="S1817" t="s">
        <v>147</v>
      </c>
    </row>
    <row r="1818" spans="16:19" x14ac:dyDescent="0.25">
      <c r="P1818">
        <v>4109</v>
      </c>
      <c r="Q1818" t="s">
        <v>9</v>
      </c>
      <c r="R1818" t="s">
        <v>114</v>
      </c>
      <c r="S1818" t="s">
        <v>147</v>
      </c>
    </row>
    <row r="1819" spans="16:19" x14ac:dyDescent="0.25">
      <c r="P1819">
        <v>8212</v>
      </c>
      <c r="Q1819" t="s">
        <v>9</v>
      </c>
      <c r="R1819" t="s">
        <v>114</v>
      </c>
      <c r="S1819" t="s">
        <v>147</v>
      </c>
    </row>
    <row r="1820" spans="16:19" x14ac:dyDescent="0.25">
      <c r="P1820">
        <v>4455</v>
      </c>
      <c r="Q1820" t="s">
        <v>9</v>
      </c>
      <c r="R1820" t="s">
        <v>114</v>
      </c>
      <c r="S1820" t="s">
        <v>147</v>
      </c>
    </row>
    <row r="1821" spans="16:19" x14ac:dyDescent="0.25">
      <c r="P1821">
        <v>2329</v>
      </c>
      <c r="Q1821" t="s">
        <v>9</v>
      </c>
      <c r="R1821" t="s">
        <v>114</v>
      </c>
      <c r="S1821" t="s">
        <v>147</v>
      </c>
    </row>
    <row r="1822" spans="16:19" x14ac:dyDescent="0.25">
      <c r="P1822">
        <v>1725</v>
      </c>
      <c r="Q1822" t="s">
        <v>9</v>
      </c>
      <c r="R1822" t="s">
        <v>114</v>
      </c>
      <c r="S1822" t="s">
        <v>147</v>
      </c>
    </row>
    <row r="1823" spans="16:19" x14ac:dyDescent="0.25">
      <c r="P1823">
        <v>822</v>
      </c>
      <c r="Q1823" t="s">
        <v>9</v>
      </c>
      <c r="R1823" t="s">
        <v>114</v>
      </c>
      <c r="S1823" t="s">
        <v>147</v>
      </c>
    </row>
    <row r="1824" spans="16:19" x14ac:dyDescent="0.25">
      <c r="P1824">
        <v>9750</v>
      </c>
      <c r="Q1824" t="s">
        <v>9</v>
      </c>
      <c r="R1824" t="s">
        <v>114</v>
      </c>
      <c r="S1824" t="s">
        <v>147</v>
      </c>
    </row>
    <row r="1825" spans="16:19" x14ac:dyDescent="0.25">
      <c r="P1825">
        <v>1908</v>
      </c>
      <c r="Q1825" t="s">
        <v>9</v>
      </c>
      <c r="R1825" t="s">
        <v>114</v>
      </c>
      <c r="S1825" t="s">
        <v>147</v>
      </c>
    </row>
    <row r="1826" spans="16:19" x14ac:dyDescent="0.25">
      <c r="P1826">
        <v>906</v>
      </c>
      <c r="Q1826" t="s">
        <v>9</v>
      </c>
      <c r="R1826" t="s">
        <v>114</v>
      </c>
      <c r="S1826" t="s">
        <v>147</v>
      </c>
    </row>
    <row r="1827" spans="16:19" x14ac:dyDescent="0.25">
      <c r="P1827">
        <v>2074</v>
      </c>
      <c r="Q1827" t="s">
        <v>9</v>
      </c>
      <c r="R1827" t="s">
        <v>114</v>
      </c>
      <c r="S1827" t="s">
        <v>147</v>
      </c>
    </row>
    <row r="1828" spans="16:19" x14ac:dyDescent="0.25">
      <c r="P1828">
        <v>3693</v>
      </c>
      <c r="Q1828" t="s">
        <v>9</v>
      </c>
      <c r="R1828" t="s">
        <v>114</v>
      </c>
      <c r="S1828" t="s">
        <v>147</v>
      </c>
    </row>
    <row r="1829" spans="16:19" x14ac:dyDescent="0.25">
      <c r="P1829">
        <v>2530</v>
      </c>
      <c r="Q1829" t="s">
        <v>4</v>
      </c>
      <c r="R1829" t="s">
        <v>114</v>
      </c>
      <c r="S1829" t="s">
        <v>147</v>
      </c>
    </row>
    <row r="1830" spans="16:19" x14ac:dyDescent="0.25">
      <c r="P1830">
        <v>1015</v>
      </c>
      <c r="Q1830" t="s">
        <v>4</v>
      </c>
      <c r="R1830" t="s">
        <v>114</v>
      </c>
      <c r="S1830" t="s">
        <v>147</v>
      </c>
    </row>
    <row r="1831" spans="16:19" x14ac:dyDescent="0.25">
      <c r="P1831">
        <v>2911</v>
      </c>
      <c r="Q1831" t="s">
        <v>4</v>
      </c>
      <c r="R1831" t="s">
        <v>114</v>
      </c>
      <c r="S1831" t="s">
        <v>147</v>
      </c>
    </row>
    <row r="1832" spans="16:19" x14ac:dyDescent="0.25">
      <c r="P1832">
        <v>1551</v>
      </c>
      <c r="Q1832" t="s">
        <v>4</v>
      </c>
      <c r="R1832" t="s">
        <v>114</v>
      </c>
      <c r="S1832" t="s">
        <v>147</v>
      </c>
    </row>
    <row r="1833" spans="16:19" x14ac:dyDescent="0.25">
      <c r="P1833">
        <v>3515</v>
      </c>
      <c r="Q1833" t="s">
        <v>4</v>
      </c>
      <c r="R1833" t="s">
        <v>114</v>
      </c>
      <c r="S1833" t="s">
        <v>147</v>
      </c>
    </row>
    <row r="1834" spans="16:19" x14ac:dyDescent="0.25">
      <c r="P1834">
        <v>3044</v>
      </c>
      <c r="Q1834" t="s">
        <v>4</v>
      </c>
      <c r="R1834" t="s">
        <v>114</v>
      </c>
      <c r="S1834" t="s">
        <v>147</v>
      </c>
    </row>
    <row r="1835" spans="16:19" x14ac:dyDescent="0.25">
      <c r="P1835">
        <v>5772</v>
      </c>
      <c r="Q1835" t="s">
        <v>4</v>
      </c>
      <c r="R1835" t="s">
        <v>114</v>
      </c>
      <c r="S1835" t="s">
        <v>147</v>
      </c>
    </row>
    <row r="1836" spans="16:19" x14ac:dyDescent="0.25">
      <c r="P1836">
        <v>2885</v>
      </c>
      <c r="Q1836" t="s">
        <v>4</v>
      </c>
      <c r="R1836" t="s">
        <v>114</v>
      </c>
      <c r="S1836" t="s">
        <v>147</v>
      </c>
    </row>
    <row r="1837" spans="16:19" x14ac:dyDescent="0.25">
      <c r="P1837">
        <v>1569</v>
      </c>
      <c r="Q1837" t="s">
        <v>4</v>
      </c>
      <c r="R1837" t="s">
        <v>114</v>
      </c>
      <c r="S1837" t="s">
        <v>147</v>
      </c>
    </row>
    <row r="1838" spans="16:19" x14ac:dyDescent="0.25">
      <c r="P1838">
        <v>5940</v>
      </c>
      <c r="Q1838" t="s">
        <v>4</v>
      </c>
      <c r="R1838" t="s">
        <v>114</v>
      </c>
      <c r="S1838" t="s">
        <v>147</v>
      </c>
    </row>
    <row r="1839" spans="16:19" x14ac:dyDescent="0.25">
      <c r="P1839">
        <v>4983</v>
      </c>
      <c r="Q1839" t="s">
        <v>4</v>
      </c>
      <c r="R1839" t="s">
        <v>114</v>
      </c>
      <c r="S1839" t="s">
        <v>147</v>
      </c>
    </row>
    <row r="1840" spans="16:19" x14ac:dyDescent="0.25">
      <c r="P1840">
        <v>19625</v>
      </c>
      <c r="Q1840" t="s">
        <v>4</v>
      </c>
      <c r="R1840" t="s">
        <v>114</v>
      </c>
      <c r="S1840" t="s">
        <v>147</v>
      </c>
    </row>
    <row r="1841" spans="16:19" x14ac:dyDescent="0.25">
      <c r="P1841">
        <v>4861</v>
      </c>
      <c r="Q1841" t="s">
        <v>4</v>
      </c>
      <c r="R1841" t="s">
        <v>114</v>
      </c>
      <c r="S1841" t="s">
        <v>147</v>
      </c>
    </row>
    <row r="1842" spans="16:19" x14ac:dyDescent="0.25">
      <c r="P1842">
        <v>4203</v>
      </c>
      <c r="Q1842" t="s">
        <v>4</v>
      </c>
      <c r="R1842" t="s">
        <v>114</v>
      </c>
      <c r="S1842" t="s">
        <v>147</v>
      </c>
    </row>
    <row r="1843" spans="16:19" x14ac:dyDescent="0.25">
      <c r="P1843">
        <v>464</v>
      </c>
      <c r="Q1843" t="s">
        <v>4</v>
      </c>
      <c r="R1843" t="s">
        <v>114</v>
      </c>
      <c r="S1843" t="s">
        <v>147</v>
      </c>
    </row>
    <row r="1844" spans="16:19" x14ac:dyDescent="0.25">
      <c r="P1844">
        <v>3512</v>
      </c>
      <c r="Q1844" t="s">
        <v>4</v>
      </c>
      <c r="R1844" t="s">
        <v>114</v>
      </c>
      <c r="S1844" t="s">
        <v>147</v>
      </c>
    </row>
    <row r="1845" spans="16:19" x14ac:dyDescent="0.25">
      <c r="P1845">
        <v>2836</v>
      </c>
      <c r="Q1845" t="s">
        <v>4</v>
      </c>
      <c r="R1845" t="s">
        <v>114</v>
      </c>
      <c r="S1845" t="s">
        <v>147</v>
      </c>
    </row>
    <row r="1846" spans="16:19" x14ac:dyDescent="0.25">
      <c r="P1846">
        <v>730</v>
      </c>
      <c r="Q1846" t="s">
        <v>4</v>
      </c>
      <c r="R1846" t="s">
        <v>114</v>
      </c>
      <c r="S1846" t="s">
        <v>147</v>
      </c>
    </row>
    <row r="1847" spans="16:19" x14ac:dyDescent="0.25">
      <c r="P1847">
        <v>2564</v>
      </c>
      <c r="Q1847" t="s">
        <v>4</v>
      </c>
      <c r="R1847" t="s">
        <v>114</v>
      </c>
      <c r="S1847" t="s">
        <v>147</v>
      </c>
    </row>
    <row r="1848" spans="16:19" x14ac:dyDescent="0.25">
      <c r="P1848">
        <v>434</v>
      </c>
      <c r="Q1848" t="s">
        <v>4</v>
      </c>
      <c r="R1848" t="s">
        <v>114</v>
      </c>
      <c r="S1848" t="s">
        <v>147</v>
      </c>
    </row>
    <row r="1849" spans="16:19" x14ac:dyDescent="0.25">
      <c r="P1849">
        <v>2794</v>
      </c>
      <c r="Q1849" t="s">
        <v>4</v>
      </c>
      <c r="R1849" t="s">
        <v>114</v>
      </c>
      <c r="S1849" t="s">
        <v>147</v>
      </c>
    </row>
    <row r="1850" spans="16:19" x14ac:dyDescent="0.25">
      <c r="P1850">
        <v>574</v>
      </c>
      <c r="Q1850" t="s">
        <v>4</v>
      </c>
      <c r="R1850" t="s">
        <v>114</v>
      </c>
      <c r="S1850" t="s">
        <v>147</v>
      </c>
    </row>
    <row r="1851" spans="16:19" x14ac:dyDescent="0.25">
      <c r="P1851">
        <v>1570</v>
      </c>
      <c r="Q1851" t="s">
        <v>4</v>
      </c>
      <c r="R1851" t="s">
        <v>114</v>
      </c>
      <c r="S1851" t="s">
        <v>147</v>
      </c>
    </row>
    <row r="1852" spans="16:19" x14ac:dyDescent="0.25">
      <c r="P1852">
        <v>2569</v>
      </c>
      <c r="Q1852" t="s">
        <v>4</v>
      </c>
      <c r="R1852" t="s">
        <v>114</v>
      </c>
      <c r="S1852" t="s">
        <v>147</v>
      </c>
    </row>
    <row r="1853" spans="16:19" x14ac:dyDescent="0.25">
      <c r="P1853">
        <v>3720</v>
      </c>
      <c r="Q1853" t="s">
        <v>4</v>
      </c>
      <c r="R1853" t="s">
        <v>114</v>
      </c>
      <c r="S1853" t="s">
        <v>147</v>
      </c>
    </row>
    <row r="1854" spans="16:19" x14ac:dyDescent="0.25">
      <c r="P1854">
        <v>3122</v>
      </c>
      <c r="Q1854" t="s">
        <v>4</v>
      </c>
      <c r="R1854" t="s">
        <v>114</v>
      </c>
      <c r="S1854" t="s">
        <v>147</v>
      </c>
    </row>
    <row r="1855" spans="16:19" x14ac:dyDescent="0.25">
      <c r="P1855">
        <v>1937</v>
      </c>
      <c r="Q1855" t="s">
        <v>4</v>
      </c>
      <c r="R1855" t="s">
        <v>114</v>
      </c>
      <c r="S1855" t="s">
        <v>147</v>
      </c>
    </row>
    <row r="1856" spans="16:19" x14ac:dyDescent="0.25">
      <c r="P1856">
        <v>2124</v>
      </c>
      <c r="Q1856" t="s">
        <v>4</v>
      </c>
      <c r="R1856" t="s">
        <v>114</v>
      </c>
      <c r="S1856" t="s">
        <v>147</v>
      </c>
    </row>
    <row r="1857" spans="16:19" x14ac:dyDescent="0.25">
      <c r="P1857">
        <v>4337</v>
      </c>
      <c r="Q1857" t="s">
        <v>4</v>
      </c>
      <c r="R1857" t="s">
        <v>114</v>
      </c>
      <c r="S1857" t="s">
        <v>147</v>
      </c>
    </row>
    <row r="1858" spans="16:19" x14ac:dyDescent="0.25">
      <c r="P1858">
        <v>14308</v>
      </c>
      <c r="Q1858" t="s">
        <v>4</v>
      </c>
      <c r="R1858" t="s">
        <v>114</v>
      </c>
      <c r="S1858" t="s">
        <v>147</v>
      </c>
    </row>
    <row r="1859" spans="16:19" x14ac:dyDescent="0.25">
      <c r="P1859">
        <v>385</v>
      </c>
      <c r="Q1859" t="s">
        <v>5</v>
      </c>
      <c r="R1859" t="s">
        <v>114</v>
      </c>
      <c r="S1859" t="s">
        <v>147</v>
      </c>
    </row>
    <row r="1860" spans="16:19" x14ac:dyDescent="0.25">
      <c r="P1860">
        <v>279</v>
      </c>
      <c r="Q1860" t="s">
        <v>5</v>
      </c>
      <c r="R1860" t="s">
        <v>114</v>
      </c>
      <c r="S1860" t="s">
        <v>147</v>
      </c>
    </row>
    <row r="1861" spans="16:19" x14ac:dyDescent="0.25">
      <c r="P1861">
        <v>1053</v>
      </c>
      <c r="Q1861" t="s">
        <v>5</v>
      </c>
      <c r="R1861" t="s">
        <v>114</v>
      </c>
      <c r="S1861" t="s">
        <v>147</v>
      </c>
    </row>
    <row r="1862" spans="16:19" x14ac:dyDescent="0.25">
      <c r="P1862">
        <v>3105</v>
      </c>
      <c r="Q1862" t="s">
        <v>5</v>
      </c>
      <c r="R1862" t="s">
        <v>114</v>
      </c>
      <c r="S1862" t="s">
        <v>147</v>
      </c>
    </row>
    <row r="1863" spans="16:19" x14ac:dyDescent="0.25">
      <c r="P1863">
        <v>1007</v>
      </c>
      <c r="Q1863" t="s">
        <v>5</v>
      </c>
      <c r="R1863" t="s">
        <v>114</v>
      </c>
      <c r="S1863" t="s">
        <v>147</v>
      </c>
    </row>
    <row r="1864" spans="16:19" x14ac:dyDescent="0.25">
      <c r="P1864">
        <v>771</v>
      </c>
      <c r="Q1864" t="s">
        <v>5</v>
      </c>
      <c r="R1864" t="s">
        <v>114</v>
      </c>
      <c r="S1864" t="s">
        <v>147</v>
      </c>
    </row>
    <row r="1865" spans="16:19" x14ac:dyDescent="0.25">
      <c r="P1865">
        <v>1375</v>
      </c>
      <c r="Q1865" t="s">
        <v>5</v>
      </c>
      <c r="R1865" t="s">
        <v>114</v>
      </c>
      <c r="S1865" t="s">
        <v>147</v>
      </c>
    </row>
    <row r="1866" spans="16:19" x14ac:dyDescent="0.25">
      <c r="P1866">
        <v>1578</v>
      </c>
      <c r="Q1866" t="s">
        <v>5</v>
      </c>
      <c r="R1866" t="s">
        <v>114</v>
      </c>
      <c r="S1866" t="s">
        <v>147</v>
      </c>
    </row>
    <row r="1867" spans="16:19" x14ac:dyDescent="0.25">
      <c r="P1867">
        <v>2539</v>
      </c>
      <c r="Q1867" t="s">
        <v>5</v>
      </c>
      <c r="R1867" t="s">
        <v>114</v>
      </c>
      <c r="S1867" t="s">
        <v>147</v>
      </c>
    </row>
    <row r="1868" spans="16:19" x14ac:dyDescent="0.25">
      <c r="P1868">
        <v>457</v>
      </c>
      <c r="Q1868" t="s">
        <v>5</v>
      </c>
      <c r="R1868" t="s">
        <v>114</v>
      </c>
      <c r="S1868" t="s">
        <v>147</v>
      </c>
    </row>
    <row r="1869" spans="16:19" x14ac:dyDescent="0.25">
      <c r="P1869">
        <v>618</v>
      </c>
      <c r="Q1869" t="s">
        <v>5</v>
      </c>
      <c r="R1869" t="s">
        <v>114</v>
      </c>
      <c r="S1869" t="s">
        <v>147</v>
      </c>
    </row>
    <row r="1870" spans="16:19" x14ac:dyDescent="0.25">
      <c r="P1870">
        <v>518</v>
      </c>
      <c r="Q1870" t="s">
        <v>5</v>
      </c>
      <c r="R1870" t="s">
        <v>114</v>
      </c>
      <c r="S1870" t="s">
        <v>147</v>
      </c>
    </row>
    <row r="1871" spans="16:19" x14ac:dyDescent="0.25">
      <c r="P1871">
        <v>532</v>
      </c>
      <c r="Q1871" t="s">
        <v>5</v>
      </c>
      <c r="R1871" t="s">
        <v>114</v>
      </c>
      <c r="S1871" t="s">
        <v>147</v>
      </c>
    </row>
    <row r="1872" spans="16:19" x14ac:dyDescent="0.25">
      <c r="P1872">
        <v>7640</v>
      </c>
      <c r="Q1872" t="s">
        <v>5</v>
      </c>
      <c r="R1872" t="s">
        <v>114</v>
      </c>
      <c r="S1872" t="s">
        <v>147</v>
      </c>
    </row>
    <row r="1873" spans="16:19" x14ac:dyDescent="0.25">
      <c r="P1873">
        <v>1566</v>
      </c>
      <c r="Q1873" t="s">
        <v>5</v>
      </c>
      <c r="R1873" t="s">
        <v>114</v>
      </c>
      <c r="S1873" t="s">
        <v>147</v>
      </c>
    </row>
    <row r="1874" spans="16:19" x14ac:dyDescent="0.25">
      <c r="P1874">
        <v>1449</v>
      </c>
      <c r="Q1874" t="s">
        <v>5</v>
      </c>
      <c r="R1874" t="s">
        <v>114</v>
      </c>
      <c r="S1874" t="s">
        <v>147</v>
      </c>
    </row>
    <row r="1875" spans="16:19" x14ac:dyDescent="0.25">
      <c r="P1875">
        <v>2567</v>
      </c>
      <c r="Q1875" t="s">
        <v>5</v>
      </c>
      <c r="R1875" t="s">
        <v>114</v>
      </c>
      <c r="S1875" t="s">
        <v>147</v>
      </c>
    </row>
    <row r="1876" spans="16:19" x14ac:dyDescent="0.25">
      <c r="P1876">
        <v>786</v>
      </c>
      <c r="Q1876" t="s">
        <v>5</v>
      </c>
      <c r="R1876" t="s">
        <v>114</v>
      </c>
      <c r="S1876" t="s">
        <v>147</v>
      </c>
    </row>
    <row r="1877" spans="16:19" x14ac:dyDescent="0.25">
      <c r="P1877">
        <v>1836</v>
      </c>
      <c r="Q1877" t="s">
        <v>5</v>
      </c>
      <c r="R1877" t="s">
        <v>114</v>
      </c>
      <c r="S1877" t="s">
        <v>147</v>
      </c>
    </row>
    <row r="1878" spans="16:19" x14ac:dyDescent="0.25">
      <c r="P1878">
        <v>1248</v>
      </c>
      <c r="Q1878" t="s">
        <v>5</v>
      </c>
      <c r="R1878" t="s">
        <v>114</v>
      </c>
      <c r="S1878" t="s">
        <v>147</v>
      </c>
    </row>
    <row r="1879" spans="16:19" x14ac:dyDescent="0.25">
      <c r="P1879">
        <v>2359</v>
      </c>
      <c r="Q1879" t="s">
        <v>5</v>
      </c>
      <c r="R1879" t="s">
        <v>114</v>
      </c>
      <c r="S1879" t="s">
        <v>147</v>
      </c>
    </row>
    <row r="1880" spans="16:19" x14ac:dyDescent="0.25">
      <c r="P1880">
        <v>1732</v>
      </c>
      <c r="Q1880" t="s">
        <v>5</v>
      </c>
      <c r="R1880" t="s">
        <v>114</v>
      </c>
      <c r="S1880" t="s">
        <v>147</v>
      </c>
    </row>
    <row r="1881" spans="16:19" x14ac:dyDescent="0.25">
      <c r="P1881">
        <v>1259</v>
      </c>
      <c r="Q1881" t="s">
        <v>5</v>
      </c>
      <c r="R1881" t="s">
        <v>114</v>
      </c>
      <c r="S1881" t="s">
        <v>147</v>
      </c>
    </row>
    <row r="1882" spans="16:19" x14ac:dyDescent="0.25">
      <c r="P1882">
        <v>1154</v>
      </c>
      <c r="Q1882" t="s">
        <v>5</v>
      </c>
      <c r="R1882" t="s">
        <v>114</v>
      </c>
      <c r="S1882" t="s">
        <v>147</v>
      </c>
    </row>
    <row r="1883" spans="16:19" x14ac:dyDescent="0.25">
      <c r="P1883">
        <v>100</v>
      </c>
      <c r="Q1883" t="s">
        <v>5</v>
      </c>
      <c r="R1883" t="s">
        <v>114</v>
      </c>
      <c r="S1883" t="s">
        <v>147</v>
      </c>
    </row>
    <row r="1884" spans="16:19" x14ac:dyDescent="0.25">
      <c r="P1884">
        <v>573</v>
      </c>
      <c r="Q1884" t="s">
        <v>5</v>
      </c>
      <c r="R1884" t="s">
        <v>114</v>
      </c>
      <c r="S1884" t="s">
        <v>147</v>
      </c>
    </row>
    <row r="1885" spans="16:19" x14ac:dyDescent="0.25">
      <c r="P1885">
        <v>1242</v>
      </c>
      <c r="Q1885" t="s">
        <v>5</v>
      </c>
      <c r="R1885" t="s">
        <v>114</v>
      </c>
      <c r="S1885" t="s">
        <v>147</v>
      </c>
    </row>
    <row r="1886" spans="16:19" x14ac:dyDescent="0.25">
      <c r="P1886">
        <v>505</v>
      </c>
      <c r="Q1886" t="s">
        <v>5</v>
      </c>
      <c r="R1886" t="s">
        <v>114</v>
      </c>
      <c r="S1886" t="s">
        <v>147</v>
      </c>
    </row>
    <row r="1887" spans="16:19" x14ac:dyDescent="0.25">
      <c r="P1887">
        <v>755</v>
      </c>
      <c r="Q1887" t="s">
        <v>5</v>
      </c>
      <c r="R1887" t="s">
        <v>114</v>
      </c>
      <c r="S1887" t="s">
        <v>147</v>
      </c>
    </row>
    <row r="1888" spans="16:19" x14ac:dyDescent="0.25">
      <c r="P1888">
        <v>3510</v>
      </c>
      <c r="Q1888" t="s">
        <v>5</v>
      </c>
      <c r="R1888" t="s">
        <v>114</v>
      </c>
      <c r="S1888" t="s">
        <v>147</v>
      </c>
    </row>
    <row r="1889" spans="16:19" x14ac:dyDescent="0.25">
      <c r="P1889">
        <v>641</v>
      </c>
      <c r="Q1889" t="s">
        <v>6</v>
      </c>
      <c r="R1889" t="s">
        <v>114</v>
      </c>
      <c r="S1889" t="s">
        <v>147</v>
      </c>
    </row>
    <row r="1890" spans="16:19" x14ac:dyDescent="0.25">
      <c r="P1890">
        <v>931</v>
      </c>
      <c r="Q1890" t="s">
        <v>6</v>
      </c>
      <c r="R1890" t="s">
        <v>114</v>
      </c>
      <c r="S1890" t="s">
        <v>147</v>
      </c>
    </row>
    <row r="1891" spans="16:19" x14ac:dyDescent="0.25">
      <c r="P1891">
        <v>501</v>
      </c>
      <c r="Q1891" t="s">
        <v>6</v>
      </c>
      <c r="R1891" t="s">
        <v>114</v>
      </c>
      <c r="S1891" t="s">
        <v>147</v>
      </c>
    </row>
    <row r="1892" spans="16:19" x14ac:dyDescent="0.25">
      <c r="P1892">
        <v>1222</v>
      </c>
      <c r="Q1892" t="s">
        <v>6</v>
      </c>
      <c r="R1892" t="s">
        <v>114</v>
      </c>
      <c r="S1892" t="s">
        <v>147</v>
      </c>
    </row>
    <row r="1893" spans="16:19" x14ac:dyDescent="0.25">
      <c r="P1893">
        <v>1756</v>
      </c>
      <c r="Q1893" t="s">
        <v>6</v>
      </c>
      <c r="R1893" t="s">
        <v>114</v>
      </c>
      <c r="S1893" t="s">
        <v>147</v>
      </c>
    </row>
    <row r="1894" spans="16:19" x14ac:dyDescent="0.25">
      <c r="P1894">
        <v>739</v>
      </c>
      <c r="Q1894" t="s">
        <v>6</v>
      </c>
      <c r="R1894" t="s">
        <v>114</v>
      </c>
      <c r="S1894" t="s">
        <v>147</v>
      </c>
    </row>
    <row r="1895" spans="16:19" x14ac:dyDescent="0.25">
      <c r="P1895">
        <v>2311</v>
      </c>
      <c r="Q1895" t="s">
        <v>6</v>
      </c>
      <c r="R1895" t="s">
        <v>114</v>
      </c>
      <c r="S1895" t="s">
        <v>147</v>
      </c>
    </row>
    <row r="1896" spans="16:19" x14ac:dyDescent="0.25">
      <c r="P1896">
        <v>880</v>
      </c>
      <c r="Q1896" t="s">
        <v>6</v>
      </c>
      <c r="R1896" t="s">
        <v>114</v>
      </c>
      <c r="S1896" t="s">
        <v>147</v>
      </c>
    </row>
    <row r="1897" spans="16:19" x14ac:dyDescent="0.25">
      <c r="P1897">
        <v>680</v>
      </c>
      <c r="Q1897" t="s">
        <v>6</v>
      </c>
      <c r="R1897" t="s">
        <v>114</v>
      </c>
      <c r="S1897" t="s">
        <v>147</v>
      </c>
    </row>
    <row r="1898" spans="16:19" x14ac:dyDescent="0.25">
      <c r="P1898">
        <v>911</v>
      </c>
      <c r="Q1898" t="s">
        <v>6</v>
      </c>
      <c r="R1898" t="s">
        <v>114</v>
      </c>
      <c r="S1898" t="s">
        <v>147</v>
      </c>
    </row>
    <row r="1899" spans="16:19" x14ac:dyDescent="0.25">
      <c r="P1899">
        <v>606</v>
      </c>
      <c r="Q1899" t="s">
        <v>6</v>
      </c>
      <c r="R1899" t="s">
        <v>114</v>
      </c>
      <c r="S1899" t="s">
        <v>147</v>
      </c>
    </row>
    <row r="1900" spans="16:19" x14ac:dyDescent="0.25">
      <c r="P1900">
        <v>1121</v>
      </c>
      <c r="Q1900" t="s">
        <v>6</v>
      </c>
      <c r="R1900" t="s">
        <v>114</v>
      </c>
      <c r="S1900" t="s">
        <v>147</v>
      </c>
    </row>
    <row r="1901" spans="16:19" x14ac:dyDescent="0.25">
      <c r="P1901">
        <v>753</v>
      </c>
      <c r="Q1901" t="s">
        <v>6</v>
      </c>
      <c r="R1901" t="s">
        <v>114</v>
      </c>
      <c r="S1901" t="s">
        <v>147</v>
      </c>
    </row>
    <row r="1902" spans="16:19" x14ac:dyDescent="0.25">
      <c r="P1902">
        <v>344</v>
      </c>
      <c r="Q1902" t="s">
        <v>6</v>
      </c>
      <c r="R1902" t="s">
        <v>114</v>
      </c>
      <c r="S1902" t="s">
        <v>147</v>
      </c>
    </row>
    <row r="1903" spans="16:19" x14ac:dyDescent="0.25">
      <c r="P1903">
        <v>707</v>
      </c>
      <c r="Q1903" t="s">
        <v>6</v>
      </c>
      <c r="R1903" t="s">
        <v>114</v>
      </c>
      <c r="S1903" t="s">
        <v>147</v>
      </c>
    </row>
    <row r="1904" spans="16:19" x14ac:dyDescent="0.25">
      <c r="P1904">
        <v>11871</v>
      </c>
      <c r="Q1904" t="s">
        <v>6</v>
      </c>
      <c r="R1904" t="s">
        <v>114</v>
      </c>
      <c r="S1904" t="s">
        <v>147</v>
      </c>
    </row>
    <row r="1905" spans="16:19" x14ac:dyDescent="0.25">
      <c r="P1905">
        <v>4626</v>
      </c>
      <c r="Q1905" t="s">
        <v>6</v>
      </c>
      <c r="R1905" t="s">
        <v>114</v>
      </c>
      <c r="S1905" t="s">
        <v>147</v>
      </c>
    </row>
    <row r="1906" spans="16:19" x14ac:dyDescent="0.25">
      <c r="P1906">
        <v>890</v>
      </c>
      <c r="Q1906" t="s">
        <v>6</v>
      </c>
      <c r="R1906" t="s">
        <v>114</v>
      </c>
      <c r="S1906" t="s">
        <v>147</v>
      </c>
    </row>
    <row r="1907" spans="16:19" x14ac:dyDescent="0.25">
      <c r="P1907">
        <v>3422</v>
      </c>
      <c r="Q1907" t="s">
        <v>6</v>
      </c>
      <c r="R1907" t="s">
        <v>114</v>
      </c>
      <c r="S1907" t="s">
        <v>147</v>
      </c>
    </row>
    <row r="1908" spans="16:19" x14ac:dyDescent="0.25">
      <c r="P1908">
        <v>1470</v>
      </c>
      <c r="Q1908" t="s">
        <v>6</v>
      </c>
      <c r="R1908" t="s">
        <v>114</v>
      </c>
      <c r="S1908" t="s">
        <v>147</v>
      </c>
    </row>
    <row r="1909" spans="16:19" x14ac:dyDescent="0.25">
      <c r="P1909">
        <v>666</v>
      </c>
      <c r="Q1909" t="s">
        <v>6</v>
      </c>
      <c r="R1909" t="s">
        <v>114</v>
      </c>
      <c r="S1909" t="s">
        <v>147</v>
      </c>
    </row>
    <row r="1910" spans="16:19" x14ac:dyDescent="0.25">
      <c r="P1910">
        <v>1148</v>
      </c>
      <c r="Q1910" t="s">
        <v>6</v>
      </c>
      <c r="R1910" t="s">
        <v>114</v>
      </c>
      <c r="S1910" t="s">
        <v>147</v>
      </c>
    </row>
    <row r="1911" spans="16:19" x14ac:dyDescent="0.25">
      <c r="P1911">
        <v>823</v>
      </c>
      <c r="Q1911" t="s">
        <v>6</v>
      </c>
      <c r="R1911" t="s">
        <v>114</v>
      </c>
      <c r="S1911" t="s">
        <v>147</v>
      </c>
    </row>
    <row r="1912" spans="16:19" x14ac:dyDescent="0.25">
      <c r="P1912">
        <v>306</v>
      </c>
      <c r="Q1912" t="s">
        <v>6</v>
      </c>
      <c r="R1912" t="s">
        <v>114</v>
      </c>
      <c r="S1912" t="s">
        <v>147</v>
      </c>
    </row>
    <row r="1913" spans="16:19" x14ac:dyDescent="0.25">
      <c r="P1913">
        <v>632</v>
      </c>
      <c r="Q1913" t="s">
        <v>6</v>
      </c>
      <c r="R1913" t="s">
        <v>114</v>
      </c>
      <c r="S1913" t="s">
        <v>147</v>
      </c>
    </row>
    <row r="1914" spans="16:19" x14ac:dyDescent="0.25">
      <c r="P1914">
        <v>451</v>
      </c>
      <c r="Q1914" t="s">
        <v>6</v>
      </c>
      <c r="R1914" t="s">
        <v>114</v>
      </c>
      <c r="S1914" t="s">
        <v>147</v>
      </c>
    </row>
    <row r="1915" spans="16:19" x14ac:dyDescent="0.25">
      <c r="P1915">
        <v>2045</v>
      </c>
      <c r="Q1915" t="s">
        <v>6</v>
      </c>
      <c r="R1915" t="s">
        <v>114</v>
      </c>
      <c r="S1915" t="s">
        <v>147</v>
      </c>
    </row>
    <row r="1916" spans="16:19" x14ac:dyDescent="0.25">
      <c r="P1916">
        <v>793</v>
      </c>
      <c r="Q1916" t="s">
        <v>6</v>
      </c>
      <c r="R1916" t="s">
        <v>114</v>
      </c>
      <c r="S1916" t="s">
        <v>147</v>
      </c>
    </row>
    <row r="1917" spans="16:19" x14ac:dyDescent="0.25">
      <c r="P1917">
        <v>631</v>
      </c>
      <c r="Q1917" t="s">
        <v>6</v>
      </c>
      <c r="R1917" t="s">
        <v>114</v>
      </c>
      <c r="S1917" t="s">
        <v>147</v>
      </c>
    </row>
    <row r="1918" spans="16:19" x14ac:dyDescent="0.25">
      <c r="P1918">
        <v>1512</v>
      </c>
      <c r="Q1918" t="s">
        <v>6</v>
      </c>
      <c r="R1918" t="s">
        <v>114</v>
      </c>
      <c r="S1918" t="s">
        <v>147</v>
      </c>
    </row>
    <row r="1919" spans="16:19" x14ac:dyDescent="0.25">
      <c r="P1919">
        <v>220</v>
      </c>
      <c r="Q1919" t="s">
        <v>6</v>
      </c>
      <c r="R1919" t="s">
        <v>114</v>
      </c>
      <c r="S1919" t="s">
        <v>147</v>
      </c>
    </row>
    <row r="1920" spans="16:19" x14ac:dyDescent="0.25">
      <c r="P1920">
        <v>2206</v>
      </c>
      <c r="Q1920" t="s">
        <v>6</v>
      </c>
      <c r="R1920" t="s">
        <v>114</v>
      </c>
      <c r="S1920" t="s">
        <v>147</v>
      </c>
    </row>
    <row r="1921" spans="16:19" x14ac:dyDescent="0.25">
      <c r="P1921">
        <v>1003</v>
      </c>
      <c r="Q1921" t="s">
        <v>6</v>
      </c>
      <c r="R1921" t="s">
        <v>114</v>
      </c>
      <c r="S1921" t="s">
        <v>147</v>
      </c>
    </row>
    <row r="1922" spans="16:19" x14ac:dyDescent="0.25">
      <c r="P1922">
        <v>644</v>
      </c>
      <c r="Q1922" t="s">
        <v>7</v>
      </c>
      <c r="R1922" t="s">
        <v>114</v>
      </c>
      <c r="S1922" t="s">
        <v>147</v>
      </c>
    </row>
    <row r="1923" spans="16:19" x14ac:dyDescent="0.25">
      <c r="P1923">
        <v>587</v>
      </c>
      <c r="Q1923" t="s">
        <v>7</v>
      </c>
      <c r="R1923" t="s">
        <v>114</v>
      </c>
      <c r="S1923" t="s">
        <v>147</v>
      </c>
    </row>
    <row r="1924" spans="16:19" x14ac:dyDescent="0.25">
      <c r="P1924">
        <v>640</v>
      </c>
      <c r="Q1924" t="s">
        <v>7</v>
      </c>
      <c r="R1924" t="s">
        <v>114</v>
      </c>
      <c r="S1924" t="s">
        <v>147</v>
      </c>
    </row>
    <row r="1925" spans="16:19" x14ac:dyDescent="0.25">
      <c r="P1925">
        <v>765</v>
      </c>
      <c r="Q1925" t="s">
        <v>7</v>
      </c>
      <c r="R1925" t="s">
        <v>114</v>
      </c>
      <c r="S1925" t="s">
        <v>147</v>
      </c>
    </row>
    <row r="1926" spans="16:19" x14ac:dyDescent="0.25">
      <c r="P1926">
        <v>1471</v>
      </c>
      <c r="Q1926" t="s">
        <v>7</v>
      </c>
      <c r="R1926" t="s">
        <v>114</v>
      </c>
      <c r="S1926" t="s">
        <v>147</v>
      </c>
    </row>
    <row r="1927" spans="16:19" x14ac:dyDescent="0.25">
      <c r="P1927">
        <v>846</v>
      </c>
      <c r="Q1927" t="s">
        <v>7</v>
      </c>
      <c r="R1927" t="s">
        <v>114</v>
      </c>
      <c r="S1927" t="s">
        <v>147</v>
      </c>
    </row>
    <row r="1928" spans="16:19" x14ac:dyDescent="0.25">
      <c r="P1928">
        <v>2620</v>
      </c>
      <c r="Q1928" t="s">
        <v>7</v>
      </c>
      <c r="R1928" t="s">
        <v>114</v>
      </c>
      <c r="S1928" t="s">
        <v>147</v>
      </c>
    </row>
    <row r="1929" spans="16:19" x14ac:dyDescent="0.25">
      <c r="P1929">
        <v>906</v>
      </c>
      <c r="Q1929" t="s">
        <v>7</v>
      </c>
      <c r="R1929" t="s">
        <v>114</v>
      </c>
      <c r="S1929" t="s">
        <v>147</v>
      </c>
    </row>
    <row r="1930" spans="16:19" x14ac:dyDescent="0.25">
      <c r="P1930">
        <v>394</v>
      </c>
      <c r="Q1930" t="s">
        <v>7</v>
      </c>
      <c r="R1930" t="s">
        <v>114</v>
      </c>
      <c r="S1930" t="s">
        <v>147</v>
      </c>
    </row>
    <row r="1931" spans="16:19" x14ac:dyDescent="0.25">
      <c r="P1931">
        <v>258</v>
      </c>
      <c r="Q1931" t="s">
        <v>7</v>
      </c>
      <c r="R1931" t="s">
        <v>114</v>
      </c>
      <c r="S1931" t="s">
        <v>147</v>
      </c>
    </row>
    <row r="1932" spans="16:19" x14ac:dyDescent="0.25">
      <c r="P1932">
        <v>609</v>
      </c>
      <c r="Q1932" t="s">
        <v>7</v>
      </c>
      <c r="R1932" t="s">
        <v>114</v>
      </c>
      <c r="S1932" t="s">
        <v>147</v>
      </c>
    </row>
    <row r="1933" spans="16:19" x14ac:dyDescent="0.25">
      <c r="P1933">
        <v>41</v>
      </c>
      <c r="Q1933" t="s">
        <v>7</v>
      </c>
      <c r="R1933" t="s">
        <v>114</v>
      </c>
      <c r="S1933" t="s">
        <v>147</v>
      </c>
    </row>
    <row r="1934" spans="16:19" x14ac:dyDescent="0.25">
      <c r="P1934">
        <v>673</v>
      </c>
      <c r="Q1934" t="s">
        <v>7</v>
      </c>
      <c r="R1934" t="s">
        <v>114</v>
      </c>
      <c r="S1934" t="s">
        <v>147</v>
      </c>
    </row>
    <row r="1935" spans="16:19" x14ac:dyDescent="0.25">
      <c r="P1935">
        <v>533</v>
      </c>
      <c r="Q1935" t="s">
        <v>7</v>
      </c>
      <c r="R1935" t="s">
        <v>114</v>
      </c>
      <c r="S1935" t="s">
        <v>147</v>
      </c>
    </row>
    <row r="1936" spans="16:19" x14ac:dyDescent="0.25">
      <c r="P1936">
        <v>94</v>
      </c>
      <c r="Q1936" t="s">
        <v>7</v>
      </c>
      <c r="R1936" t="s">
        <v>114</v>
      </c>
      <c r="S1936" t="s">
        <v>147</v>
      </c>
    </row>
    <row r="1937" spans="16:19" x14ac:dyDescent="0.25">
      <c r="P1937">
        <v>1257</v>
      </c>
      <c r="Q1937" t="s">
        <v>7</v>
      </c>
      <c r="R1937" t="s">
        <v>114</v>
      </c>
      <c r="S1937" t="s">
        <v>147</v>
      </c>
    </row>
    <row r="1938" spans="16:19" x14ac:dyDescent="0.25">
      <c r="P1938">
        <v>373</v>
      </c>
      <c r="Q1938" t="s">
        <v>7</v>
      </c>
      <c r="R1938" t="s">
        <v>114</v>
      </c>
      <c r="S1938" t="s">
        <v>147</v>
      </c>
    </row>
    <row r="1939" spans="16:19" x14ac:dyDescent="0.25">
      <c r="P1939">
        <v>294</v>
      </c>
      <c r="Q1939" t="s">
        <v>7</v>
      </c>
      <c r="R1939" t="s">
        <v>114</v>
      </c>
      <c r="S1939" t="s">
        <v>147</v>
      </c>
    </row>
    <row r="1940" spans="16:19" x14ac:dyDescent="0.25">
      <c r="P1940">
        <v>77</v>
      </c>
      <c r="Q1940" t="s">
        <v>7</v>
      </c>
      <c r="R1940" t="s">
        <v>114</v>
      </c>
      <c r="S1940" t="s">
        <v>147</v>
      </c>
    </row>
    <row r="1941" spans="16:19" x14ac:dyDescent="0.25">
      <c r="P1941">
        <v>2071</v>
      </c>
      <c r="Q1941" t="s">
        <v>7</v>
      </c>
      <c r="R1941" t="s">
        <v>114</v>
      </c>
      <c r="S1941" t="s">
        <v>147</v>
      </c>
    </row>
    <row r="1942" spans="16:19" x14ac:dyDescent="0.25">
      <c r="P1942">
        <v>1137</v>
      </c>
      <c r="Q1942" t="s">
        <v>7</v>
      </c>
      <c r="R1942" t="s">
        <v>114</v>
      </c>
      <c r="S1942" t="s">
        <v>147</v>
      </c>
    </row>
    <row r="1943" spans="16:19" x14ac:dyDescent="0.25">
      <c r="P1943">
        <v>385</v>
      </c>
      <c r="Q1943" t="s">
        <v>7</v>
      </c>
      <c r="R1943" t="s">
        <v>114</v>
      </c>
      <c r="S1943" t="s">
        <v>147</v>
      </c>
    </row>
    <row r="1944" spans="16:19" x14ac:dyDescent="0.25">
      <c r="P1944">
        <v>63</v>
      </c>
      <c r="Q1944" t="s">
        <v>7</v>
      </c>
      <c r="R1944" t="s">
        <v>114</v>
      </c>
      <c r="S1944" t="s">
        <v>147</v>
      </c>
    </row>
    <row r="1945" spans="16:19" x14ac:dyDescent="0.25">
      <c r="P1945">
        <v>462</v>
      </c>
      <c r="Q1945" t="s">
        <v>7</v>
      </c>
      <c r="R1945" t="s">
        <v>114</v>
      </c>
      <c r="S1945" t="s">
        <v>147</v>
      </c>
    </row>
    <row r="1946" spans="16:19" x14ac:dyDescent="0.25">
      <c r="P1946">
        <v>94</v>
      </c>
      <c r="Q1946" t="s">
        <v>7</v>
      </c>
      <c r="R1946" t="s">
        <v>114</v>
      </c>
      <c r="S1946" t="s">
        <v>147</v>
      </c>
    </row>
    <row r="1947" spans="16:19" x14ac:dyDescent="0.25">
      <c r="P1947">
        <v>1592</v>
      </c>
      <c r="Q1947" t="s">
        <v>7</v>
      </c>
      <c r="R1947" t="s">
        <v>114</v>
      </c>
      <c r="S1947" t="s">
        <v>147</v>
      </c>
    </row>
    <row r="1948" spans="16:19" x14ac:dyDescent="0.25">
      <c r="P1948">
        <v>417</v>
      </c>
      <c r="Q1948" t="s">
        <v>7</v>
      </c>
      <c r="R1948" t="s">
        <v>114</v>
      </c>
      <c r="S1948" t="s">
        <v>147</v>
      </c>
    </row>
    <row r="1949" spans="16:19" x14ac:dyDescent="0.25">
      <c r="P1949">
        <v>6980</v>
      </c>
      <c r="Q1949" t="s">
        <v>7</v>
      </c>
      <c r="R1949" t="s">
        <v>114</v>
      </c>
      <c r="S1949" t="s">
        <v>147</v>
      </c>
    </row>
    <row r="1950" spans="16:19" x14ac:dyDescent="0.25">
      <c r="P1950">
        <v>455</v>
      </c>
      <c r="Q1950" t="s">
        <v>7</v>
      </c>
      <c r="R1950" t="s">
        <v>114</v>
      </c>
      <c r="S1950" t="s">
        <v>147</v>
      </c>
    </row>
    <row r="1951" spans="16:19" x14ac:dyDescent="0.25">
      <c r="P1951">
        <v>506</v>
      </c>
      <c r="Q1951" t="s">
        <v>7</v>
      </c>
      <c r="R1951" t="s">
        <v>114</v>
      </c>
      <c r="S1951" t="s">
        <v>147</v>
      </c>
    </row>
    <row r="1952" spans="16:19" x14ac:dyDescent="0.25">
      <c r="P1952">
        <v>665</v>
      </c>
      <c r="Q1952" t="s">
        <v>7</v>
      </c>
      <c r="R1952" t="s">
        <v>114</v>
      </c>
      <c r="S1952" t="s">
        <v>147</v>
      </c>
    </row>
    <row r="1953" spans="16:19" x14ac:dyDescent="0.25">
      <c r="P1953">
        <v>1142</v>
      </c>
      <c r="Q1953" t="s">
        <v>7</v>
      </c>
      <c r="R1953" t="s">
        <v>114</v>
      </c>
      <c r="S1953" t="s">
        <v>147</v>
      </c>
    </row>
    <row r="1954" spans="16:19" x14ac:dyDescent="0.25">
      <c r="P1954">
        <v>1491</v>
      </c>
      <c r="Q1954" t="s">
        <v>7</v>
      </c>
      <c r="R1954" t="s">
        <v>114</v>
      </c>
      <c r="S1954" t="s">
        <v>147</v>
      </c>
    </row>
    <row r="1955" spans="16:19" x14ac:dyDescent="0.25">
      <c r="P1955">
        <v>275</v>
      </c>
      <c r="Q1955" t="s">
        <v>7</v>
      </c>
      <c r="R1955" t="s">
        <v>114</v>
      </c>
      <c r="S1955" t="s">
        <v>147</v>
      </c>
    </row>
    <row r="1956" spans="16:19" x14ac:dyDescent="0.25">
      <c r="P1956">
        <v>955</v>
      </c>
      <c r="Q1956" t="s">
        <v>7</v>
      </c>
      <c r="R1956" t="s">
        <v>114</v>
      </c>
      <c r="S1956" t="s">
        <v>147</v>
      </c>
    </row>
    <row r="1957" spans="16:19" x14ac:dyDescent="0.25">
      <c r="P1957">
        <v>1265</v>
      </c>
      <c r="Q1957" t="s">
        <v>7</v>
      </c>
      <c r="R1957" t="s">
        <v>114</v>
      </c>
      <c r="S1957" t="s">
        <v>147</v>
      </c>
    </row>
    <row r="1958" spans="16:19" x14ac:dyDescent="0.25">
      <c r="P1958">
        <v>247</v>
      </c>
      <c r="Q1958" t="s">
        <v>7</v>
      </c>
      <c r="R1958" t="s">
        <v>114</v>
      </c>
      <c r="S1958" t="s">
        <v>147</v>
      </c>
    </row>
    <row r="1959" spans="16:19" x14ac:dyDescent="0.25">
      <c r="P1959">
        <v>2227</v>
      </c>
      <c r="Q1959" t="s">
        <v>8</v>
      </c>
      <c r="R1959" t="s">
        <v>114</v>
      </c>
      <c r="S1959" t="s">
        <v>147</v>
      </c>
    </row>
    <row r="1960" spans="16:19" x14ac:dyDescent="0.25">
      <c r="P1960">
        <v>1877</v>
      </c>
      <c r="Q1960" t="s">
        <v>8</v>
      </c>
      <c r="R1960" t="s">
        <v>114</v>
      </c>
      <c r="S1960" t="s">
        <v>147</v>
      </c>
    </row>
    <row r="1961" spans="16:19" x14ac:dyDescent="0.25">
      <c r="P1961">
        <v>369</v>
      </c>
      <c r="Q1961" t="s">
        <v>8</v>
      </c>
      <c r="R1961" t="s">
        <v>114</v>
      </c>
      <c r="S1961" t="s">
        <v>147</v>
      </c>
    </row>
    <row r="1962" spans="16:19" x14ac:dyDescent="0.25">
      <c r="P1962">
        <v>1145</v>
      </c>
      <c r="Q1962" t="s">
        <v>8</v>
      </c>
      <c r="R1962" t="s">
        <v>114</v>
      </c>
      <c r="S1962" t="s">
        <v>147</v>
      </c>
    </row>
    <row r="1963" spans="16:19" x14ac:dyDescent="0.25">
      <c r="P1963">
        <v>2606</v>
      </c>
      <c r="Q1963" t="s">
        <v>8</v>
      </c>
      <c r="R1963" t="s">
        <v>114</v>
      </c>
      <c r="S1963" t="s">
        <v>147</v>
      </c>
    </row>
    <row r="1964" spans="16:19" x14ac:dyDescent="0.25">
      <c r="P1964">
        <v>3381</v>
      </c>
      <c r="Q1964" t="s">
        <v>8</v>
      </c>
      <c r="R1964" t="s">
        <v>114</v>
      </c>
      <c r="S1964" t="s">
        <v>147</v>
      </c>
    </row>
    <row r="1965" spans="16:19" x14ac:dyDescent="0.25">
      <c r="P1965">
        <v>1424</v>
      </c>
      <c r="Q1965" t="s">
        <v>8</v>
      </c>
      <c r="R1965" t="s">
        <v>114</v>
      </c>
      <c r="S1965" t="s">
        <v>147</v>
      </c>
    </row>
    <row r="1966" spans="16:19" x14ac:dyDescent="0.25">
      <c r="P1966">
        <v>4283</v>
      </c>
      <c r="Q1966" t="s">
        <v>8</v>
      </c>
      <c r="R1966" t="s">
        <v>114</v>
      </c>
      <c r="S1966" t="s">
        <v>147</v>
      </c>
    </row>
    <row r="1967" spans="16:19" x14ac:dyDescent="0.25">
      <c r="P1967">
        <v>1457</v>
      </c>
      <c r="Q1967" t="s">
        <v>8</v>
      </c>
      <c r="R1967" t="s">
        <v>114</v>
      </c>
      <c r="S1967" t="s">
        <v>147</v>
      </c>
    </row>
    <row r="1968" spans="16:19" x14ac:dyDescent="0.25">
      <c r="P1968">
        <v>695</v>
      </c>
      <c r="Q1968" t="s">
        <v>8</v>
      </c>
      <c r="R1968" t="s">
        <v>114</v>
      </c>
      <c r="S1968" t="s">
        <v>147</v>
      </c>
    </row>
    <row r="1969" spans="16:19" x14ac:dyDescent="0.25">
      <c r="P1969">
        <v>793</v>
      </c>
      <c r="Q1969" t="s">
        <v>8</v>
      </c>
      <c r="R1969" t="s">
        <v>114</v>
      </c>
      <c r="S1969" t="s">
        <v>147</v>
      </c>
    </row>
    <row r="1970" spans="16:19" x14ac:dyDescent="0.25">
      <c r="P1970">
        <v>485</v>
      </c>
      <c r="Q1970" t="s">
        <v>8</v>
      </c>
      <c r="R1970" t="s">
        <v>114</v>
      </c>
      <c r="S1970" t="s">
        <v>147</v>
      </c>
    </row>
    <row r="1971" spans="16:19" x14ac:dyDescent="0.25">
      <c r="P1971">
        <v>739</v>
      </c>
      <c r="Q1971" t="s">
        <v>8</v>
      </c>
      <c r="R1971" t="s">
        <v>114</v>
      </c>
      <c r="S1971" t="s">
        <v>147</v>
      </c>
    </row>
    <row r="1972" spans="16:19" x14ac:dyDescent="0.25">
      <c r="P1972">
        <v>1641</v>
      </c>
      <c r="Q1972" t="s">
        <v>8</v>
      </c>
      <c r="R1972" t="s">
        <v>114</v>
      </c>
      <c r="S1972" t="s">
        <v>147</v>
      </c>
    </row>
    <row r="1973" spans="16:19" x14ac:dyDescent="0.25">
      <c r="P1973">
        <v>1452</v>
      </c>
      <c r="Q1973" t="s">
        <v>8</v>
      </c>
      <c r="R1973" t="s">
        <v>114</v>
      </c>
      <c r="S1973" t="s">
        <v>147</v>
      </c>
    </row>
    <row r="1974" spans="16:19" x14ac:dyDescent="0.25">
      <c r="P1974">
        <v>7289</v>
      </c>
      <c r="Q1974" t="s">
        <v>8</v>
      </c>
      <c r="R1974" t="s">
        <v>114</v>
      </c>
      <c r="S1974" t="s">
        <v>147</v>
      </c>
    </row>
    <row r="1975" spans="16:19" x14ac:dyDescent="0.25">
      <c r="P1975">
        <v>1324</v>
      </c>
      <c r="Q1975" t="s">
        <v>8</v>
      </c>
      <c r="R1975" t="s">
        <v>114</v>
      </c>
      <c r="S1975" t="s">
        <v>147</v>
      </c>
    </row>
    <row r="1976" spans="16:19" x14ac:dyDescent="0.25">
      <c r="P1976">
        <v>3930</v>
      </c>
      <c r="Q1976" t="s">
        <v>8</v>
      </c>
      <c r="R1976" t="s">
        <v>114</v>
      </c>
      <c r="S1976" t="s">
        <v>147</v>
      </c>
    </row>
    <row r="1977" spans="16:19" x14ac:dyDescent="0.25">
      <c r="P1977">
        <v>1219</v>
      </c>
      <c r="Q1977" t="s">
        <v>8</v>
      </c>
      <c r="R1977" t="s">
        <v>114</v>
      </c>
      <c r="S1977" t="s">
        <v>147</v>
      </c>
    </row>
    <row r="1978" spans="16:19" x14ac:dyDescent="0.25">
      <c r="P1978">
        <v>1670</v>
      </c>
      <c r="Q1978" t="s">
        <v>8</v>
      </c>
      <c r="R1978" t="s">
        <v>114</v>
      </c>
      <c r="S1978" t="s">
        <v>147</v>
      </c>
    </row>
    <row r="1979" spans="16:19" x14ac:dyDescent="0.25">
      <c r="P1979">
        <v>1268</v>
      </c>
      <c r="Q1979" t="s">
        <v>8</v>
      </c>
      <c r="R1979" t="s">
        <v>114</v>
      </c>
      <c r="S1979" t="s">
        <v>147</v>
      </c>
    </row>
    <row r="1980" spans="16:19" x14ac:dyDescent="0.25">
      <c r="P1980">
        <v>577</v>
      </c>
      <c r="Q1980" t="s">
        <v>8</v>
      </c>
      <c r="R1980" t="s">
        <v>114</v>
      </c>
      <c r="S1980" t="s">
        <v>147</v>
      </c>
    </row>
    <row r="1981" spans="16:19" x14ac:dyDescent="0.25">
      <c r="P1981">
        <v>1509</v>
      </c>
      <c r="Q1981" t="s">
        <v>8</v>
      </c>
      <c r="R1981" t="s">
        <v>114</v>
      </c>
      <c r="S1981" t="s">
        <v>147</v>
      </c>
    </row>
    <row r="1982" spans="16:19" x14ac:dyDescent="0.25">
      <c r="P1982">
        <v>13883</v>
      </c>
      <c r="Q1982" t="s">
        <v>8</v>
      </c>
      <c r="R1982" t="s">
        <v>114</v>
      </c>
      <c r="S1982" t="s">
        <v>147</v>
      </c>
    </row>
    <row r="1983" spans="16:19" x14ac:dyDescent="0.25">
      <c r="P1983">
        <v>1762</v>
      </c>
      <c r="Q1983" t="s">
        <v>8</v>
      </c>
      <c r="R1983" t="s">
        <v>114</v>
      </c>
      <c r="S1983" t="s">
        <v>147</v>
      </c>
    </row>
    <row r="1984" spans="16:19" x14ac:dyDescent="0.25">
      <c r="P1984">
        <v>2208</v>
      </c>
      <c r="Q1984" t="s">
        <v>8</v>
      </c>
      <c r="R1984" t="s">
        <v>114</v>
      </c>
      <c r="S1984" t="s">
        <v>147</v>
      </c>
    </row>
    <row r="1985" spans="16:19" x14ac:dyDescent="0.25">
      <c r="P1985">
        <v>287</v>
      </c>
      <c r="Q1985" t="s">
        <v>8</v>
      </c>
      <c r="R1985" t="s">
        <v>114</v>
      </c>
      <c r="S1985" t="s">
        <v>147</v>
      </c>
    </row>
    <row r="1986" spans="16:19" x14ac:dyDescent="0.25">
      <c r="P1986">
        <v>857</v>
      </c>
      <c r="Q1986" t="s">
        <v>8</v>
      </c>
      <c r="R1986" t="s">
        <v>114</v>
      </c>
      <c r="S1986" t="s">
        <v>147</v>
      </c>
    </row>
    <row r="1987" spans="16:19" x14ac:dyDescent="0.25">
      <c r="P1987">
        <v>1904</v>
      </c>
      <c r="Q1987" t="s">
        <v>8</v>
      </c>
      <c r="R1987" t="s">
        <v>114</v>
      </c>
      <c r="S1987" t="s">
        <v>147</v>
      </c>
    </row>
    <row r="1988" spans="16:19" x14ac:dyDescent="0.25">
      <c r="P1988">
        <v>855</v>
      </c>
      <c r="Q1988" t="s">
        <v>8</v>
      </c>
      <c r="R1988" t="s">
        <v>114</v>
      </c>
      <c r="S1988" t="s">
        <v>147</v>
      </c>
    </row>
    <row r="1989" spans="16:19" x14ac:dyDescent="0.25">
      <c r="P1989">
        <v>2252</v>
      </c>
      <c r="Q1989" t="s">
        <v>8</v>
      </c>
      <c r="R1989" t="s">
        <v>114</v>
      </c>
      <c r="S1989" t="s">
        <v>147</v>
      </c>
    </row>
    <row r="1990" spans="16:19" x14ac:dyDescent="0.25">
      <c r="P1990">
        <v>1931</v>
      </c>
      <c r="Q1990" t="s">
        <v>8</v>
      </c>
      <c r="R1990" t="s">
        <v>114</v>
      </c>
      <c r="S1990" t="s">
        <v>147</v>
      </c>
    </row>
    <row r="1991" spans="16:19" x14ac:dyDescent="0.25">
      <c r="P1991">
        <v>1861</v>
      </c>
      <c r="Q1991" t="s">
        <v>8</v>
      </c>
      <c r="R1991" t="s">
        <v>114</v>
      </c>
      <c r="S1991" t="s">
        <v>147</v>
      </c>
    </row>
    <row r="1992" spans="16:19" x14ac:dyDescent="0.25">
      <c r="P1992">
        <v>5295</v>
      </c>
      <c r="Q1992" t="s">
        <v>8</v>
      </c>
      <c r="R1992" t="s">
        <v>114</v>
      </c>
      <c r="S1992" t="s">
        <v>147</v>
      </c>
    </row>
    <row r="1993" spans="16:19" x14ac:dyDescent="0.25">
      <c r="P1993">
        <v>1703</v>
      </c>
      <c r="Q1993" t="s">
        <v>8</v>
      </c>
      <c r="R1993" t="s">
        <v>114</v>
      </c>
      <c r="S1993" t="s">
        <v>147</v>
      </c>
    </row>
    <row r="1994" spans="16:19" x14ac:dyDescent="0.25">
      <c r="P1994">
        <v>2475</v>
      </c>
      <c r="Q1994" t="s">
        <v>8</v>
      </c>
      <c r="R1994" t="s">
        <v>114</v>
      </c>
      <c r="S1994" t="s">
        <v>147</v>
      </c>
    </row>
    <row r="1995" spans="16:19" x14ac:dyDescent="0.25">
      <c r="P1995">
        <v>2179</v>
      </c>
      <c r="Q1995" t="s">
        <v>8</v>
      </c>
      <c r="R1995" t="s">
        <v>114</v>
      </c>
      <c r="S1995" t="s">
        <v>147</v>
      </c>
    </row>
    <row r="1996" spans="16:19" x14ac:dyDescent="0.25">
      <c r="P1996">
        <v>1697</v>
      </c>
      <c r="Q1996" t="s">
        <v>8</v>
      </c>
      <c r="R1996" t="s">
        <v>114</v>
      </c>
      <c r="S1996" t="s">
        <v>147</v>
      </c>
    </row>
    <row r="1997" spans="16:19" x14ac:dyDescent="0.25">
      <c r="P1997">
        <v>678</v>
      </c>
      <c r="Q1997" t="s">
        <v>8</v>
      </c>
      <c r="R1997" t="s">
        <v>114</v>
      </c>
      <c r="S1997" t="s">
        <v>147</v>
      </c>
    </row>
    <row r="1998" spans="16:19" x14ac:dyDescent="0.25">
      <c r="P1998">
        <v>2357</v>
      </c>
      <c r="Q1998" t="s">
        <v>115</v>
      </c>
      <c r="R1998" t="s">
        <v>116</v>
      </c>
      <c r="S1998" t="s">
        <v>148</v>
      </c>
    </row>
    <row r="1999" spans="16:19" x14ac:dyDescent="0.25">
      <c r="P1999">
        <v>339</v>
      </c>
      <c r="Q1999" t="s">
        <v>115</v>
      </c>
      <c r="R1999" t="s">
        <v>116</v>
      </c>
      <c r="S1999" t="s">
        <v>148</v>
      </c>
    </row>
    <row r="2000" spans="16:19" x14ac:dyDescent="0.25">
      <c r="P2000">
        <v>14956</v>
      </c>
      <c r="Q2000" t="s">
        <v>115</v>
      </c>
      <c r="R2000" t="s">
        <v>116</v>
      </c>
      <c r="S2000" t="s">
        <v>148</v>
      </c>
    </row>
    <row r="2001" spans="16:19" x14ac:dyDescent="0.25">
      <c r="P2001">
        <v>2541</v>
      </c>
      <c r="Q2001" t="s">
        <v>115</v>
      </c>
      <c r="R2001" t="s">
        <v>116</v>
      </c>
      <c r="S2001" t="s">
        <v>148</v>
      </c>
    </row>
    <row r="2002" spans="16:19" x14ac:dyDescent="0.25">
      <c r="P2002">
        <v>770</v>
      </c>
      <c r="Q2002" t="s">
        <v>115</v>
      </c>
      <c r="R2002" t="s">
        <v>116</v>
      </c>
      <c r="S2002" t="s">
        <v>148</v>
      </c>
    </row>
    <row r="2003" spans="16:19" x14ac:dyDescent="0.25">
      <c r="P2003">
        <v>3363</v>
      </c>
      <c r="Q2003" t="s">
        <v>115</v>
      </c>
      <c r="R2003" t="s">
        <v>116</v>
      </c>
      <c r="S2003" t="s">
        <v>148</v>
      </c>
    </row>
    <row r="2004" spans="16:19" x14ac:dyDescent="0.25">
      <c r="P2004">
        <v>561</v>
      </c>
      <c r="Q2004" t="s">
        <v>115</v>
      </c>
      <c r="R2004" t="s">
        <v>116</v>
      </c>
      <c r="S2004" t="s">
        <v>148</v>
      </c>
    </row>
    <row r="2005" spans="16:19" x14ac:dyDescent="0.25">
      <c r="P2005">
        <v>1661</v>
      </c>
      <c r="Q2005" t="s">
        <v>115</v>
      </c>
      <c r="R2005" t="s">
        <v>116</v>
      </c>
      <c r="S2005" t="s">
        <v>148</v>
      </c>
    </row>
    <row r="2006" spans="16:19" x14ac:dyDescent="0.25">
      <c r="P2006">
        <v>466</v>
      </c>
      <c r="Q2006" t="s">
        <v>115</v>
      </c>
      <c r="R2006" t="s">
        <v>116</v>
      </c>
      <c r="S2006" t="s">
        <v>148</v>
      </c>
    </row>
    <row r="2007" spans="16:19" x14ac:dyDescent="0.25">
      <c r="P2007">
        <v>1463</v>
      </c>
      <c r="Q2007" t="s">
        <v>115</v>
      </c>
      <c r="R2007" t="s">
        <v>116</v>
      </c>
      <c r="S2007" t="s">
        <v>148</v>
      </c>
    </row>
    <row r="2008" spans="16:19" x14ac:dyDescent="0.25">
      <c r="P2008">
        <v>1027</v>
      </c>
      <c r="Q2008" t="s">
        <v>115</v>
      </c>
      <c r="R2008" t="s">
        <v>116</v>
      </c>
      <c r="S2008" t="s">
        <v>148</v>
      </c>
    </row>
    <row r="2009" spans="16:19" x14ac:dyDescent="0.25">
      <c r="P2009">
        <v>659</v>
      </c>
      <c r="Q2009" t="s">
        <v>115</v>
      </c>
      <c r="R2009" t="s">
        <v>116</v>
      </c>
      <c r="S2009" t="s">
        <v>148</v>
      </c>
    </row>
    <row r="2010" spans="16:19" x14ac:dyDescent="0.25">
      <c r="P2010">
        <v>1604</v>
      </c>
      <c r="Q2010" t="s">
        <v>115</v>
      </c>
      <c r="R2010" t="s">
        <v>116</v>
      </c>
      <c r="S2010" t="s">
        <v>148</v>
      </c>
    </row>
    <row r="2011" spans="16:19" x14ac:dyDescent="0.25">
      <c r="P2011">
        <v>302</v>
      </c>
      <c r="Q2011" t="s">
        <v>115</v>
      </c>
      <c r="R2011" t="s">
        <v>116</v>
      </c>
      <c r="S2011" t="s">
        <v>148</v>
      </c>
    </row>
    <row r="2012" spans="16:19" x14ac:dyDescent="0.25">
      <c r="P2012">
        <v>3645</v>
      </c>
      <c r="Q2012" t="s">
        <v>115</v>
      </c>
      <c r="R2012" t="s">
        <v>116</v>
      </c>
      <c r="S2012" t="s">
        <v>148</v>
      </c>
    </row>
    <row r="2013" spans="16:19" x14ac:dyDescent="0.25">
      <c r="P2013">
        <v>6225</v>
      </c>
      <c r="Q2013" t="s">
        <v>115</v>
      </c>
      <c r="R2013" t="s">
        <v>116</v>
      </c>
      <c r="S2013" t="s">
        <v>148</v>
      </c>
    </row>
    <row r="2014" spans="16:19" x14ac:dyDescent="0.25">
      <c r="P2014">
        <v>4937</v>
      </c>
      <c r="Q2014" t="s">
        <v>115</v>
      </c>
      <c r="R2014" t="s">
        <v>116</v>
      </c>
      <c r="S2014" t="s">
        <v>148</v>
      </c>
    </row>
    <row r="2015" spans="16:19" x14ac:dyDescent="0.25">
      <c r="P2015">
        <v>882</v>
      </c>
      <c r="Q2015" t="s">
        <v>115</v>
      </c>
      <c r="R2015" t="s">
        <v>116</v>
      </c>
      <c r="S2015" t="s">
        <v>148</v>
      </c>
    </row>
    <row r="2016" spans="16:19" x14ac:dyDescent="0.25">
      <c r="P2016">
        <v>690</v>
      </c>
      <c r="Q2016" t="s">
        <v>115</v>
      </c>
      <c r="R2016" t="s">
        <v>116</v>
      </c>
      <c r="S2016" t="s">
        <v>148</v>
      </c>
    </row>
    <row r="2017" spans="16:19" x14ac:dyDescent="0.25">
      <c r="P2017">
        <v>2206</v>
      </c>
      <c r="Q2017" t="s">
        <v>115</v>
      </c>
      <c r="R2017" t="s">
        <v>116</v>
      </c>
      <c r="S2017" t="s">
        <v>148</v>
      </c>
    </row>
    <row r="2018" spans="16:19" x14ac:dyDescent="0.25">
      <c r="P2018">
        <v>398</v>
      </c>
      <c r="Q2018" t="s">
        <v>115</v>
      </c>
      <c r="R2018" t="s">
        <v>116</v>
      </c>
      <c r="S2018" t="s">
        <v>148</v>
      </c>
    </row>
    <row r="2019" spans="16:19" x14ac:dyDescent="0.25">
      <c r="P2019">
        <v>3976</v>
      </c>
      <c r="Q2019" t="s">
        <v>115</v>
      </c>
      <c r="R2019" t="s">
        <v>116</v>
      </c>
      <c r="S2019" t="s">
        <v>148</v>
      </c>
    </row>
    <row r="2020" spans="16:19" x14ac:dyDescent="0.25">
      <c r="P2020">
        <v>849</v>
      </c>
      <c r="Q2020" t="s">
        <v>115</v>
      </c>
      <c r="R2020" t="s">
        <v>116</v>
      </c>
      <c r="S2020" t="s">
        <v>148</v>
      </c>
    </row>
    <row r="2021" spans="16:19" x14ac:dyDescent="0.25">
      <c r="P2021">
        <v>635</v>
      </c>
      <c r="Q2021" t="s">
        <v>115</v>
      </c>
      <c r="R2021" t="s">
        <v>116</v>
      </c>
      <c r="S2021" t="s">
        <v>148</v>
      </c>
    </row>
    <row r="2022" spans="16:19" x14ac:dyDescent="0.25">
      <c r="P2022">
        <v>273</v>
      </c>
      <c r="Q2022" t="s">
        <v>115</v>
      </c>
      <c r="R2022" t="s">
        <v>116</v>
      </c>
      <c r="S2022" t="s">
        <v>148</v>
      </c>
    </row>
    <row r="2023" spans="16:19" x14ac:dyDescent="0.25">
      <c r="P2023">
        <v>2275</v>
      </c>
      <c r="Q2023" t="s">
        <v>115</v>
      </c>
      <c r="R2023" t="s">
        <v>116</v>
      </c>
      <c r="S2023" t="s">
        <v>148</v>
      </c>
    </row>
    <row r="2024" spans="16:19" x14ac:dyDescent="0.25">
      <c r="P2024">
        <v>717</v>
      </c>
      <c r="Q2024" t="s">
        <v>115</v>
      </c>
      <c r="R2024" t="s">
        <v>116</v>
      </c>
      <c r="S2024" t="s">
        <v>148</v>
      </c>
    </row>
    <row r="2025" spans="16:19" x14ac:dyDescent="0.25">
      <c r="P2025">
        <v>2157</v>
      </c>
      <c r="Q2025" t="s">
        <v>115</v>
      </c>
      <c r="R2025" t="s">
        <v>116</v>
      </c>
      <c r="S2025" t="s">
        <v>148</v>
      </c>
    </row>
    <row r="2026" spans="16:19" x14ac:dyDescent="0.25">
      <c r="P2026">
        <v>2744</v>
      </c>
      <c r="Q2026" t="s">
        <v>115</v>
      </c>
      <c r="R2026" t="s">
        <v>116</v>
      </c>
      <c r="S2026" t="s">
        <v>148</v>
      </c>
    </row>
    <row r="2027" spans="16:19" x14ac:dyDescent="0.25">
      <c r="P2027">
        <v>3208</v>
      </c>
      <c r="Q2027" t="s">
        <v>117</v>
      </c>
      <c r="R2027" t="s">
        <v>116</v>
      </c>
      <c r="S2027" t="s">
        <v>148</v>
      </c>
    </row>
    <row r="2028" spans="16:19" x14ac:dyDescent="0.25">
      <c r="P2028">
        <v>2654</v>
      </c>
      <c r="Q2028" t="s">
        <v>117</v>
      </c>
      <c r="R2028" t="s">
        <v>116</v>
      </c>
      <c r="S2028" t="s">
        <v>148</v>
      </c>
    </row>
    <row r="2029" spans="16:19" x14ac:dyDescent="0.25">
      <c r="P2029">
        <v>1802</v>
      </c>
      <c r="Q2029" t="s">
        <v>117</v>
      </c>
      <c r="R2029" t="s">
        <v>116</v>
      </c>
      <c r="S2029" t="s">
        <v>148</v>
      </c>
    </row>
    <row r="2030" spans="16:19" x14ac:dyDescent="0.25">
      <c r="P2030">
        <v>2030</v>
      </c>
      <c r="Q2030" t="s">
        <v>117</v>
      </c>
      <c r="R2030" t="s">
        <v>116</v>
      </c>
      <c r="S2030" t="s">
        <v>148</v>
      </c>
    </row>
    <row r="2031" spans="16:19" x14ac:dyDescent="0.25">
      <c r="P2031">
        <v>806</v>
      </c>
      <c r="Q2031" t="s">
        <v>117</v>
      </c>
      <c r="R2031" t="s">
        <v>116</v>
      </c>
      <c r="S2031" t="s">
        <v>148</v>
      </c>
    </row>
    <row r="2032" spans="16:19" x14ac:dyDescent="0.25">
      <c r="P2032">
        <v>1127</v>
      </c>
      <c r="Q2032" t="s">
        <v>117</v>
      </c>
      <c r="R2032" t="s">
        <v>116</v>
      </c>
      <c r="S2032" t="s">
        <v>148</v>
      </c>
    </row>
    <row r="2033" spans="16:19" x14ac:dyDescent="0.25">
      <c r="P2033">
        <v>29306</v>
      </c>
      <c r="Q2033" t="s">
        <v>117</v>
      </c>
      <c r="R2033" t="s">
        <v>116</v>
      </c>
      <c r="S2033" t="s">
        <v>148</v>
      </c>
    </row>
    <row r="2034" spans="16:19" x14ac:dyDescent="0.25">
      <c r="P2034">
        <v>591</v>
      </c>
      <c r="Q2034" t="s">
        <v>117</v>
      </c>
      <c r="R2034" t="s">
        <v>116</v>
      </c>
      <c r="S2034" t="s">
        <v>148</v>
      </c>
    </row>
    <row r="2035" spans="16:19" x14ac:dyDescent="0.25">
      <c r="P2035">
        <v>332</v>
      </c>
      <c r="Q2035" t="s">
        <v>117</v>
      </c>
      <c r="R2035" t="s">
        <v>116</v>
      </c>
      <c r="S2035" t="s">
        <v>148</v>
      </c>
    </row>
    <row r="2036" spans="16:19" x14ac:dyDescent="0.25">
      <c r="P2036">
        <v>1045</v>
      </c>
      <c r="Q2036" t="s">
        <v>117</v>
      </c>
      <c r="R2036" t="s">
        <v>116</v>
      </c>
      <c r="S2036" t="s">
        <v>148</v>
      </c>
    </row>
    <row r="2037" spans="16:19" x14ac:dyDescent="0.25">
      <c r="P2037">
        <v>3636</v>
      </c>
      <c r="Q2037" t="s">
        <v>117</v>
      </c>
      <c r="R2037" t="s">
        <v>116</v>
      </c>
      <c r="S2037" t="s">
        <v>148</v>
      </c>
    </row>
    <row r="2038" spans="16:19" x14ac:dyDescent="0.25">
      <c r="P2038">
        <v>413</v>
      </c>
      <c r="Q2038" t="s">
        <v>117</v>
      </c>
      <c r="R2038" t="s">
        <v>116</v>
      </c>
      <c r="S2038" t="s">
        <v>148</v>
      </c>
    </row>
    <row r="2039" spans="16:19" x14ac:dyDescent="0.25">
      <c r="P2039">
        <v>3928</v>
      </c>
      <c r="Q2039" t="s">
        <v>117</v>
      </c>
      <c r="R2039" t="s">
        <v>116</v>
      </c>
      <c r="S2039" t="s">
        <v>148</v>
      </c>
    </row>
    <row r="2040" spans="16:19" x14ac:dyDescent="0.25">
      <c r="P2040">
        <v>1895</v>
      </c>
      <c r="Q2040" t="s">
        <v>117</v>
      </c>
      <c r="R2040" t="s">
        <v>116</v>
      </c>
      <c r="S2040" t="s">
        <v>148</v>
      </c>
    </row>
    <row r="2041" spans="16:19" x14ac:dyDescent="0.25">
      <c r="P2041">
        <v>13793</v>
      </c>
      <c r="Q2041" t="s">
        <v>117</v>
      </c>
      <c r="R2041" t="s">
        <v>116</v>
      </c>
      <c r="S2041" t="s">
        <v>148</v>
      </c>
    </row>
    <row r="2042" spans="16:19" x14ac:dyDescent="0.25">
      <c r="P2042">
        <v>2066</v>
      </c>
      <c r="Q2042" t="s">
        <v>117</v>
      </c>
      <c r="R2042" t="s">
        <v>116</v>
      </c>
      <c r="S2042" t="s">
        <v>148</v>
      </c>
    </row>
    <row r="2043" spans="16:19" x14ac:dyDescent="0.25">
      <c r="P2043">
        <v>8244</v>
      </c>
      <c r="Q2043" t="s">
        <v>117</v>
      </c>
      <c r="R2043" t="s">
        <v>116</v>
      </c>
      <c r="S2043" t="s">
        <v>148</v>
      </c>
    </row>
    <row r="2044" spans="16:19" x14ac:dyDescent="0.25">
      <c r="P2044">
        <v>6630</v>
      </c>
      <c r="Q2044" t="s">
        <v>117</v>
      </c>
      <c r="R2044" t="s">
        <v>116</v>
      </c>
      <c r="S2044" t="s">
        <v>148</v>
      </c>
    </row>
    <row r="2045" spans="16:19" x14ac:dyDescent="0.25">
      <c r="P2045">
        <v>1352</v>
      </c>
      <c r="Q2045" t="s">
        <v>117</v>
      </c>
      <c r="R2045" t="s">
        <v>116</v>
      </c>
      <c r="S2045" t="s">
        <v>148</v>
      </c>
    </row>
    <row r="2046" spans="16:19" x14ac:dyDescent="0.25">
      <c r="P2046">
        <v>1840</v>
      </c>
      <c r="Q2046" t="s">
        <v>117</v>
      </c>
      <c r="R2046" t="s">
        <v>116</v>
      </c>
      <c r="S2046" t="s">
        <v>148</v>
      </c>
    </row>
    <row r="2047" spans="16:19" x14ac:dyDescent="0.25">
      <c r="P2047">
        <v>1083</v>
      </c>
      <c r="Q2047" t="s">
        <v>117</v>
      </c>
      <c r="R2047" t="s">
        <v>116</v>
      </c>
      <c r="S2047" t="s">
        <v>148</v>
      </c>
    </row>
    <row r="2048" spans="16:19" x14ac:dyDescent="0.25">
      <c r="P2048">
        <v>1529</v>
      </c>
      <c r="Q2048" t="s">
        <v>117</v>
      </c>
      <c r="R2048" t="s">
        <v>116</v>
      </c>
      <c r="S2048" t="s">
        <v>148</v>
      </c>
    </row>
    <row r="2049" spans="16:19" x14ac:dyDescent="0.25">
      <c r="P2049">
        <v>1165</v>
      </c>
      <c r="Q2049" t="s">
        <v>117</v>
      </c>
      <c r="R2049" t="s">
        <v>116</v>
      </c>
      <c r="S2049" t="s">
        <v>148</v>
      </c>
    </row>
    <row r="2050" spans="16:19" x14ac:dyDescent="0.25">
      <c r="P2050">
        <v>10353</v>
      </c>
      <c r="Q2050" t="s">
        <v>117</v>
      </c>
      <c r="R2050" t="s">
        <v>116</v>
      </c>
      <c r="S2050" t="s">
        <v>148</v>
      </c>
    </row>
    <row r="2051" spans="16:19" x14ac:dyDescent="0.25">
      <c r="P2051">
        <v>1557</v>
      </c>
      <c r="Q2051" t="s">
        <v>117</v>
      </c>
      <c r="R2051" t="s">
        <v>116</v>
      </c>
      <c r="S2051" t="s">
        <v>148</v>
      </c>
    </row>
    <row r="2052" spans="16:19" x14ac:dyDescent="0.25">
      <c r="P2052">
        <v>6420</v>
      </c>
      <c r="Q2052" t="s">
        <v>117</v>
      </c>
      <c r="R2052" t="s">
        <v>116</v>
      </c>
      <c r="S2052" t="s">
        <v>148</v>
      </c>
    </row>
    <row r="2053" spans="16:19" x14ac:dyDescent="0.25">
      <c r="P2053">
        <v>1258</v>
      </c>
      <c r="Q2053" t="s">
        <v>117</v>
      </c>
      <c r="R2053" t="s">
        <v>116</v>
      </c>
      <c r="S2053" t="s">
        <v>148</v>
      </c>
    </row>
    <row r="2054" spans="16:19" x14ac:dyDescent="0.25">
      <c r="P2054">
        <v>5123</v>
      </c>
      <c r="Q2054" t="s">
        <v>117</v>
      </c>
      <c r="R2054" t="s">
        <v>116</v>
      </c>
      <c r="S2054" t="s">
        <v>148</v>
      </c>
    </row>
    <row r="2055" spans="16:19" x14ac:dyDescent="0.25">
      <c r="P2055">
        <v>556</v>
      </c>
      <c r="Q2055" t="s">
        <v>117</v>
      </c>
      <c r="R2055" t="s">
        <v>116</v>
      </c>
      <c r="S2055" t="s">
        <v>148</v>
      </c>
    </row>
    <row r="2056" spans="16:19" x14ac:dyDescent="0.25">
      <c r="P2056">
        <v>700</v>
      </c>
      <c r="Q2056" t="s">
        <v>117</v>
      </c>
      <c r="R2056" t="s">
        <v>116</v>
      </c>
      <c r="S2056" t="s">
        <v>148</v>
      </c>
    </row>
    <row r="2057" spans="16:19" x14ac:dyDescent="0.25">
      <c r="P2057">
        <v>1062</v>
      </c>
      <c r="Q2057" t="s">
        <v>117</v>
      </c>
      <c r="R2057" t="s">
        <v>116</v>
      </c>
      <c r="S2057" t="s">
        <v>148</v>
      </c>
    </row>
    <row r="2058" spans="16:19" x14ac:dyDescent="0.25">
      <c r="P2058">
        <v>477</v>
      </c>
      <c r="Q2058" t="s">
        <v>117</v>
      </c>
      <c r="R2058" t="s">
        <v>116</v>
      </c>
      <c r="S2058" t="s">
        <v>148</v>
      </c>
    </row>
    <row r="2059" spans="16:19" x14ac:dyDescent="0.25">
      <c r="P2059">
        <v>937</v>
      </c>
      <c r="Q2059" t="s">
        <v>117</v>
      </c>
      <c r="R2059" t="s">
        <v>116</v>
      </c>
      <c r="S2059" t="s">
        <v>148</v>
      </c>
    </row>
    <row r="2060" spans="16:19" x14ac:dyDescent="0.25">
      <c r="P2060">
        <v>210</v>
      </c>
      <c r="Q2060" t="s">
        <v>117</v>
      </c>
      <c r="R2060" t="s">
        <v>116</v>
      </c>
      <c r="S2060" t="s">
        <v>148</v>
      </c>
    </row>
    <row r="2061" spans="16:19" x14ac:dyDescent="0.25">
      <c r="P2061">
        <v>3934</v>
      </c>
      <c r="Q2061" t="s">
        <v>117</v>
      </c>
      <c r="R2061" t="s">
        <v>116</v>
      </c>
      <c r="S2061" t="s">
        <v>148</v>
      </c>
    </row>
    <row r="2062" spans="16:19" x14ac:dyDescent="0.25">
      <c r="P2062">
        <v>1841</v>
      </c>
      <c r="Q2062" t="s">
        <v>117</v>
      </c>
      <c r="R2062" t="s">
        <v>116</v>
      </c>
      <c r="S2062" t="s">
        <v>148</v>
      </c>
    </row>
    <row r="2063" spans="16:19" x14ac:dyDescent="0.25">
      <c r="P2063">
        <v>445</v>
      </c>
      <c r="Q2063" t="s">
        <v>117</v>
      </c>
      <c r="R2063" t="s">
        <v>116</v>
      </c>
      <c r="S2063" t="s">
        <v>148</v>
      </c>
    </row>
    <row r="2064" spans="16:19" x14ac:dyDescent="0.25">
      <c r="P2064">
        <v>1855</v>
      </c>
      <c r="Q2064" t="s">
        <v>117</v>
      </c>
      <c r="R2064" t="s">
        <v>116</v>
      </c>
      <c r="S2064" t="s">
        <v>148</v>
      </c>
    </row>
    <row r="2065" spans="16:19" x14ac:dyDescent="0.25">
      <c r="P2065">
        <v>172</v>
      </c>
      <c r="Q2065" t="s">
        <v>117</v>
      </c>
      <c r="R2065" t="s">
        <v>116</v>
      </c>
      <c r="S2065" t="s">
        <v>148</v>
      </c>
    </row>
    <row r="2066" spans="16:19" x14ac:dyDescent="0.25">
      <c r="P2066">
        <v>8728</v>
      </c>
      <c r="Q2066" t="s">
        <v>117</v>
      </c>
      <c r="R2066" t="s">
        <v>116</v>
      </c>
      <c r="S2066" t="s">
        <v>148</v>
      </c>
    </row>
    <row r="2067" spans="16:19" x14ac:dyDescent="0.25">
      <c r="P2067">
        <v>50360</v>
      </c>
      <c r="Q2067" t="s">
        <v>118</v>
      </c>
      <c r="R2067" t="s">
        <v>116</v>
      </c>
      <c r="S2067" t="s">
        <v>148</v>
      </c>
    </row>
    <row r="2068" spans="16:19" x14ac:dyDescent="0.25">
      <c r="P2068">
        <v>16946</v>
      </c>
      <c r="Q2068" t="s">
        <v>118</v>
      </c>
      <c r="R2068" t="s">
        <v>116</v>
      </c>
      <c r="S2068" t="s">
        <v>148</v>
      </c>
    </row>
    <row r="2069" spans="16:19" x14ac:dyDescent="0.25">
      <c r="P2069">
        <v>23579</v>
      </c>
      <c r="Q2069" t="s">
        <v>118</v>
      </c>
      <c r="R2069" t="s">
        <v>116</v>
      </c>
      <c r="S2069" t="s">
        <v>148</v>
      </c>
    </row>
    <row r="2070" spans="16:19" x14ac:dyDescent="0.25">
      <c r="P2070">
        <v>6932</v>
      </c>
      <c r="Q2070" t="s">
        <v>119</v>
      </c>
      <c r="R2070" t="s">
        <v>116</v>
      </c>
      <c r="S2070" t="s">
        <v>148</v>
      </c>
    </row>
    <row r="2071" spans="16:19" x14ac:dyDescent="0.25">
      <c r="P2071">
        <v>427</v>
      </c>
      <c r="Q2071" t="s">
        <v>119</v>
      </c>
      <c r="R2071" t="s">
        <v>116</v>
      </c>
      <c r="S2071" t="s">
        <v>148</v>
      </c>
    </row>
    <row r="2072" spans="16:19" x14ac:dyDescent="0.25">
      <c r="P2072">
        <v>141</v>
      </c>
      <c r="Q2072" t="s">
        <v>119</v>
      </c>
      <c r="R2072" t="s">
        <v>116</v>
      </c>
      <c r="S2072" t="s">
        <v>148</v>
      </c>
    </row>
    <row r="2073" spans="16:19" x14ac:dyDescent="0.25">
      <c r="P2073">
        <v>34998</v>
      </c>
      <c r="Q2073" t="s">
        <v>119</v>
      </c>
      <c r="R2073" t="s">
        <v>116</v>
      </c>
      <c r="S2073" t="s">
        <v>148</v>
      </c>
    </row>
    <row r="2074" spans="16:19" x14ac:dyDescent="0.25">
      <c r="P2074">
        <v>6595</v>
      </c>
      <c r="Q2074" t="s">
        <v>119</v>
      </c>
      <c r="R2074" t="s">
        <v>116</v>
      </c>
      <c r="S2074" t="s">
        <v>148</v>
      </c>
    </row>
    <row r="2075" spans="16:19" x14ac:dyDescent="0.25">
      <c r="P2075">
        <v>728</v>
      </c>
      <c r="Q2075" t="s">
        <v>119</v>
      </c>
      <c r="R2075" t="s">
        <v>116</v>
      </c>
      <c r="S2075" t="s">
        <v>148</v>
      </c>
    </row>
    <row r="2076" spans="16:19" x14ac:dyDescent="0.25">
      <c r="P2076">
        <v>3333</v>
      </c>
      <c r="Q2076" t="s">
        <v>119</v>
      </c>
      <c r="R2076" t="s">
        <v>116</v>
      </c>
      <c r="S2076" t="s">
        <v>148</v>
      </c>
    </row>
    <row r="2077" spans="16:19" x14ac:dyDescent="0.25">
      <c r="P2077">
        <v>11922</v>
      </c>
      <c r="Q2077" t="s">
        <v>119</v>
      </c>
      <c r="R2077" t="s">
        <v>116</v>
      </c>
      <c r="S2077" t="s">
        <v>148</v>
      </c>
    </row>
    <row r="2078" spans="16:19" x14ac:dyDescent="0.25">
      <c r="P2078">
        <v>3065</v>
      </c>
      <c r="Q2078" t="s">
        <v>119</v>
      </c>
      <c r="R2078" t="s">
        <v>116</v>
      </c>
      <c r="S2078" t="s">
        <v>148</v>
      </c>
    </row>
    <row r="2079" spans="16:19" x14ac:dyDescent="0.25">
      <c r="P2079">
        <v>4831</v>
      </c>
      <c r="Q2079" t="s">
        <v>119</v>
      </c>
      <c r="R2079" t="s">
        <v>116</v>
      </c>
      <c r="S2079" t="s">
        <v>148</v>
      </c>
    </row>
    <row r="2080" spans="16:19" x14ac:dyDescent="0.25">
      <c r="P2080">
        <v>686</v>
      </c>
      <c r="Q2080" t="s">
        <v>119</v>
      </c>
      <c r="R2080" t="s">
        <v>116</v>
      </c>
      <c r="S2080" t="s">
        <v>148</v>
      </c>
    </row>
    <row r="2081" spans="16:19" x14ac:dyDescent="0.25">
      <c r="P2081">
        <v>4143</v>
      </c>
      <c r="Q2081" t="s">
        <v>119</v>
      </c>
      <c r="R2081" t="s">
        <v>116</v>
      </c>
      <c r="S2081" t="s">
        <v>148</v>
      </c>
    </row>
    <row r="2082" spans="16:19" x14ac:dyDescent="0.25">
      <c r="P2082">
        <v>2374</v>
      </c>
      <c r="Q2082" t="s">
        <v>119</v>
      </c>
      <c r="R2082" t="s">
        <v>116</v>
      </c>
      <c r="S2082" t="s">
        <v>148</v>
      </c>
    </row>
    <row r="2083" spans="16:19" x14ac:dyDescent="0.25">
      <c r="P2083">
        <v>12026</v>
      </c>
      <c r="Q2083" t="s">
        <v>119</v>
      </c>
      <c r="R2083" t="s">
        <v>116</v>
      </c>
      <c r="S2083" t="s">
        <v>148</v>
      </c>
    </row>
    <row r="2084" spans="16:19" x14ac:dyDescent="0.25">
      <c r="P2084">
        <v>374</v>
      </c>
      <c r="Q2084" t="s">
        <v>119</v>
      </c>
      <c r="R2084" t="s">
        <v>116</v>
      </c>
      <c r="S2084" t="s">
        <v>148</v>
      </c>
    </row>
    <row r="2085" spans="16:19" x14ac:dyDescent="0.25">
      <c r="P2085">
        <v>2160</v>
      </c>
      <c r="Q2085" t="s">
        <v>119</v>
      </c>
      <c r="R2085" t="s">
        <v>116</v>
      </c>
      <c r="S2085" t="s">
        <v>148</v>
      </c>
    </row>
    <row r="2086" spans="16:19" x14ac:dyDescent="0.25">
      <c r="P2086">
        <v>2717</v>
      </c>
      <c r="Q2086" t="s">
        <v>119</v>
      </c>
      <c r="R2086" t="s">
        <v>116</v>
      </c>
      <c r="S2086" t="s">
        <v>148</v>
      </c>
    </row>
    <row r="2087" spans="16:19" x14ac:dyDescent="0.25">
      <c r="P2087">
        <v>2500</v>
      </c>
      <c r="Q2087" t="s">
        <v>119</v>
      </c>
      <c r="R2087" t="s">
        <v>116</v>
      </c>
      <c r="S2087" t="s">
        <v>148</v>
      </c>
    </row>
    <row r="2088" spans="16:19" x14ac:dyDescent="0.25">
      <c r="P2088">
        <v>809</v>
      </c>
      <c r="Q2088" t="s">
        <v>119</v>
      </c>
      <c r="R2088" t="s">
        <v>116</v>
      </c>
      <c r="S2088" t="s">
        <v>148</v>
      </c>
    </row>
    <row r="2089" spans="16:19" x14ac:dyDescent="0.25">
      <c r="P2089">
        <v>2609</v>
      </c>
      <c r="Q2089" t="s">
        <v>119</v>
      </c>
      <c r="R2089" t="s">
        <v>116</v>
      </c>
      <c r="S2089" t="s">
        <v>148</v>
      </c>
    </row>
    <row r="2090" spans="16:19" x14ac:dyDescent="0.25">
      <c r="P2090">
        <v>620</v>
      </c>
      <c r="Q2090" t="s">
        <v>119</v>
      </c>
      <c r="R2090" t="s">
        <v>116</v>
      </c>
      <c r="S2090" t="s">
        <v>148</v>
      </c>
    </row>
    <row r="2091" spans="16:19" x14ac:dyDescent="0.25">
      <c r="P2091">
        <v>422</v>
      </c>
      <c r="Q2091" t="s">
        <v>119</v>
      </c>
      <c r="R2091" t="s">
        <v>116</v>
      </c>
      <c r="S2091" t="s">
        <v>148</v>
      </c>
    </row>
    <row r="2092" spans="16:19" x14ac:dyDescent="0.25">
      <c r="P2092">
        <v>2241</v>
      </c>
      <c r="Q2092" t="s">
        <v>119</v>
      </c>
      <c r="R2092" t="s">
        <v>116</v>
      </c>
      <c r="S2092" t="s">
        <v>148</v>
      </c>
    </row>
    <row r="2093" spans="16:19" x14ac:dyDescent="0.25">
      <c r="P2093">
        <v>3355</v>
      </c>
      <c r="Q2093" t="s">
        <v>119</v>
      </c>
      <c r="R2093" t="s">
        <v>116</v>
      </c>
      <c r="S2093" t="s">
        <v>148</v>
      </c>
    </row>
    <row r="2094" spans="16:19" x14ac:dyDescent="0.25">
      <c r="P2094">
        <v>15700</v>
      </c>
      <c r="Q2094" t="s">
        <v>120</v>
      </c>
      <c r="R2094" t="s">
        <v>121</v>
      </c>
      <c r="S2094" t="s">
        <v>149</v>
      </c>
    </row>
    <row r="2095" spans="16:19" x14ac:dyDescent="0.25">
      <c r="P2095">
        <v>104688</v>
      </c>
      <c r="Q2095" t="s">
        <v>122</v>
      </c>
      <c r="R2095" t="s">
        <v>121</v>
      </c>
      <c r="S2095" t="s">
        <v>149</v>
      </c>
    </row>
    <row r="2096" spans="16:19" x14ac:dyDescent="0.25">
      <c r="P2096">
        <v>93744</v>
      </c>
      <c r="Q2096" t="s">
        <v>123</v>
      </c>
      <c r="R2096" t="s">
        <v>121</v>
      </c>
      <c r="S2096" t="s">
        <v>149</v>
      </c>
    </row>
    <row r="2097" spans="16:19" x14ac:dyDescent="0.25">
      <c r="P2097">
        <v>33007</v>
      </c>
      <c r="Q2097" t="s">
        <v>124</v>
      </c>
      <c r="R2097" t="s">
        <v>121</v>
      </c>
      <c r="S2097" t="s">
        <v>149</v>
      </c>
    </row>
    <row r="2098" spans="16:19" x14ac:dyDescent="0.25">
      <c r="P2098">
        <v>53731</v>
      </c>
      <c r="Q2098" t="s">
        <v>125</v>
      </c>
      <c r="R2098" t="s">
        <v>121</v>
      </c>
      <c r="S2098" t="s">
        <v>149</v>
      </c>
    </row>
    <row r="2099" spans="16:19" x14ac:dyDescent="0.25">
      <c r="P2099">
        <v>30958</v>
      </c>
      <c r="Q2099" t="s">
        <v>126</v>
      </c>
      <c r="R2099" t="s">
        <v>121</v>
      </c>
      <c r="S2099" t="s">
        <v>149</v>
      </c>
    </row>
    <row r="2100" spans="16:19" x14ac:dyDescent="0.25">
      <c r="P2100">
        <v>31326</v>
      </c>
      <c r="Q2100" t="s">
        <v>127</v>
      </c>
      <c r="R2100" t="s">
        <v>121</v>
      </c>
      <c r="S2100" t="s">
        <v>149</v>
      </c>
    </row>
    <row r="2101" spans="16:19" x14ac:dyDescent="0.25">
      <c r="P2101">
        <v>24189</v>
      </c>
      <c r="Q2101" t="s">
        <v>128</v>
      </c>
      <c r="R2101" t="s">
        <v>121</v>
      </c>
      <c r="S2101" t="s">
        <v>149</v>
      </c>
    </row>
    <row r="2102" spans="16:19" x14ac:dyDescent="0.25">
      <c r="P2102">
        <v>41382</v>
      </c>
      <c r="Q2102" t="s">
        <v>129</v>
      </c>
      <c r="R2102" t="s">
        <v>121</v>
      </c>
      <c r="S2102" t="s">
        <v>149</v>
      </c>
    </row>
    <row r="2103" spans="16:19" x14ac:dyDescent="0.25">
      <c r="P2103">
        <v>212255</v>
      </c>
      <c r="Q2103" t="s">
        <v>130</v>
      </c>
      <c r="R2103" t="s">
        <v>121</v>
      </c>
      <c r="S2103" t="s">
        <v>149</v>
      </c>
    </row>
    <row r="2104" spans="16:19" x14ac:dyDescent="0.25">
      <c r="P2104">
        <v>106078</v>
      </c>
      <c r="Q2104" t="s">
        <v>131</v>
      </c>
      <c r="R2104" t="s">
        <v>121</v>
      </c>
      <c r="S2104" t="s">
        <v>149</v>
      </c>
    </row>
    <row r="2105" spans="16:19" x14ac:dyDescent="0.25">
      <c r="P2105">
        <v>97909</v>
      </c>
      <c r="Q2105" t="s">
        <v>132</v>
      </c>
      <c r="R2105" t="s">
        <v>121</v>
      </c>
      <c r="S2105" t="s">
        <v>149</v>
      </c>
    </row>
    <row r="2106" spans="16:19" x14ac:dyDescent="0.25">
      <c r="P2106">
        <v>53959</v>
      </c>
      <c r="Q2106" t="s">
        <v>133</v>
      </c>
      <c r="R2106" t="s">
        <v>121</v>
      </c>
      <c r="S2106" t="s">
        <v>149</v>
      </c>
    </row>
    <row r="2107" spans="16:19" x14ac:dyDescent="0.25">
      <c r="P2107">
        <v>92989</v>
      </c>
      <c r="Q2107" t="s">
        <v>134</v>
      </c>
      <c r="R2107" t="s">
        <v>121</v>
      </c>
      <c r="S2107" t="s">
        <v>149</v>
      </c>
    </row>
    <row r="2108" spans="16:19" x14ac:dyDescent="0.25">
      <c r="P2108">
        <v>75635</v>
      </c>
      <c r="Q2108" t="s">
        <v>135</v>
      </c>
      <c r="R2108" t="s">
        <v>121</v>
      </c>
      <c r="S2108" t="s">
        <v>149</v>
      </c>
    </row>
    <row r="2109" spans="16:19" x14ac:dyDescent="0.25">
      <c r="P2109">
        <v>101638</v>
      </c>
      <c r="Q2109" t="s">
        <v>136</v>
      </c>
      <c r="R2109" t="s">
        <v>121</v>
      </c>
      <c r="S2109" t="s">
        <v>149</v>
      </c>
    </row>
    <row r="2110" spans="16:19" x14ac:dyDescent="0.25">
      <c r="P2110">
        <v>56014</v>
      </c>
      <c r="Q2110" t="s">
        <v>137</v>
      </c>
      <c r="R2110" t="s">
        <v>121</v>
      </c>
      <c r="S2110" t="s">
        <v>149</v>
      </c>
    </row>
    <row r="2111" spans="16:19" x14ac:dyDescent="0.25">
      <c r="P2111">
        <v>50865</v>
      </c>
      <c r="Q2111" t="s">
        <v>138</v>
      </c>
      <c r="R2111" t="s">
        <v>121</v>
      </c>
      <c r="S2111" t="s">
        <v>149</v>
      </c>
    </row>
    <row r="2112" spans="16:19" x14ac:dyDescent="0.25">
      <c r="P2112">
        <v>73873</v>
      </c>
      <c r="Q2112" t="s">
        <v>139</v>
      </c>
      <c r="R2112" t="s">
        <v>121</v>
      </c>
      <c r="S2112" t="s">
        <v>149</v>
      </c>
    </row>
    <row r="2113" spans="16:19" x14ac:dyDescent="0.25">
      <c r="P2113">
        <v>84471</v>
      </c>
      <c r="Q2113" t="s">
        <v>140</v>
      </c>
      <c r="R2113" t="s">
        <v>121</v>
      </c>
      <c r="S2113" t="s">
        <v>149</v>
      </c>
    </row>
    <row r="2114" spans="16:19" x14ac:dyDescent="0.25">
      <c r="P2114">
        <v>178185</v>
      </c>
      <c r="Q2114" t="s">
        <v>141</v>
      </c>
      <c r="R2114" t="s">
        <v>121</v>
      </c>
      <c r="S2114" t="s">
        <v>149</v>
      </c>
    </row>
    <row r="2115" spans="16:19" x14ac:dyDescent="0.25">
      <c r="P2115">
        <v>203823</v>
      </c>
      <c r="Q2115" t="s">
        <v>142</v>
      </c>
      <c r="R2115" t="s">
        <v>121</v>
      </c>
      <c r="S2115" t="s">
        <v>149</v>
      </c>
    </row>
    <row r="2116" spans="16:19" x14ac:dyDescent="0.25">
      <c r="P2116">
        <v>115174</v>
      </c>
      <c r="Q2116" t="s">
        <v>143</v>
      </c>
      <c r="R2116" t="s">
        <v>121</v>
      </c>
      <c r="S2116" t="s">
        <v>149</v>
      </c>
    </row>
  </sheetData>
  <sheetProtection sheet="1" objects="1" scenarios="1"/>
  <sortState xmlns:xlrd2="http://schemas.microsoft.com/office/spreadsheetml/2017/richdata2" ref="V2:Z117">
    <sortCondition ref="W2:W117"/>
  </sortState>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5">
    <tabColor rgb="FFFFFF00"/>
    <pageSetUpPr fitToPage="1"/>
  </sheetPr>
  <dimension ref="A1:DX93"/>
  <sheetViews>
    <sheetView topLeftCell="B1" zoomScale="90" zoomScaleNormal="90" workbookViewId="0">
      <pane xSplit="3" ySplit="4" topLeftCell="E5" activePane="bottomRight" state="frozen"/>
      <selection activeCell="E5" sqref="E5"/>
      <selection pane="topRight" activeCell="E5" sqref="E5"/>
      <selection pane="bottomLeft" activeCell="E5" sqref="E5"/>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28" width="15.42578125" style="138" customWidth="1"/>
    <col min="29" max="29" width="27.42578125" style="138" bestFit="1" customWidth="1"/>
    <col min="30" max="30" width="30" style="186" bestFit="1" customWidth="1"/>
    <col min="31" max="31" width="9.5703125" style="138" customWidth="1"/>
    <col min="32" max="32" width="15.5703125" style="138" customWidth="1"/>
    <col min="33" max="33" width="14.140625" style="138" customWidth="1"/>
    <col min="34" max="75" width="11.42578125" style="138" customWidth="1"/>
    <col min="76" max="76" width="12.28515625" style="138" bestFit="1" customWidth="1"/>
    <col min="77" max="77" width="13.140625" style="138" bestFit="1" customWidth="1"/>
    <col min="78" max="78" width="12.85546875" style="138" bestFit="1" customWidth="1"/>
    <col min="79" max="16384" width="11.42578125" style="138"/>
  </cols>
  <sheetData>
    <row r="1" spans="1:78" s="239" customFormat="1" ht="53.25" customHeight="1" x14ac:dyDescent="0.3">
      <c r="A1" s="133" t="s">
        <v>7354</v>
      </c>
      <c r="B1" s="366" t="s">
        <v>7540</v>
      </c>
      <c r="C1" s="366"/>
      <c r="D1" s="366"/>
      <c r="E1" s="381" t="str">
        <f xml:space="preserve"> VLOOKUP(BL,Konstanten!$E$38:$F$46,2,FALSE) &amp;"-Ergebnisse: Indikatoren zu Flächeninanspruchnahme und Versiegelung mit Stand 2022 (Baseline)"</f>
        <v>Oberösterreich-Ergebnisse: Indikatoren zu Flächeninanspruchnahme und Versiegelung mit Stand 2022 (Baseline)</v>
      </c>
      <c r="F1" s="381"/>
      <c r="G1" s="381"/>
      <c r="H1" s="381"/>
      <c r="I1" s="381"/>
      <c r="J1" s="381"/>
      <c r="K1" s="381"/>
      <c r="L1" s="381"/>
      <c r="M1" s="381"/>
      <c r="N1" s="381"/>
      <c r="O1" s="381"/>
      <c r="P1" s="381"/>
      <c r="Q1" s="381"/>
      <c r="R1" s="381"/>
      <c r="S1" s="380"/>
      <c r="T1" s="380"/>
      <c r="U1" s="380"/>
      <c r="V1" s="380"/>
      <c r="W1" s="380"/>
      <c r="X1" s="380"/>
      <c r="Y1" s="380"/>
      <c r="Z1" s="380"/>
      <c r="AA1" s="380"/>
      <c r="AB1" s="256"/>
      <c r="AC1" s="256"/>
      <c r="AD1" s="257"/>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row>
    <row r="2" spans="1:78" s="239" customFormat="1" ht="15" customHeight="1" x14ac:dyDescent="0.3">
      <c r="A2" s="133"/>
      <c r="B2" s="243"/>
      <c r="C2" s="243"/>
      <c r="D2" s="243"/>
      <c r="E2" s="381"/>
      <c r="F2" s="381"/>
      <c r="G2" s="381"/>
      <c r="H2" s="381"/>
      <c r="I2" s="381"/>
      <c r="J2" s="381"/>
      <c r="K2" s="381"/>
      <c r="L2" s="381"/>
      <c r="M2" s="381"/>
      <c r="N2" s="381"/>
      <c r="O2" s="381"/>
      <c r="P2" s="381"/>
      <c r="Q2" s="381"/>
      <c r="R2" s="381"/>
      <c r="S2" s="380"/>
      <c r="T2" s="380"/>
      <c r="U2" s="380"/>
      <c r="V2" s="380"/>
      <c r="W2" s="380"/>
      <c r="X2" s="380"/>
      <c r="Y2" s="380"/>
      <c r="Z2" s="380"/>
      <c r="AA2" s="380"/>
      <c r="AB2" s="256"/>
      <c r="AC2" s="256"/>
      <c r="AD2" s="257"/>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row>
    <row r="3" spans="1:78"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380"/>
      <c r="U3" s="380"/>
      <c r="V3" s="380"/>
      <c r="W3" s="380"/>
      <c r="X3" s="380"/>
      <c r="Y3" s="380"/>
      <c r="Z3" s="380"/>
      <c r="AA3" s="380"/>
      <c r="AB3" s="256"/>
      <c r="AC3" s="256"/>
      <c r="AD3" s="257"/>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row>
    <row r="4" spans="1:78" s="239" customFormat="1" ht="22.5" customHeight="1" x14ac:dyDescent="0.3">
      <c r="A4" s="131"/>
      <c r="B4" s="227"/>
      <c r="C4" s="228"/>
      <c r="D4" s="229"/>
      <c r="E4" s="381"/>
      <c r="F4" s="381"/>
      <c r="G4" s="381"/>
      <c r="H4" s="381"/>
      <c r="I4" s="381"/>
      <c r="J4" s="381"/>
      <c r="K4" s="381"/>
      <c r="L4" s="381"/>
      <c r="M4" s="381"/>
      <c r="N4" s="381"/>
      <c r="O4" s="381"/>
      <c r="P4" s="381"/>
      <c r="Q4" s="381"/>
      <c r="R4" s="381"/>
      <c r="S4" s="380"/>
      <c r="T4" s="380"/>
      <c r="U4" s="380"/>
      <c r="V4" s="380"/>
      <c r="W4" s="380"/>
      <c r="X4" s="380"/>
      <c r="Y4" s="380"/>
      <c r="Z4" s="380"/>
      <c r="AA4" s="380"/>
      <c r="AD4" s="261"/>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row>
    <row r="5" spans="1:78" ht="52.5" customHeight="1" x14ac:dyDescent="0.3">
      <c r="A5" s="133">
        <f>+IF(Einheit = "ha", 1, 0.01)</f>
        <v>0.01</v>
      </c>
      <c r="C5" s="227"/>
      <c r="D5" s="231"/>
      <c r="E5" s="226" t="s">
        <v>7530</v>
      </c>
      <c r="F5" s="140"/>
      <c r="G5" s="140"/>
      <c r="H5" s="140"/>
      <c r="I5" s="140"/>
      <c r="J5" s="1"/>
      <c r="K5" s="1"/>
      <c r="L5" s="1"/>
      <c r="M5" s="1"/>
      <c r="N5" s="1"/>
      <c r="O5" s="1"/>
      <c r="P5" s="1"/>
      <c r="Q5" s="1"/>
      <c r="R5" s="1"/>
      <c r="S5" s="1"/>
      <c r="T5" s="1"/>
      <c r="U5" s="1"/>
      <c r="V5" s="1"/>
      <c r="W5" s="1"/>
      <c r="X5" s="1"/>
      <c r="Y5" s="1"/>
      <c r="Z5" s="1"/>
      <c r="AA5" s="1"/>
      <c r="AB5" s="140"/>
      <c r="AC5" s="140"/>
      <c r="AD5" s="140"/>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row>
    <row r="6" spans="1:78"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368"/>
      <c r="X6" s="368"/>
      <c r="Y6" s="368"/>
      <c r="Z6" s="368"/>
      <c r="AA6" s="368"/>
      <c r="AB6" s="368"/>
      <c r="AC6" s="368"/>
      <c r="AD6" s="368"/>
      <c r="AE6" s="146"/>
      <c r="AF6" s="138"/>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row>
    <row r="7" spans="1:78" s="144" customFormat="1" ht="34.5" hidden="1" customHeight="1" x14ac:dyDescent="0.3">
      <c r="A7" s="133"/>
      <c r="B7" s="227"/>
      <c r="C7" s="230"/>
      <c r="D7" s="231"/>
      <c r="E7" s="139"/>
      <c r="F7" s="141"/>
      <c r="G7" s="141"/>
      <c r="H7" s="141"/>
      <c r="I7" s="142"/>
      <c r="J7" s="131">
        <f>Fak_Einheit/IF(denom_1="absolut",1,Fak_Einheit*OÖ!FI_gesamt)</f>
        <v>0.01</v>
      </c>
      <c r="K7" s="131">
        <f>Fak_Einheit/IF(denom_1="absolut",1,Fak_Einheit*OÖ!FI_gesamt)</f>
        <v>0.01</v>
      </c>
      <c r="L7" s="131">
        <f>Fak_Einheit/IF(denom_1="absolut",1,Fak_Einheit*OÖ!FI_gesamt)</f>
        <v>0.01</v>
      </c>
      <c r="M7" s="131">
        <f>Fak_Einheit/IF(denom_1="absolut",1,Fak_Einheit*OÖ!FI_gesamt)</f>
        <v>0.01</v>
      </c>
      <c r="N7" s="131">
        <f>Fak_Einheit/IF(denom_1="absolut",1,Fak_Einheit*OÖ!FI_gesamt)</f>
        <v>0.01</v>
      </c>
      <c r="O7" s="131">
        <f>Fak_Einheit/IF(denom_1="absolut",1,Fak_Einheit*OÖ!FI_gesamt)</f>
        <v>0.01</v>
      </c>
      <c r="P7" s="131">
        <f>Fak_Einheit/IF(denom_1="absolut",1,Fak_Einheit*OÖ!FI_gesamt)</f>
        <v>0.01</v>
      </c>
      <c r="Q7" s="131">
        <f>Fak_Einheit/IF(denom_1="absolut",1,Fak_Einheit*OÖ!FI_gesamt)</f>
        <v>0.01</v>
      </c>
      <c r="R7" s="131">
        <f>Fak_Einheit/IF(denom_1="absolut",1,Fak_Einheit*OÖ!FI_gesamt)</f>
        <v>0.01</v>
      </c>
      <c r="S7" s="131">
        <f>Fak_Einheit/IF(denom_1="absolut",1,Fak_Einheit*OÖ!FI_gesamt)</f>
        <v>0.01</v>
      </c>
      <c r="T7" s="131">
        <f>Fak_Einheit/IF(denom_1="absolut",1,Fak_Einheit*OÖ!FI_gesamt)</f>
        <v>0.01</v>
      </c>
      <c r="U7" s="131">
        <f>Fak_Einheit/IF(denom_1="absolut",1,Fak_Einheit*OÖ!FI_gesamt)</f>
        <v>0.01</v>
      </c>
      <c r="V7" s="131">
        <f>Fak_Einheit/IF(denom_1="absolut",1,Fak_Einheit*OÖ!FI_gesamt)</f>
        <v>0.01</v>
      </c>
      <c r="W7" s="131">
        <f>Fak_Einheit/IF(denom_1="absolut",1,Fak_Einheit*OÖ!FI_gesamt)</f>
        <v>0.01</v>
      </c>
      <c r="X7" s="131">
        <f>Fak_Einheit/IF(denom_1="absolut",1,Fak_Einheit*OÖ!FI_gesamt)</f>
        <v>0.01</v>
      </c>
      <c r="Y7" s="131">
        <f>Fak_Einheit/IF(denom_1="absolut",1,Fak_Einheit*OÖ!FI_gesamt)</f>
        <v>0.01</v>
      </c>
      <c r="Z7" s="131">
        <f>Fak_Einheit/IF(denom_1="absolut",1,Fak_Einheit*OÖ!FI_gesamt)</f>
        <v>0.01</v>
      </c>
      <c r="AA7" s="131">
        <f>Fak_Einheit/IF(denom_1="absolut",1,Fak_Einheit*OÖ!FI_gesamt)</f>
        <v>0.01</v>
      </c>
      <c r="AB7" s="131">
        <f>Fak_Einheit/IF(denom_1="absolut",1,Fak_Einheit*OÖ!FI_gesamt)</f>
        <v>0.01</v>
      </c>
      <c r="AC7" s="143"/>
      <c r="AD7" s="145"/>
      <c r="AE7" s="146"/>
      <c r="AF7" s="138"/>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row>
    <row r="8" spans="1:78" s="270" customFormat="1" ht="16.5" hidden="1" x14ac:dyDescent="0.25">
      <c r="B8" s="271"/>
      <c r="C8" s="272"/>
      <c r="D8" s="271"/>
      <c r="H8" s="273" t="s">
        <v>7523</v>
      </c>
      <c r="J8" s="270">
        <v>9116.1934813212192</v>
      </c>
      <c r="K8" s="270">
        <v>2727.3691252971098</v>
      </c>
      <c r="L8" s="270">
        <v>6257.9640835352302</v>
      </c>
      <c r="M8" s="270">
        <v>7429.2940079425698</v>
      </c>
      <c r="N8" s="270">
        <v>6018.7964814016204</v>
      </c>
      <c r="O8" s="270">
        <v>5749.4209885443597</v>
      </c>
      <c r="P8" s="270">
        <v>8607.4635622135702</v>
      </c>
      <c r="Q8" s="270">
        <v>5544.6928149314099</v>
      </c>
      <c r="R8" s="270">
        <v>5722.6036525660902</v>
      </c>
      <c r="S8" s="270">
        <v>5799.5152691058202</v>
      </c>
      <c r="T8" s="270">
        <v>5699.9902967150501</v>
      </c>
      <c r="U8" s="270">
        <v>5301.2276156952603</v>
      </c>
      <c r="V8" s="270">
        <v>1304.70291968375</v>
      </c>
      <c r="W8" s="270">
        <v>2417.4027842891901</v>
      </c>
      <c r="X8" s="270">
        <v>5393.7529860539198</v>
      </c>
      <c r="Y8" s="270">
        <v>6268.6739718388098</v>
      </c>
      <c r="Z8" s="270">
        <v>10530.63040403</v>
      </c>
      <c r="AA8" s="270">
        <v>6112.8012053638304</v>
      </c>
      <c r="AB8" s="270">
        <v>106002.49565052881</v>
      </c>
      <c r="AE8" s="382"/>
    </row>
    <row r="9" spans="1:78" s="274" customFormat="1" ht="93" customHeight="1" x14ac:dyDescent="0.4">
      <c r="B9" s="272"/>
      <c r="C9" s="272"/>
      <c r="D9" s="272"/>
      <c r="F9" s="275"/>
      <c r="G9" s="275"/>
      <c r="H9" s="275"/>
      <c r="I9" s="275"/>
      <c r="J9" s="278" t="s">
        <v>78</v>
      </c>
      <c r="K9" s="278" t="s">
        <v>79</v>
      </c>
      <c r="L9" s="278" t="s">
        <v>80</v>
      </c>
      <c r="M9" s="278" t="s">
        <v>81</v>
      </c>
      <c r="N9" s="278" t="s">
        <v>82</v>
      </c>
      <c r="O9" s="278" t="s">
        <v>83</v>
      </c>
      <c r="P9" s="278" t="s">
        <v>84</v>
      </c>
      <c r="Q9" s="278" t="s">
        <v>85</v>
      </c>
      <c r="R9" s="278" t="s">
        <v>86</v>
      </c>
      <c r="S9" s="278" t="s">
        <v>87</v>
      </c>
      <c r="T9" s="278" t="s">
        <v>88</v>
      </c>
      <c r="U9" s="278" t="s">
        <v>74</v>
      </c>
      <c r="V9" s="278" t="s">
        <v>76</v>
      </c>
      <c r="W9" s="278" t="s">
        <v>77</v>
      </c>
      <c r="X9" s="278" t="s">
        <v>89</v>
      </c>
      <c r="Y9" s="278" t="s">
        <v>90</v>
      </c>
      <c r="Z9" s="278" t="s">
        <v>91</v>
      </c>
      <c r="AA9" s="278" t="s">
        <v>92</v>
      </c>
      <c r="AB9" s="279" t="str">
        <f>OÖ!BL</f>
        <v>OÖ</v>
      </c>
      <c r="AE9" s="382"/>
      <c r="AF9" s="276"/>
      <c r="AG9" s="276"/>
      <c r="BX9" s="274" t="s">
        <v>7524</v>
      </c>
      <c r="BY9" s="274" t="s">
        <v>7525</v>
      </c>
      <c r="BZ9" s="274" t="s">
        <v>7526</v>
      </c>
    </row>
    <row r="10" spans="1:78" s="156" customFormat="1" ht="19.5" customHeight="1" thickBot="1" x14ac:dyDescent="0.45">
      <c r="B10" s="236"/>
      <c r="C10" s="237"/>
      <c r="D10" s="238"/>
      <c r="F10" s="265"/>
      <c r="G10" s="157"/>
      <c r="I10" s="192" t="s">
        <v>7515</v>
      </c>
      <c r="J10" s="286">
        <f>9116.19348132122*(+OÖ!Fak_1)</f>
        <v>91.161934813212198</v>
      </c>
      <c r="K10" s="286">
        <f>2727.36912529711*(+OÖ!Fak_1)</f>
        <v>27.273691252971098</v>
      </c>
      <c r="L10" s="286">
        <f>6257.96408353523*(+OÖ!Fak_1)</f>
        <v>62.579640835352301</v>
      </c>
      <c r="M10" s="286">
        <f>7429.29400794257*(+OÖ!Fak_1)</f>
        <v>74.292940079425705</v>
      </c>
      <c r="N10" s="286">
        <f>6018.79648140162*(+OÖ!Fak_1)</f>
        <v>60.187964814016205</v>
      </c>
      <c r="O10" s="286">
        <f>5749.42098854436*(+OÖ!Fak_1)</f>
        <v>57.494209885443595</v>
      </c>
      <c r="P10" s="286">
        <f>8607.46356221357*(+OÖ!Fak_1)</f>
        <v>86.074635622135702</v>
      </c>
      <c r="Q10" s="286">
        <f>5544.69281493141*(+OÖ!Fak_1)</f>
        <v>55.446928149314097</v>
      </c>
      <c r="R10" s="286">
        <f>5722.60365256609*(+OÖ!Fak_1)</f>
        <v>57.226036525660902</v>
      </c>
      <c r="S10" s="286">
        <f>5799.51526910582*(+OÖ!Fak_1)</f>
        <v>57.995152691058202</v>
      </c>
      <c r="T10" s="286">
        <f>5699.99029671505*(+OÖ!Fak_1)</f>
        <v>56.999902967150504</v>
      </c>
      <c r="U10" s="286">
        <f>5301.22761569526*(+OÖ!Fak_1)</f>
        <v>53.012276156952602</v>
      </c>
      <c r="V10" s="286">
        <f>1304.70291968375*(+OÖ!Fak_1)</f>
        <v>13.047029196837499</v>
      </c>
      <c r="W10" s="286">
        <f>2417.40278428919*(+OÖ!Fak_1)</f>
        <v>24.174027842891903</v>
      </c>
      <c r="X10" s="286">
        <f>5393.75298605392*(+OÖ!Fak_1)</f>
        <v>53.9375298605392</v>
      </c>
      <c r="Y10" s="286">
        <f>6268.67397183881*(+OÖ!Fak_1)</f>
        <v>62.686739718388097</v>
      </c>
      <c r="Z10" s="286">
        <f>10530.63040403*(+OÖ!Fak_1)</f>
        <v>105.30630404030001</v>
      </c>
      <c r="AA10" s="286">
        <f>6112.80120536383*(+OÖ!Fak_1)</f>
        <v>61.128012053638308</v>
      </c>
      <c r="AB10" s="287">
        <f>106002.495650529*(+OÖ!Fak_1)</f>
        <v>1060.02495650529</v>
      </c>
      <c r="AC10" s="172" t="str">
        <f t="shared" ref="AC10:AC15" si="0">IF(denom_1="absolut",Einheit,"% FI gesamt")</f>
        <v>km²</v>
      </c>
      <c r="AD10" s="160"/>
      <c r="AE10" s="161">
        <f>+BY10/BX10</f>
        <v>0.54855110196369994</v>
      </c>
      <c r="AF10" s="364" t="s">
        <v>7527</v>
      </c>
      <c r="AG10" s="163"/>
      <c r="AH10" s="159"/>
      <c r="BX10" s="164">
        <f>+AB10/$AB$7</f>
        <v>106002.495650529</v>
      </c>
      <c r="BY10" s="164">
        <f>+AB25/$AB$23</f>
        <v>58147.785799999998</v>
      </c>
      <c r="BZ10" s="164">
        <f>+BX10-BY10</f>
        <v>47854.709850529005</v>
      </c>
    </row>
    <row r="11" spans="1:78" s="147" customFormat="1" ht="19.5" customHeight="1" thickTop="1" thickBot="1" x14ac:dyDescent="0.35">
      <c r="B11" s="227"/>
      <c r="C11" s="228"/>
      <c r="D11" s="235"/>
      <c r="E11" s="148"/>
      <c r="F11" s="265"/>
      <c r="I11" s="152" t="s">
        <v>25</v>
      </c>
      <c r="J11" s="288">
        <f>2386.58954017074*(+OÖ!Fak_1)</f>
        <v>23.865895401707398</v>
      </c>
      <c r="K11" s="288">
        <f>707.201691837893*(+OÖ!Fak_1)</f>
        <v>7.0720169183789299</v>
      </c>
      <c r="L11" s="288">
        <f>2393.73253777866*(+OÖ!Fak_1)</f>
        <v>23.937325377786603</v>
      </c>
      <c r="M11" s="288">
        <f>1920.04477871511*(+OÖ!Fak_1)</f>
        <v>19.200447787151099</v>
      </c>
      <c r="N11" s="288">
        <f>1791.8907036444*(+OÖ!Fak_1)</f>
        <v>17.918907036444001</v>
      </c>
      <c r="O11" s="288">
        <f>1984.56726830817*(+OÖ!Fak_1)</f>
        <v>19.845672683081702</v>
      </c>
      <c r="P11" s="288">
        <f>2185.60416122055*(+OÖ!Fak_1)</f>
        <v>21.856041612205498</v>
      </c>
      <c r="Q11" s="288">
        <f>1788.21782503286*(+OÖ!Fak_1)</f>
        <v>17.8821782503286</v>
      </c>
      <c r="R11" s="288">
        <f>1750.29610062421*(+OÖ!Fak_1)</f>
        <v>17.502961006242103</v>
      </c>
      <c r="S11" s="288">
        <f>1878.90505581364*(+OÖ!Fak_1)</f>
        <v>18.789050558136402</v>
      </c>
      <c r="T11" s="288">
        <f>1801.23933654431*(+OÖ!Fak_1)</f>
        <v>18.012393365443099</v>
      </c>
      <c r="U11" s="288">
        <f>1290.32491667626*(+OÖ!Fak_1)</f>
        <v>12.903249166762601</v>
      </c>
      <c r="V11" s="288">
        <f>238.723591463586*(+OÖ!Fak_1)</f>
        <v>2.3872359146358599</v>
      </c>
      <c r="W11" s="288">
        <f>680.005244931771*(+OÖ!Fak_1)</f>
        <v>6.8000524493177101</v>
      </c>
      <c r="X11" s="288">
        <f>1737.18727940368*(+OÖ!Fak_1)</f>
        <v>17.371872794036801</v>
      </c>
      <c r="Y11" s="288">
        <f>1765.71335233575*(+OÖ!Fak_1)</f>
        <v>17.657133523357501</v>
      </c>
      <c r="Z11" s="288">
        <f>2792.08743468838*(+OÖ!Fak_1)</f>
        <v>27.920874346883803</v>
      </c>
      <c r="AA11" s="288">
        <f>1754.51659390815*(+OÖ!Fak_1)</f>
        <v>17.5451659390815</v>
      </c>
      <c r="AB11" s="289">
        <f>30846.8474130981*(+OÖ!Fak_1)</f>
        <v>308.46847413098101</v>
      </c>
      <c r="AC11" s="172" t="str">
        <f t="shared" si="0"/>
        <v>km²</v>
      </c>
      <c r="AD11" s="160"/>
      <c r="AE11" s="161">
        <f t="shared" ref="AE11:AE15" si="1">+BY11/BX11</f>
        <v>0.7637797692737941</v>
      </c>
      <c r="AF11" s="364"/>
      <c r="AG11" s="163"/>
      <c r="AH11" s="159"/>
      <c r="BX11" s="164">
        <f t="shared" ref="BX11:BX15" si="2">+AB11/$AB$7</f>
        <v>30846.847413098101</v>
      </c>
      <c r="BY11" s="164">
        <f t="shared" ref="BY11:BY15" si="3">+AB26/$AB$23</f>
        <v>23560.198</v>
      </c>
      <c r="BZ11" s="164">
        <f t="shared" ref="BZ11:BZ15" si="4">+BX11-BY11</f>
        <v>7286.6494130981009</v>
      </c>
    </row>
    <row r="12" spans="1:78" s="147" customFormat="1" ht="19.5" customHeight="1" thickTop="1" thickBot="1" x14ac:dyDescent="0.35">
      <c r="A12" s="167"/>
      <c r="B12" s="227"/>
      <c r="C12" s="228"/>
      <c r="D12" s="235"/>
      <c r="E12" s="148"/>
      <c r="F12" s="265"/>
      <c r="I12" s="152" t="s">
        <v>7410</v>
      </c>
      <c r="J12" s="288">
        <f>4707.91678267146*(+OÖ!Fak_1)</f>
        <v>47.079167826714603</v>
      </c>
      <c r="K12" s="288">
        <f>1289.3013939357*(+OÖ!Fak_1)</f>
        <v>12.893013939356999</v>
      </c>
      <c r="L12" s="288">
        <f>2213.38838712786*(+OÖ!Fak_1)</f>
        <v>22.133883871278599</v>
      </c>
      <c r="M12" s="288">
        <f>4068.11214397854*(+OÖ!Fak_1)</f>
        <v>40.6811214397854</v>
      </c>
      <c r="N12" s="288">
        <f>2888.7685395914*(+OÖ!Fak_1)</f>
        <v>28.887685395914001</v>
      </c>
      <c r="O12" s="288">
        <f>2330.61144727799*(+OÖ!Fak_1)</f>
        <v>23.3061144727799</v>
      </c>
      <c r="P12" s="288">
        <f>5135.29390850958*(+OÖ!Fak_1)</f>
        <v>51.352939085095805</v>
      </c>
      <c r="Q12" s="288">
        <f>2454.9089124485*(+OÖ!Fak_1)</f>
        <v>24.549089124485</v>
      </c>
      <c r="R12" s="288">
        <f>2727.35423399352*(+OÖ!Fak_1)</f>
        <v>27.273542339935204</v>
      </c>
      <c r="S12" s="288">
        <f>2451.31628598242*(+OÖ!Fak_1)</f>
        <v>24.513162859824202</v>
      </c>
      <c r="T12" s="288">
        <f>2552.6045958014*(+OÖ!Fak_1)</f>
        <v>25.526045958014002</v>
      </c>
      <c r="U12" s="288">
        <f>3308.1317012551*(+OÖ!Fak_1)</f>
        <v>33.081317012550997</v>
      </c>
      <c r="V12" s="288">
        <f>927.928752892883*(+OÖ!Fak_1)</f>
        <v>9.2792875289288315</v>
      </c>
      <c r="W12" s="288">
        <f>1489.04817877392*(+OÖ!Fak_1)</f>
        <v>14.8904817877392</v>
      </c>
      <c r="X12" s="288">
        <f>2452.30318757424*(+OÖ!Fak_1)</f>
        <v>24.523031875742401</v>
      </c>
      <c r="Y12" s="288">
        <f>2964.79393947064*(+OÖ!Fak_1)</f>
        <v>29.647939394706402</v>
      </c>
      <c r="Z12" s="288">
        <f>5779.08204593816*(+OÖ!Fak_1)</f>
        <v>57.790820459381607</v>
      </c>
      <c r="AA12" s="288">
        <f>3162.43354364796*(+OÖ!Fak_1)</f>
        <v>31.624335436479601</v>
      </c>
      <c r="AB12" s="289">
        <f>52903.2979808713*(+OÖ!Fak_1)</f>
        <v>529.03297980871298</v>
      </c>
      <c r="AC12" s="172" t="str">
        <f t="shared" si="0"/>
        <v>km²</v>
      </c>
      <c r="AD12" s="160"/>
      <c r="AE12" s="161">
        <f t="shared" si="1"/>
        <v>0.47677795265467465</v>
      </c>
      <c r="AF12" s="364"/>
      <c r="AG12" s="163"/>
      <c r="AH12" s="159"/>
      <c r="BX12" s="164">
        <f t="shared" si="2"/>
        <v>52903.297980871299</v>
      </c>
      <c r="BY12" s="164">
        <f t="shared" si="3"/>
        <v>25223.126100000001</v>
      </c>
      <c r="BZ12" s="164">
        <f t="shared" si="4"/>
        <v>27680.171880871298</v>
      </c>
    </row>
    <row r="13" spans="1:78" s="147" customFormat="1" ht="19.5" customHeight="1" thickTop="1" thickBot="1" x14ac:dyDescent="0.35">
      <c r="B13" s="227"/>
      <c r="C13" s="228"/>
      <c r="D13" s="235"/>
      <c r="E13" s="148"/>
      <c r="F13" s="265"/>
      <c r="I13" s="152" t="s">
        <v>7409</v>
      </c>
      <c r="J13" s="288">
        <f>1469.05111000498*(+OÖ!Fak_1)</f>
        <v>14.6905111000498</v>
      </c>
      <c r="K13" s="288">
        <f>475.427816720572*(+OÖ!Fak_1)</f>
        <v>4.7542781672057206</v>
      </c>
      <c r="L13" s="288">
        <f>1350.75128532651*(+OÖ!Fak_1)</f>
        <v>13.5075128532651</v>
      </c>
      <c r="M13" s="288">
        <f>832.309257422775*(+OÖ!Fak_1)</f>
        <v>8.3230925742277506</v>
      </c>
      <c r="N13" s="288">
        <f>1048.26608387564*(+OÖ!Fak_1)</f>
        <v>10.4826608387564</v>
      </c>
      <c r="O13" s="288">
        <f>1015.74939851726*(+OÖ!Fak_1)</f>
        <v>10.1574939851726</v>
      </c>
      <c r="P13" s="288">
        <f>581.808066190746*(+OÖ!Fak_1)</f>
        <v>5.8180806619074596</v>
      </c>
      <c r="Q13" s="288">
        <f>905.004685874352*(+OÖ!Fak_1)</f>
        <v>9.0500468587435208</v>
      </c>
      <c r="R13" s="288">
        <f>954.89402664272*(+OÖ!Fak_1)</f>
        <v>9.5489402664272003</v>
      </c>
      <c r="S13" s="288">
        <f>1162.12983012811*(+OÖ!Fak_1)</f>
        <v>11.621298301281099</v>
      </c>
      <c r="T13" s="288">
        <f>1053.29940341622*(+OÖ!Fak_1)</f>
        <v>10.532994034162201</v>
      </c>
      <c r="U13" s="288">
        <f>180.824957383173*(+OÖ!Fak_1)</f>
        <v>1.8082495738317301</v>
      </c>
      <c r="V13" s="288">
        <f>32.6965799795161*(+OÖ!Fak_1)</f>
        <v>0.32696579979516105</v>
      </c>
      <c r="W13" s="288">
        <f>102.592049442291*(+OÖ!Fak_1)</f>
        <v>1.0259204944229101</v>
      </c>
      <c r="X13" s="288">
        <f>828.667407133479*(+OÖ!Fak_1)</f>
        <v>8.2866740713347902</v>
      </c>
      <c r="Y13" s="288">
        <f>1081.58715731671*(+OÖ!Fak_1)</f>
        <v>10.815871573167101</v>
      </c>
      <c r="Z13" s="288">
        <f>1135.76141678524*(+OÖ!Fak_1)</f>
        <v>11.3576141678524</v>
      </c>
      <c r="AA13" s="288">
        <f>823.687711110383*(+OÖ!Fak_1)</f>
        <v>8.2368771111038299</v>
      </c>
      <c r="AB13" s="289">
        <f>15034.5082432707*(+OÖ!Fak_1)</f>
        <v>150.34508243270702</v>
      </c>
      <c r="AC13" s="172" t="str">
        <f t="shared" si="0"/>
        <v>km²</v>
      </c>
      <c r="AD13" s="160"/>
      <c r="AE13" s="161">
        <f t="shared" si="1"/>
        <v>0.55216812320520714</v>
      </c>
      <c r="AF13" s="364"/>
      <c r="AG13" s="163"/>
      <c r="AH13" s="159"/>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4">
        <f t="shared" si="2"/>
        <v>15034.508243270702</v>
      </c>
      <c r="BY13" s="164">
        <f t="shared" si="3"/>
        <v>8301.5761999999995</v>
      </c>
      <c r="BZ13" s="164">
        <f t="shared" si="4"/>
        <v>6732.9320432707027</v>
      </c>
    </row>
    <row r="14" spans="1:78" s="147" customFormat="1" ht="19.5" customHeight="1" thickTop="1" x14ac:dyDescent="0.3">
      <c r="B14" s="227"/>
      <c r="C14" s="228"/>
      <c r="D14" s="235"/>
      <c r="E14" s="148"/>
      <c r="F14" s="265"/>
      <c r="I14" s="152" t="s">
        <v>7549</v>
      </c>
      <c r="J14" s="288">
        <f>325.467942754698*(+OÖ!Fak_1)</f>
        <v>3.2546794275469804</v>
      </c>
      <c r="K14" s="288">
        <f>102.739748891169*(+OÖ!Fak_1)</f>
        <v>1.0273974889116899</v>
      </c>
      <c r="L14" s="288">
        <f>239.422258003228*(+OÖ!Fak_1)</f>
        <v>2.3942225800322801</v>
      </c>
      <c r="M14" s="288">
        <f>367.308458135839*(+OÖ!Fak_1)</f>
        <v>3.6730845813583897</v>
      </c>
      <c r="N14" s="288">
        <f>223.405530622658*(+OÖ!Fak_1)</f>
        <v>2.2340553062265802</v>
      </c>
      <c r="O14" s="288">
        <f>223.308635217067*(+OÖ!Fak_1)</f>
        <v>2.2330863521706701</v>
      </c>
      <c r="P14" s="288">
        <f>608.873962582809*(+OÖ!Fak_1)</f>
        <v>6.0887396258280901</v>
      </c>
      <c r="Q14" s="288">
        <f>281.347263323155*(+OÖ!Fak_1)</f>
        <v>2.8134726332315503</v>
      </c>
      <c r="R14" s="288">
        <f>160.633279478193*(+OÖ!Fak_1)</f>
        <v>1.6063327947819301</v>
      </c>
      <c r="S14" s="288">
        <f>247.431114829764*(+OÖ!Fak_1)</f>
        <v>2.4743111482976401</v>
      </c>
      <c r="T14" s="288">
        <f>218.667130730708*(+OÖ!Fak_1)</f>
        <v>2.1866713073070803</v>
      </c>
      <c r="U14" s="288">
        <f>521.880753742313*(+OÖ!Fak_1)</f>
        <v>5.21880753742313</v>
      </c>
      <c r="V14" s="288">
        <f>94.6083395806922*(+OÖ!Fak_1)</f>
        <v>0.94608339580692202</v>
      </c>
      <c r="W14" s="288">
        <f>123.887966671322*(+OÖ!Fak_1)</f>
        <v>1.23887966671322</v>
      </c>
      <c r="X14" s="288">
        <f>193.681563896005*(+OÖ!Fak_1)</f>
        <v>1.9368156389600502</v>
      </c>
      <c r="Y14" s="288">
        <f>396.510379877149*(+OÖ!Fak_1)</f>
        <v>3.9651037987714899</v>
      </c>
      <c r="Z14" s="288">
        <f>669.735774261506*(+OÖ!Fak_1)</f>
        <v>6.6973577426150603</v>
      </c>
      <c r="AA14" s="288">
        <f>223.162187344485*(+OÖ!Fak_1)</f>
        <v>2.2316218734448503</v>
      </c>
      <c r="AB14" s="290">
        <f>5222.07228994276*(+OÖ!Fak_1)</f>
        <v>52.220722899427599</v>
      </c>
      <c r="AC14" s="172" t="str">
        <f t="shared" si="0"/>
        <v>km²</v>
      </c>
      <c r="AD14" s="160"/>
      <c r="AE14" s="161">
        <f t="shared" si="1"/>
        <v>0.16769691252389751</v>
      </c>
      <c r="AF14" s="364"/>
      <c r="AG14" s="163"/>
      <c r="AH14" s="159"/>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4">
        <f t="shared" si="2"/>
        <v>5222.0722899427601</v>
      </c>
      <c r="BY14" s="164">
        <f t="shared" si="3"/>
        <v>875.72540000000015</v>
      </c>
      <c r="BZ14" s="164">
        <f t="shared" si="4"/>
        <v>4346.3468899427598</v>
      </c>
    </row>
    <row r="15" spans="1:78" s="147" customFormat="1" ht="19.5" customHeight="1" x14ac:dyDescent="0.3">
      <c r="B15" s="227"/>
      <c r="C15" s="228"/>
      <c r="D15" s="235"/>
      <c r="E15" s="148"/>
      <c r="F15" s="265"/>
      <c r="I15" s="152" t="s">
        <v>7519</v>
      </c>
      <c r="J15" s="288">
        <f>227.168105719347*(+OÖ!Fak_1)</f>
        <v>2.27168105719347</v>
      </c>
      <c r="K15" s="288">
        <f>152.698473911785*(+OÖ!Fak_1)</f>
        <v>1.5269847391178499</v>
      </c>
      <c r="L15" s="288">
        <f>60.6696152989626*(+OÖ!Fak_1)</f>
        <v>0.60669615298962598</v>
      </c>
      <c r="M15" s="288">
        <f>241.519369690309*(+OÖ!Fak_1)</f>
        <v>2.4151936969030898</v>
      </c>
      <c r="N15" s="288">
        <f>66.4656236675306*(+OÖ!Fak_1)</f>
        <v>0.66465623667530593</v>
      </c>
      <c r="O15" s="288">
        <f>195.184239223871*(+OÖ!Fak_1)</f>
        <v>1.95184239223871</v>
      </c>
      <c r="P15" s="288">
        <f>95.883463709874*(+OÖ!Fak_1)</f>
        <v>0.95883463709873995</v>
      </c>
      <c r="Q15" s="288">
        <f>115.214128252549*(+OÖ!Fak_1)</f>
        <v>1.15214128252549</v>
      </c>
      <c r="R15" s="288">
        <f>129.426011827451*(+OÖ!Fak_1)</f>
        <v>1.2942601182745099</v>
      </c>
      <c r="S15" s="288">
        <f>59.7329823518835*(+OÖ!Fak_1)</f>
        <v>0.59732982351883501</v>
      </c>
      <c r="T15" s="288">
        <f>74.1798302223974*(+OÖ!Fak_1)</f>
        <v>0.74179830222397403</v>
      </c>
      <c r="U15" s="288">
        <f>0.0652866384064863*(+OÖ!Fak_1)</f>
        <v>6.5286638406486302E-4</v>
      </c>
      <c r="V15" s="288">
        <f>10.7456557670742*(+OÖ!Fak_1)</f>
        <v>0.10745655767074201</v>
      </c>
      <c r="W15" s="288">
        <f>21.8693444698837*(+OÖ!Fak_1)</f>
        <v>0.218693444698837</v>
      </c>
      <c r="X15" s="288">
        <f>181.91354804651*(+OÖ!Fak_1)</f>
        <v>1.8191354804650999</v>
      </c>
      <c r="Y15" s="288">
        <f>60.0691428385621*(+OÖ!Fak_1)</f>
        <v>0.60069142838562106</v>
      </c>
      <c r="Z15" s="288">
        <f>153.963732356694*(+OÖ!Fak_1)</f>
        <v>1.5396373235669401</v>
      </c>
      <c r="AA15" s="288">
        <f>149.00116935285*(+OÖ!Fak_1)</f>
        <v>1.4900116935285002</v>
      </c>
      <c r="AB15" s="290">
        <f>1995.76972334594*(+OÖ!Fak_1)</f>
        <v>19.957697233459402</v>
      </c>
      <c r="AC15" s="172" t="str">
        <f t="shared" si="0"/>
        <v>km²</v>
      </c>
      <c r="AD15" s="160"/>
      <c r="AE15" s="161">
        <f t="shared" si="1"/>
        <v>9.3778404297176654E-2</v>
      </c>
      <c r="AF15" s="364"/>
      <c r="AG15" s="163"/>
      <c r="AH15" s="159"/>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4">
        <f t="shared" si="2"/>
        <v>1995.7697233459403</v>
      </c>
      <c r="BY15" s="164">
        <f t="shared" si="3"/>
        <v>187.1601</v>
      </c>
      <c r="BZ15" s="164">
        <f t="shared" si="4"/>
        <v>1808.6096233459402</v>
      </c>
    </row>
    <row r="16" spans="1:78" s="147" customFormat="1" ht="21" customHeight="1" x14ac:dyDescent="0.3">
      <c r="B16" s="227"/>
      <c r="C16" s="228"/>
      <c r="D16" s="235"/>
      <c r="E16" s="148"/>
      <c r="F16" s="265"/>
      <c r="I16" s="152"/>
      <c r="J16" s="168"/>
      <c r="K16" s="168"/>
      <c r="L16" s="168"/>
      <c r="M16" s="168"/>
      <c r="N16" s="168"/>
      <c r="O16" s="168"/>
      <c r="P16" s="168"/>
      <c r="Q16" s="168"/>
      <c r="R16" s="168"/>
      <c r="S16" s="168"/>
      <c r="T16" s="168"/>
      <c r="U16" s="168"/>
      <c r="V16" s="168"/>
      <c r="W16" s="168"/>
      <c r="X16" s="168"/>
      <c r="Y16" s="168"/>
      <c r="Z16" s="168"/>
      <c r="AA16" s="168"/>
      <c r="AB16" s="170"/>
      <c r="AC16" s="172"/>
      <c r="AD16" s="168"/>
    </row>
    <row r="17" spans="2:32"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371"/>
      <c r="V17" s="371"/>
      <c r="W17" s="371"/>
      <c r="X17" s="371"/>
      <c r="Y17" s="371"/>
      <c r="Z17" s="371"/>
      <c r="AA17" s="371"/>
      <c r="AB17" s="371"/>
      <c r="AC17" s="172"/>
      <c r="AD17" s="168"/>
    </row>
    <row r="18" spans="2:32" s="147" customFormat="1" ht="42.75" customHeight="1" x14ac:dyDescent="0.3">
      <c r="B18" s="227"/>
      <c r="C18" s="228"/>
      <c r="D18" s="235"/>
      <c r="E18" s="148"/>
      <c r="F18" s="265"/>
      <c r="J18" s="173">
        <f t="shared" ref="J18:AB18" si="5">FI_gesamt/EW*10000</f>
        <v>846.19179828845824</v>
      </c>
      <c r="K18" s="173">
        <f t="shared" si="5"/>
        <v>816.04007100027218</v>
      </c>
      <c r="L18" s="173">
        <f t="shared" si="5"/>
        <v>931.7576766277906</v>
      </c>
      <c r="M18" s="173">
        <f t="shared" si="5"/>
        <v>725.97781872698192</v>
      </c>
      <c r="N18" s="173">
        <f t="shared" si="5"/>
        <v>916.6610541275694</v>
      </c>
      <c r="O18" s="173">
        <f t="shared" si="5"/>
        <v>999.81236215013644</v>
      </c>
      <c r="P18" s="173">
        <f t="shared" si="5"/>
        <v>560.34161370042318</v>
      </c>
      <c r="Q18" s="173">
        <f t="shared" si="5"/>
        <v>794.06143969115249</v>
      </c>
      <c r="R18" s="173">
        <f t="shared" si="5"/>
        <v>919.26422485479827</v>
      </c>
      <c r="S18" s="173">
        <f t="shared" si="5"/>
        <v>1020.3587862179915</v>
      </c>
      <c r="T18" s="173">
        <f t="shared" si="5"/>
        <v>991.35438313565055</v>
      </c>
      <c r="U18" s="173">
        <f t="shared" si="5"/>
        <v>255.79273117078947</v>
      </c>
      <c r="V18" s="173">
        <f t="shared" si="5"/>
        <v>344.43964193451518</v>
      </c>
      <c r="W18" s="173">
        <f t="shared" si="5"/>
        <v>382.61546735398144</v>
      </c>
      <c r="X18" s="173">
        <f t="shared" si="5"/>
        <v>881.20259864626451</v>
      </c>
      <c r="Y18" s="173">
        <f t="shared" si="5"/>
        <v>719.48695259090869</v>
      </c>
      <c r="Z18" s="173">
        <f t="shared" si="5"/>
        <v>755.33872755135701</v>
      </c>
      <c r="AA18" s="173">
        <f t="shared" si="5"/>
        <v>812.45114971807573</v>
      </c>
      <c r="AB18" s="173">
        <f t="shared" si="5"/>
        <v>704.27000578370655</v>
      </c>
      <c r="AC18" s="171" t="s">
        <v>7413</v>
      </c>
    </row>
    <row r="19" spans="2:32" s="147" customFormat="1" ht="42.75" customHeight="1" x14ac:dyDescent="0.3">
      <c r="B19" s="227"/>
      <c r="C19" s="228"/>
      <c r="D19" s="235"/>
      <c r="E19" s="148"/>
      <c r="F19" s="265"/>
      <c r="I19" s="152" t="s">
        <v>7550</v>
      </c>
      <c r="J19" s="372"/>
      <c r="K19" s="372"/>
      <c r="L19" s="372"/>
      <c r="M19" s="372"/>
      <c r="N19" s="372"/>
      <c r="O19" s="372"/>
      <c r="P19" s="372"/>
      <c r="Q19" s="372"/>
      <c r="R19" s="372"/>
      <c r="S19" s="372"/>
      <c r="T19" s="372"/>
      <c r="U19" s="372"/>
      <c r="V19" s="372"/>
      <c r="W19" s="372"/>
      <c r="X19" s="372"/>
      <c r="Y19" s="372"/>
      <c r="Z19" s="372"/>
      <c r="AA19" s="372"/>
      <c r="AB19" s="372"/>
      <c r="AC19" s="171"/>
      <c r="AD19" s="168"/>
    </row>
    <row r="20" spans="2:32" s="147" customFormat="1" ht="66.75" customHeight="1" x14ac:dyDescent="0.3">
      <c r="B20" s="227"/>
      <c r="C20" s="228"/>
      <c r="D20" s="235"/>
      <c r="E20" s="148"/>
      <c r="F20" s="265"/>
      <c r="I20" s="245"/>
      <c r="J20" s="174">
        <f t="shared" ref="J20:AB20" si="6">100*Fak_Einheit*FI_gesamt/DSR</f>
        <v>13.388696159865528</v>
      </c>
      <c r="K20" s="174">
        <f t="shared" si="6"/>
        <v>13.457840275786699</v>
      </c>
      <c r="L20" s="174">
        <f t="shared" si="6"/>
        <v>11.616876454912585</v>
      </c>
      <c r="M20" s="174">
        <f t="shared" si="6"/>
        <v>24.589965777392067</v>
      </c>
      <c r="N20" s="174">
        <f t="shared" si="6"/>
        <v>12.010932053974045</v>
      </c>
      <c r="O20" s="174">
        <f t="shared" si="6"/>
        <v>14.884915945473676</v>
      </c>
      <c r="P20" s="174">
        <f t="shared" si="6"/>
        <v>21.207635316805568</v>
      </c>
      <c r="Q20" s="174">
        <f t="shared" si="6"/>
        <v>14.060864515774194</v>
      </c>
      <c r="R20" s="174">
        <f t="shared" si="6"/>
        <v>11.979946831571532</v>
      </c>
      <c r="S20" s="174">
        <f t="shared" si="6"/>
        <v>11.618597563165654</v>
      </c>
      <c r="T20" s="174">
        <f t="shared" si="6"/>
        <v>12.08149892630907</v>
      </c>
      <c r="U20" s="174">
        <f t="shared" si="6"/>
        <v>68.388473345580906</v>
      </c>
      <c r="V20" s="174">
        <f t="shared" si="6"/>
        <v>54.021684572068473</v>
      </c>
      <c r="W20" s="174">
        <f t="shared" si="6"/>
        <v>55.709197390575937</v>
      </c>
      <c r="X20" s="174">
        <f t="shared" si="6"/>
        <v>13.311597417071988</v>
      </c>
      <c r="Y20" s="174">
        <f t="shared" si="6"/>
        <v>14.218646940364616</v>
      </c>
      <c r="Z20" s="174">
        <f t="shared" si="6"/>
        <v>17.762265165646184</v>
      </c>
      <c r="AA20" s="174">
        <f t="shared" si="6"/>
        <v>15.368851856596033</v>
      </c>
      <c r="AB20" s="174">
        <f t="shared" si="6"/>
        <v>0.15492209352849984</v>
      </c>
      <c r="AC20" s="373" t="s">
        <v>7418</v>
      </c>
      <c r="AD20" s="373"/>
      <c r="AE20" s="373"/>
      <c r="AF20" s="266"/>
    </row>
    <row r="21" spans="2:32" ht="51" customHeight="1" x14ac:dyDescent="0.3">
      <c r="G21" s="176"/>
      <c r="H21" s="176"/>
      <c r="I21" s="369" t="s">
        <v>7474</v>
      </c>
      <c r="J21" s="369"/>
      <c r="K21" s="369"/>
      <c r="L21" s="369"/>
      <c r="M21" s="369"/>
      <c r="N21" s="369"/>
      <c r="O21" s="369"/>
      <c r="P21" s="369"/>
      <c r="Q21" s="369"/>
      <c r="R21" s="369"/>
      <c r="S21" s="369"/>
      <c r="T21" s="369"/>
      <c r="U21" s="369"/>
      <c r="V21" s="369"/>
      <c r="W21" s="369"/>
      <c r="X21" s="369"/>
      <c r="Y21" s="369"/>
      <c r="Z21" s="369"/>
      <c r="AA21" s="369"/>
      <c r="AB21" s="369"/>
      <c r="AC21" s="369"/>
      <c r="AD21" s="369"/>
      <c r="AE21" s="175"/>
    </row>
    <row r="22" spans="2:32" ht="49.5" hidden="1" customHeight="1" x14ac:dyDescent="0.3">
      <c r="H22" s="177" t="s">
        <v>7522</v>
      </c>
      <c r="I22" s="138"/>
      <c r="J22" s="138">
        <v>5120.3055999999997</v>
      </c>
      <c r="K22" s="138">
        <v>1424.5145</v>
      </c>
      <c r="L22" s="138">
        <v>3436.2991000000002</v>
      </c>
      <c r="M22" s="138">
        <v>4042.5513000000001</v>
      </c>
      <c r="N22" s="138">
        <v>3440.0403000000001</v>
      </c>
      <c r="O22" s="138">
        <v>3095.7921999999999</v>
      </c>
      <c r="P22" s="138">
        <v>4695.9438</v>
      </c>
      <c r="Q22" s="138">
        <v>2970.9297999999999</v>
      </c>
      <c r="R22" s="138">
        <v>3264.7339999999999</v>
      </c>
      <c r="S22" s="138">
        <v>3037.6777999999999</v>
      </c>
      <c r="T22" s="138">
        <v>3045.75</v>
      </c>
      <c r="U22" s="138">
        <v>3181.4841999999999</v>
      </c>
      <c r="V22" s="138">
        <v>752.37869999999998</v>
      </c>
      <c r="W22" s="138">
        <v>1418.6686999999999</v>
      </c>
      <c r="X22" s="138">
        <v>2831.5041000000001</v>
      </c>
      <c r="Y22" s="138">
        <v>3183.5769</v>
      </c>
      <c r="Z22" s="138">
        <v>5860.8176999999996</v>
      </c>
      <c r="AA22" s="138">
        <v>3344.8171000000002</v>
      </c>
      <c r="AB22" s="138">
        <v>58147.785800000005</v>
      </c>
      <c r="AD22" s="138"/>
    </row>
    <row r="23" spans="2:32" ht="18" hidden="1" x14ac:dyDescent="0.35">
      <c r="B23" s="232"/>
      <c r="C23" s="233"/>
      <c r="D23" s="239"/>
      <c r="E23" s="138"/>
      <c r="H23" s="177" t="s">
        <v>7521</v>
      </c>
      <c r="I23" s="138"/>
      <c r="J23" s="138">
        <f>Fak_Einheit/IF(denom_1="absolut",1,Fak_Einheit*OÖ!VS_gesamt)</f>
        <v>0.01</v>
      </c>
      <c r="K23" s="138">
        <f>Fak_Einheit/IF(denom_1="absolut",1,Fak_Einheit*OÖ!VS_gesamt)</f>
        <v>0.01</v>
      </c>
      <c r="L23" s="138">
        <f>Fak_Einheit/IF(denom_1="absolut",1,Fak_Einheit*OÖ!VS_gesamt)</f>
        <v>0.01</v>
      </c>
      <c r="M23" s="138">
        <f>Fak_Einheit/IF(denom_1="absolut",1,Fak_Einheit*OÖ!VS_gesamt)</f>
        <v>0.01</v>
      </c>
      <c r="N23" s="138">
        <f>Fak_Einheit/IF(denom_1="absolut",1,Fak_Einheit*OÖ!VS_gesamt)</f>
        <v>0.01</v>
      </c>
      <c r="O23" s="138">
        <f>Fak_Einheit/IF(denom_1="absolut",1,Fak_Einheit*OÖ!VS_gesamt)</f>
        <v>0.01</v>
      </c>
      <c r="P23" s="138">
        <f>Fak_Einheit/IF(denom_1="absolut",1,Fak_Einheit*OÖ!VS_gesamt)</f>
        <v>0.01</v>
      </c>
      <c r="Q23" s="138">
        <f>Fak_Einheit/IF(denom_1="absolut",1,Fak_Einheit*OÖ!VS_gesamt)</f>
        <v>0.01</v>
      </c>
      <c r="R23" s="138">
        <f>Fak_Einheit/IF(denom_1="absolut",1,Fak_Einheit*OÖ!VS_gesamt)</f>
        <v>0.01</v>
      </c>
      <c r="S23" s="138">
        <f>Fak_Einheit/IF(denom_1="absolut",1,Fak_Einheit*OÖ!VS_gesamt)</f>
        <v>0.01</v>
      </c>
      <c r="T23" s="138">
        <f>Fak_Einheit/IF(denom_1="absolut",1,Fak_Einheit*OÖ!VS_gesamt)</f>
        <v>0.01</v>
      </c>
      <c r="U23" s="138">
        <f>Fak_Einheit/IF(denom_1="absolut",1,Fak_Einheit*OÖ!VS_gesamt)</f>
        <v>0.01</v>
      </c>
      <c r="V23" s="138">
        <f>Fak_Einheit/IF(denom_1="absolut",1,Fak_Einheit*OÖ!VS_gesamt)</f>
        <v>0.01</v>
      </c>
      <c r="W23" s="138">
        <f>Fak_Einheit/IF(denom_1="absolut",1,Fak_Einheit*OÖ!VS_gesamt)</f>
        <v>0.01</v>
      </c>
      <c r="X23" s="138">
        <f>Fak_Einheit/IF(denom_1="absolut",1,Fak_Einheit*OÖ!VS_gesamt)</f>
        <v>0.01</v>
      </c>
      <c r="Y23" s="138">
        <f>Fak_Einheit/IF(denom_1="absolut",1,Fak_Einheit*OÖ!VS_gesamt)</f>
        <v>0.01</v>
      </c>
      <c r="Z23" s="138">
        <f>Fak_Einheit/IF(denom_1="absolut",1,Fak_Einheit*OÖ!VS_gesamt)</f>
        <v>0.01</v>
      </c>
      <c r="AA23" s="138">
        <f>Fak_Einheit/IF(denom_1="absolut",1,Fak_Einheit*OÖ!VS_gesamt)</f>
        <v>0.01</v>
      </c>
      <c r="AB23" s="138">
        <f>Fak_Einheit/IF(denom_1="absolut",1,Fak_Einheit*OÖ!VS_gesamt)</f>
        <v>0.01</v>
      </c>
      <c r="AD23" s="138"/>
    </row>
    <row r="24" spans="2:32" ht="86.25" customHeight="1" x14ac:dyDescent="0.4">
      <c r="G24" s="144"/>
      <c r="H24" s="210"/>
      <c r="I24" s="210"/>
      <c r="J24" s="278" t="str">
        <f t="shared" ref="J24:AA24" si="7">+J9</f>
        <v>Braunau</v>
      </c>
      <c r="K24" s="278" t="str">
        <f t="shared" si="7"/>
        <v>Eferding</v>
      </c>
      <c r="L24" s="278" t="str">
        <f t="shared" si="7"/>
        <v>Freistadt</v>
      </c>
      <c r="M24" s="278" t="str">
        <f t="shared" si="7"/>
        <v>Gmunden</v>
      </c>
      <c r="N24" s="278" t="str">
        <f t="shared" si="7"/>
        <v>Grieskirchen</v>
      </c>
      <c r="O24" s="278" t="str">
        <f t="shared" si="7"/>
        <v>Kirchdorf</v>
      </c>
      <c r="P24" s="278" t="str">
        <f t="shared" si="7"/>
        <v>Linz-Land</v>
      </c>
      <c r="Q24" s="278" t="str">
        <f t="shared" si="7"/>
        <v>Perg</v>
      </c>
      <c r="R24" s="278" t="str">
        <f t="shared" si="7"/>
        <v>Ried</v>
      </c>
      <c r="S24" s="278" t="str">
        <f t="shared" si="7"/>
        <v>Rohrbach</v>
      </c>
      <c r="T24" s="278" t="str">
        <f t="shared" si="7"/>
        <v>Schärding</v>
      </c>
      <c r="U24" s="278" t="str">
        <f t="shared" si="7"/>
        <v>Stadt Linz</v>
      </c>
      <c r="V24" s="278" t="str">
        <f t="shared" si="7"/>
        <v>Stadt Steyr</v>
      </c>
      <c r="W24" s="278" t="str">
        <f t="shared" si="7"/>
        <v>Stadt Wels</v>
      </c>
      <c r="X24" s="278" t="str">
        <f t="shared" si="7"/>
        <v>Steyr-Land</v>
      </c>
      <c r="Y24" s="278" t="str">
        <f t="shared" si="7"/>
        <v>Urfahr-Umgebung</v>
      </c>
      <c r="Z24" s="278" t="str">
        <f t="shared" si="7"/>
        <v>Vöcklabruck</v>
      </c>
      <c r="AA24" s="278" t="str">
        <f t="shared" si="7"/>
        <v>Wels-Land</v>
      </c>
      <c r="AB24" s="279" t="str">
        <f>OÖ!BL</f>
        <v>OÖ</v>
      </c>
      <c r="AC24" s="210"/>
      <c r="AD24" s="147"/>
      <c r="AE24" s="147"/>
      <c r="AF24" s="147"/>
    </row>
    <row r="25" spans="2:32" ht="19.5" customHeight="1" thickBot="1" x14ac:dyDescent="0.35">
      <c r="G25" s="146"/>
      <c r="I25" s="158" t="s">
        <v>7516</v>
      </c>
      <c r="J25" s="280">
        <f>5120.3056*(+OÖ!Fak_2)</f>
        <v>51.203055999999997</v>
      </c>
      <c r="K25" s="280">
        <f>1424.5145*(+OÖ!Fak_2)</f>
        <v>14.245145000000001</v>
      </c>
      <c r="L25" s="280">
        <f>3436.2991*(+OÖ!Fak_2)</f>
        <v>34.362991000000001</v>
      </c>
      <c r="M25" s="280">
        <f>4042.5513*(+OÖ!Fak_2)</f>
        <v>40.425513000000002</v>
      </c>
      <c r="N25" s="280">
        <f>3440.0403*(+OÖ!Fak_2)</f>
        <v>34.400403000000004</v>
      </c>
      <c r="O25" s="280">
        <f>3095.7922*(+OÖ!Fak_2)</f>
        <v>30.957922</v>
      </c>
      <c r="P25" s="280">
        <f>4695.9438*(+OÖ!Fak_2)</f>
        <v>46.959437999999999</v>
      </c>
      <c r="Q25" s="280">
        <f>2970.9298*(+OÖ!Fak_2)</f>
        <v>29.709298</v>
      </c>
      <c r="R25" s="280">
        <f>3264.734*(+OÖ!Fak_2)</f>
        <v>32.64734</v>
      </c>
      <c r="S25" s="280">
        <f>3037.6778*(+OÖ!Fak_2)</f>
        <v>30.376778000000002</v>
      </c>
      <c r="T25" s="280">
        <f>3045.75*(+OÖ!Fak_2)</f>
        <v>30.4575</v>
      </c>
      <c r="U25" s="280">
        <f>3181.4842*(+OÖ!Fak_2)</f>
        <v>31.814841999999999</v>
      </c>
      <c r="V25" s="280">
        <f>752.3787*(+OÖ!Fak_2)</f>
        <v>7.5237869999999996</v>
      </c>
      <c r="W25" s="280">
        <f>1418.6687*(+OÖ!Fak_2)</f>
        <v>14.186686999999999</v>
      </c>
      <c r="X25" s="280">
        <f>2831.5041*(+OÖ!Fak_2)</f>
        <v>28.315041000000001</v>
      </c>
      <c r="Y25" s="280">
        <f>3183.5769*(+OÖ!Fak_2)</f>
        <v>31.835769000000003</v>
      </c>
      <c r="Z25" s="280">
        <f>5860.8177*(+OÖ!Fak_2)</f>
        <v>58.608176999999998</v>
      </c>
      <c r="AA25" s="280">
        <f>3344.8171*(+OÖ!Fak_2)</f>
        <v>33.448171000000002</v>
      </c>
      <c r="AB25" s="281">
        <f>58147.7858*(+OÖ!Fak_2)</f>
        <v>581.47785799999997</v>
      </c>
      <c r="AC25" s="159" t="str">
        <f t="shared" ref="AC25:AC30" si="8">IF(denom_1="absolut",Einheit,"% VS gesamt")</f>
        <v>km²</v>
      </c>
      <c r="AD25" s="160"/>
      <c r="AE25" s="161">
        <f>BY10/BX10</f>
        <v>0.54855110196369994</v>
      </c>
      <c r="AF25" s="364" t="s">
        <v>7528</v>
      </c>
    </row>
    <row r="26" spans="2:32" ht="19.5" customHeight="1" thickTop="1" thickBot="1" x14ac:dyDescent="0.35">
      <c r="F26" s="138" t="s">
        <v>7411</v>
      </c>
      <c r="G26" s="144"/>
      <c r="I26" s="148" t="s">
        <v>25</v>
      </c>
      <c r="J26" s="282">
        <f>1950.6535*(+OÖ!Fak_2)</f>
        <v>19.506535</v>
      </c>
      <c r="K26" s="282">
        <f>565.169*(+OÖ!Fak_2)</f>
        <v>5.6516900000000003</v>
      </c>
      <c r="L26" s="282">
        <f>1667.2531*(+OÖ!Fak_2)</f>
        <v>16.672530999999999</v>
      </c>
      <c r="M26" s="282">
        <f>1555.3641*(+OÖ!Fak_2)</f>
        <v>15.553641000000001</v>
      </c>
      <c r="N26" s="282">
        <f>1420.8044*(+OÖ!Fak_2)</f>
        <v>14.208044000000001</v>
      </c>
      <c r="O26" s="282">
        <f>1467.8017*(+OÖ!Fak_2)</f>
        <v>14.678017000000001</v>
      </c>
      <c r="P26" s="282">
        <f>1673.3082*(+OÖ!Fak_2)</f>
        <v>16.733082</v>
      </c>
      <c r="Q26" s="282">
        <f>1306.0608*(+OÖ!Fak_2)</f>
        <v>13.060608</v>
      </c>
      <c r="R26" s="282">
        <f>1329.0015*(+OÖ!Fak_2)</f>
        <v>13.290015</v>
      </c>
      <c r="S26" s="282">
        <f>1375.544*(+OÖ!Fak_2)</f>
        <v>13.755440000000002</v>
      </c>
      <c r="T26" s="282">
        <f>1339.7951*(+OÖ!Fak_2)</f>
        <v>13.397951000000001</v>
      </c>
      <c r="U26" s="282">
        <f>995.0754*(+OÖ!Fak_2)</f>
        <v>9.9507539999999999</v>
      </c>
      <c r="V26" s="282">
        <f>198.0271*(+OÖ!Fak_2)</f>
        <v>1.9802709999999999</v>
      </c>
      <c r="W26" s="282">
        <f>462.2281*(+OÖ!Fak_2)</f>
        <v>4.6222810000000001</v>
      </c>
      <c r="X26" s="282">
        <f>1311.6624*(+OÖ!Fak_2)</f>
        <v>13.116624</v>
      </c>
      <c r="Y26" s="282">
        <f>1350.5341*(+OÖ!Fak_2)</f>
        <v>13.505341000000001</v>
      </c>
      <c r="Z26" s="282">
        <f>2254.538*(+OÖ!Fak_2)</f>
        <v>22.545380000000002</v>
      </c>
      <c r="AA26" s="282">
        <f>1337.3775*(+OÖ!Fak_2)</f>
        <v>13.373775</v>
      </c>
      <c r="AB26" s="283">
        <f>23560.198*(+OÖ!Fak_2)</f>
        <v>235.60198</v>
      </c>
      <c r="AC26" s="159" t="str">
        <f t="shared" si="8"/>
        <v>km²</v>
      </c>
      <c r="AD26" s="160"/>
      <c r="AE26" s="161">
        <f t="shared" ref="AE26:AE30" si="9">BY11/BX11</f>
        <v>0.7637797692737941</v>
      </c>
      <c r="AF26" s="364"/>
    </row>
    <row r="27" spans="2:32" ht="19.5" customHeight="1" thickTop="1" thickBot="1" x14ac:dyDescent="0.35">
      <c r="G27" s="222"/>
      <c r="I27" s="148" t="s">
        <v>7410</v>
      </c>
      <c r="J27" s="282">
        <f>2263.3425*(+OÖ!Fak_2)</f>
        <v>22.633425000000003</v>
      </c>
      <c r="K27" s="282">
        <f>572.7138*(+OÖ!Fak_2)</f>
        <v>5.7271380000000001</v>
      </c>
      <c r="L27" s="282">
        <f>946.9857*(+OÖ!Fak_2)</f>
        <v>9.4698569999999993</v>
      </c>
      <c r="M27" s="282">
        <f>1980.0861*(+OÖ!Fak_2)</f>
        <v>19.800861000000001</v>
      </c>
      <c r="N27" s="282">
        <f>1340.6321*(+OÖ!Fak_2)</f>
        <v>13.406321</v>
      </c>
      <c r="O27" s="282">
        <f>1014.0962*(+OÖ!Fak_2)</f>
        <v>10.140962</v>
      </c>
      <c r="P27" s="282">
        <f>2601.8528*(+OÖ!Fak_2)</f>
        <v>26.018528000000003</v>
      </c>
      <c r="Q27" s="282">
        <f>1103.353*(+OÖ!Fak_2)</f>
        <v>11.033530000000001</v>
      </c>
      <c r="R27" s="282">
        <f>1314.9248*(+OÖ!Fak_2)</f>
        <v>13.149248</v>
      </c>
      <c r="S27" s="282">
        <f>1050.5646*(+OÖ!Fak_2)</f>
        <v>10.505645999999999</v>
      </c>
      <c r="T27" s="282">
        <f>1076.8435*(+OÖ!Fak_2)</f>
        <v>10.768435</v>
      </c>
      <c r="U27" s="282">
        <f>2045.9378*(+OÖ!Fak_2)</f>
        <v>20.459378000000001</v>
      </c>
      <c r="V27" s="282">
        <f>511.5255*(+OÖ!Fak_2)</f>
        <v>5.1152550000000003</v>
      </c>
      <c r="W27" s="282">
        <f>886.9543*(+OÖ!Fak_2)</f>
        <v>8.8695430000000002</v>
      </c>
      <c r="X27" s="282">
        <f>1002.5212*(+OÖ!Fak_2)</f>
        <v>10.025212</v>
      </c>
      <c r="Y27" s="282">
        <f>1185.7962*(+OÖ!Fak_2)</f>
        <v>11.857962000000001</v>
      </c>
      <c r="Z27" s="282">
        <f>2854.5693*(+OÖ!Fak_2)</f>
        <v>28.545693</v>
      </c>
      <c r="AA27" s="282">
        <f>1470.4267*(+OÖ!Fak_2)</f>
        <v>14.704267</v>
      </c>
      <c r="AB27" s="283">
        <f>25223.1261*(+OÖ!Fak_2)</f>
        <v>252.23126100000002</v>
      </c>
      <c r="AC27" s="159" t="str">
        <f t="shared" si="8"/>
        <v>km²</v>
      </c>
      <c r="AD27" s="160"/>
      <c r="AE27" s="161">
        <f t="shared" si="9"/>
        <v>0.47677795265467465</v>
      </c>
      <c r="AF27" s="364"/>
    </row>
    <row r="28" spans="2:32" ht="19.5" customHeight="1" thickTop="1" thickBot="1" x14ac:dyDescent="0.35">
      <c r="G28" s="222"/>
      <c r="I28" s="148" t="s">
        <v>7409</v>
      </c>
      <c r="J28" s="282">
        <f>832.8916*(+OÖ!Fak_2)</f>
        <v>8.3289160000000013</v>
      </c>
      <c r="K28" s="282">
        <f>259.1273*(+OÖ!Fak_2)</f>
        <v>2.5912730000000002</v>
      </c>
      <c r="L28" s="282">
        <f>773.984*(+OÖ!Fak_2)</f>
        <v>7.7398400000000009</v>
      </c>
      <c r="M28" s="282">
        <f>430.3109*(+OÖ!Fak_2)</f>
        <v>4.3031090000000001</v>
      </c>
      <c r="N28" s="282">
        <f>623.6599*(+OÖ!Fak_2)</f>
        <v>6.236599</v>
      </c>
      <c r="O28" s="282">
        <f>555.2905*(+OÖ!Fak_2)</f>
        <v>5.552905</v>
      </c>
      <c r="P28" s="282">
        <f>324.7397*(+OÖ!Fak_2)</f>
        <v>3.2473970000000003</v>
      </c>
      <c r="Q28" s="282">
        <f>507.845*(+OÖ!Fak_2)</f>
        <v>5.0784500000000001</v>
      </c>
      <c r="R28" s="282">
        <f>572.5173*(+OÖ!Fak_2)</f>
        <v>5.7251729999999998</v>
      </c>
      <c r="S28" s="282">
        <f>566.6353*(+OÖ!Fak_2)</f>
        <v>5.666353</v>
      </c>
      <c r="T28" s="282">
        <f>590.429*(+OÖ!Fak_2)</f>
        <v>5.9042899999999996</v>
      </c>
      <c r="U28" s="282">
        <f>57.0952*(+OÖ!Fak_2)</f>
        <v>0.57095200000000002</v>
      </c>
      <c r="V28" s="282">
        <f>14.9523*(+OÖ!Fak_2)</f>
        <v>0.14952299999999999</v>
      </c>
      <c r="W28" s="282">
        <f>33.1619*(+OÖ!Fak_2)</f>
        <v>0.33161900000000005</v>
      </c>
      <c r="X28" s="282">
        <f>470.6572*(+OÖ!Fak_2)</f>
        <v>4.7065720000000004</v>
      </c>
      <c r="Y28" s="282">
        <f>594.094*(+OÖ!Fak_2)</f>
        <v>5.9409400000000003</v>
      </c>
      <c r="Z28" s="282">
        <f>618.4996*(+OÖ!Fak_2)</f>
        <v>6.1849959999999999</v>
      </c>
      <c r="AA28" s="282">
        <f>475.6855*(+OÖ!Fak_2)</f>
        <v>4.7568549999999998</v>
      </c>
      <c r="AB28" s="283">
        <f>8301.5762*(+OÖ!Fak_2)</f>
        <v>83.015761999999995</v>
      </c>
      <c r="AC28" s="159" t="str">
        <f t="shared" si="8"/>
        <v>km²</v>
      </c>
      <c r="AD28" s="160"/>
      <c r="AE28" s="161">
        <f t="shared" si="9"/>
        <v>0.55216812320520714</v>
      </c>
      <c r="AF28" s="364"/>
    </row>
    <row r="29" spans="2:32" ht="19.5" customHeight="1" thickTop="1" x14ac:dyDescent="0.3">
      <c r="G29" s="222"/>
      <c r="I29" s="148" t="s">
        <v>7549</v>
      </c>
      <c r="J29" s="282">
        <f>52.4464*(+OÖ!Fak_2)</f>
        <v>0.52446399999999993</v>
      </c>
      <c r="K29" s="282">
        <f>19.3011*(+OÖ!Fak_2)</f>
        <v>0.19301100000000002</v>
      </c>
      <c r="L29" s="282">
        <f>42.5087*(+OÖ!Fak_2)</f>
        <v>0.42508699999999999</v>
      </c>
      <c r="M29" s="282">
        <f>65.7321*(+OÖ!Fak_2)</f>
        <v>0.65732100000000004</v>
      </c>
      <c r="N29" s="282">
        <f>43.4666*(+OÖ!Fak_2)</f>
        <v>0.434666</v>
      </c>
      <c r="O29" s="282">
        <f>43.4722*(+OÖ!Fak_2)</f>
        <v>0.434722</v>
      </c>
      <c r="P29" s="282">
        <f>81.2346*(+OÖ!Fak_2)</f>
        <v>0.81234600000000001</v>
      </c>
      <c r="Q29" s="282">
        <f>46.8517*(+OÖ!Fak_2)</f>
        <v>0.46851700000000002</v>
      </c>
      <c r="R29" s="282">
        <f>33.0477*(+OÖ!Fak_2)</f>
        <v>0.33047700000000002</v>
      </c>
      <c r="S29" s="282">
        <f>35.6814*(+OÖ!Fak_2)</f>
        <v>0.35681399999999996</v>
      </c>
      <c r="T29" s="282">
        <f>33.8544*(+OÖ!Fak_2)</f>
        <v>0.33854400000000001</v>
      </c>
      <c r="U29" s="282">
        <f>83.3679*(+OÖ!Fak_2)</f>
        <v>0.83367900000000006</v>
      </c>
      <c r="V29" s="282">
        <f>26.8262*(+OÖ!Fak_2)</f>
        <v>0.268262</v>
      </c>
      <c r="W29" s="282">
        <f>28.3121*(+OÖ!Fak_2)</f>
        <v>0.28312100000000001</v>
      </c>
      <c r="X29" s="282">
        <f>33.4647*(+OÖ!Fak_2)</f>
        <v>0.33464700000000003</v>
      </c>
      <c r="Y29" s="282">
        <f>46.3432*(+OÖ!Fak_2)</f>
        <v>0.46343200000000007</v>
      </c>
      <c r="Z29" s="282">
        <f>109.5083*(+OÖ!Fak_2)</f>
        <v>1.095083</v>
      </c>
      <c r="AA29" s="282">
        <f>50.3061*(+OÖ!Fak_2)</f>
        <v>0.50306099999999998</v>
      </c>
      <c r="AB29" s="204">
        <f>875.7254*(+OÖ!Fak_2)</f>
        <v>8.7572540000000014</v>
      </c>
      <c r="AC29" s="159" t="str">
        <f t="shared" si="8"/>
        <v>km²</v>
      </c>
      <c r="AD29" s="160"/>
      <c r="AE29" s="161">
        <f t="shared" si="9"/>
        <v>0.16769691252389751</v>
      </c>
      <c r="AF29" s="364"/>
    </row>
    <row r="30" spans="2:32" ht="19.5" customHeight="1" x14ac:dyDescent="0.3">
      <c r="G30" s="222"/>
      <c r="I30" s="148" t="s">
        <v>7519</v>
      </c>
      <c r="J30" s="282">
        <f>20.9716*(+OÖ!Fak_2)</f>
        <v>0.20971599999999999</v>
      </c>
      <c r="K30" s="282">
        <f>8.2033*(+OÖ!Fak_2)</f>
        <v>8.2033000000000009E-2</v>
      </c>
      <c r="L30" s="282">
        <f>5.5676*(+OÖ!Fak_2)</f>
        <v>5.5675999999999996E-2</v>
      </c>
      <c r="M30" s="282">
        <f>11.0581*(+OÖ!Fak_2)</f>
        <v>0.110581</v>
      </c>
      <c r="N30" s="282">
        <f>11.4773*(+OÖ!Fak_2)</f>
        <v>0.114773</v>
      </c>
      <c r="O30" s="282">
        <f>15.1316*(+OÖ!Fak_2)</f>
        <v>0.15131600000000001</v>
      </c>
      <c r="P30" s="282">
        <f>14.8085*(+OÖ!Fak_2)</f>
        <v>0.14808499999999999</v>
      </c>
      <c r="Q30" s="282">
        <f>6.8193*(+OÖ!Fak_2)</f>
        <v>6.8193000000000004E-2</v>
      </c>
      <c r="R30" s="282">
        <f>15.2427*(+OÖ!Fak_2)</f>
        <v>0.15242700000000001</v>
      </c>
      <c r="S30" s="282">
        <f>9.2525*(+OÖ!Fak_2)</f>
        <v>9.2524999999999996E-2</v>
      </c>
      <c r="T30" s="282">
        <f>4.828*(+OÖ!Fak_2)</f>
        <v>4.8280000000000003E-2</v>
      </c>
      <c r="U30" s="282">
        <f>0.0079*(+OÖ!Fak_2)</f>
        <v>7.9000000000000009E-5</v>
      </c>
      <c r="V30" s="282">
        <f>1.0476*(+OÖ!Fak_2)</f>
        <v>1.0476000000000001E-2</v>
      </c>
      <c r="W30" s="282">
        <f>8.0123*(+OÖ!Fak_2)</f>
        <v>8.0123E-2</v>
      </c>
      <c r="X30" s="282">
        <f>13.1986*(+OÖ!Fak_2)</f>
        <v>0.13198600000000002</v>
      </c>
      <c r="Y30" s="282">
        <f>6.8094*(+OÖ!Fak_2)</f>
        <v>6.8094000000000002E-2</v>
      </c>
      <c r="Z30" s="282">
        <f>23.7025*(+OÖ!Fak_2)</f>
        <v>0.23702500000000001</v>
      </c>
      <c r="AA30" s="282">
        <f>11.0213*(+OÖ!Fak_2)</f>
        <v>0.11021300000000001</v>
      </c>
      <c r="AB30" s="204">
        <f>187.1601*(+OÖ!Fak_2)</f>
        <v>1.8716010000000001</v>
      </c>
      <c r="AC30" s="159" t="str">
        <f t="shared" si="8"/>
        <v>km²</v>
      </c>
      <c r="AD30" s="160"/>
      <c r="AE30" s="161">
        <f t="shared" si="9"/>
        <v>9.3778404297176654E-2</v>
      </c>
      <c r="AF30" s="364"/>
    </row>
    <row r="31" spans="2:32" ht="19.5" customHeight="1" x14ac:dyDescent="0.3">
      <c r="G31" s="222"/>
      <c r="I31" s="148"/>
      <c r="J31" s="284"/>
      <c r="K31" s="284"/>
      <c r="L31" s="284"/>
      <c r="M31" s="284"/>
      <c r="N31" s="284"/>
      <c r="O31" s="284"/>
      <c r="P31" s="284"/>
      <c r="Q31" s="284"/>
      <c r="R31" s="284"/>
      <c r="S31" s="284"/>
      <c r="T31" s="284"/>
      <c r="U31" s="284"/>
      <c r="V31" s="284"/>
      <c r="W31" s="284"/>
      <c r="X31" s="284"/>
      <c r="Y31" s="284"/>
      <c r="Z31" s="284"/>
      <c r="AA31" s="284"/>
      <c r="AB31" s="284"/>
      <c r="AC31" s="159"/>
      <c r="AD31" s="160"/>
      <c r="AE31" s="189"/>
      <c r="AF31" s="147"/>
    </row>
    <row r="32" spans="2:32" ht="19.5" customHeight="1" x14ac:dyDescent="0.3">
      <c r="G32" s="144"/>
      <c r="I32" s="148" t="s">
        <v>7514</v>
      </c>
      <c r="J32" s="282">
        <f t="shared" ref="J32:AB32" si="10">+VS_gesamt*10000/EW</f>
        <v>475.28177328927336</v>
      </c>
      <c r="K32" s="282">
        <f t="shared" si="10"/>
        <v>426.22060319549996</v>
      </c>
      <c r="L32" s="282">
        <f t="shared" si="10"/>
        <v>511.63573693849293</v>
      </c>
      <c r="M32" s="282">
        <f t="shared" si="10"/>
        <v>395.03115258709141</v>
      </c>
      <c r="N32" s="282">
        <f t="shared" si="10"/>
        <v>523.91719463904963</v>
      </c>
      <c r="O32" s="282">
        <f t="shared" si="10"/>
        <v>538.35183027562823</v>
      </c>
      <c r="P32" s="282">
        <f t="shared" si="10"/>
        <v>305.70361497549004</v>
      </c>
      <c r="Q32" s="282">
        <f t="shared" si="10"/>
        <v>425.47006172397499</v>
      </c>
      <c r="R32" s="282">
        <f t="shared" si="10"/>
        <v>524.43841161729745</v>
      </c>
      <c r="S32" s="282">
        <f t="shared" si="10"/>
        <v>534.4448784264049</v>
      </c>
      <c r="T32" s="282">
        <f t="shared" si="10"/>
        <v>529.72328991077791</v>
      </c>
      <c r="U32" s="282">
        <f t="shared" si="10"/>
        <v>153.51171307666698</v>
      </c>
      <c r="V32" s="282">
        <f t="shared" si="10"/>
        <v>198.62686448955887</v>
      </c>
      <c r="W32" s="282">
        <f t="shared" si="10"/>
        <v>224.54039980373847</v>
      </c>
      <c r="X32" s="282">
        <f t="shared" si="10"/>
        <v>462.59603979806889</v>
      </c>
      <c r="Y32" s="282">
        <f t="shared" si="10"/>
        <v>365.39498662871438</v>
      </c>
      <c r="Z32" s="282">
        <f t="shared" si="10"/>
        <v>420.38343518677908</v>
      </c>
      <c r="AA32" s="282">
        <f t="shared" si="10"/>
        <v>444.55895213918319</v>
      </c>
      <c r="AB32" s="282">
        <f t="shared" si="10"/>
        <v>386.3280877526343</v>
      </c>
      <c r="AC32" s="224" t="s">
        <v>7513</v>
      </c>
      <c r="AD32" s="147"/>
      <c r="AE32" s="147"/>
      <c r="AF32" s="147"/>
    </row>
    <row r="33" spans="7:35" ht="19.5" customHeight="1" x14ac:dyDescent="0.3">
      <c r="G33" s="144"/>
      <c r="I33" s="148" t="s">
        <v>7472</v>
      </c>
      <c r="J33" s="285">
        <f>100*Fak_Einheit*VS_gesamt/OÖ!DSR</f>
        <v>7.5200483693685625</v>
      </c>
      <c r="K33" s="285">
        <f>100*Fak_Einheit*VS_gesamt/OÖ!DSR</f>
        <v>7.0290773748689936</v>
      </c>
      <c r="L33" s="285">
        <f>100*Fak_Einheit*VS_gesamt/OÖ!DSR</f>
        <v>6.3789215748065393</v>
      </c>
      <c r="M33" s="285">
        <f>100*Fak_Einheit*VS_gesamt/OÖ!DSR</f>
        <v>13.380302087126694</v>
      </c>
      <c r="N33" s="285">
        <f>100*Fak_Einheit*VS_gesamt/OÖ!DSR</f>
        <v>6.8648425700897908</v>
      </c>
      <c r="O33" s="285">
        <f>100*Fak_Einheit*VS_gesamt/OÖ!DSR</f>
        <v>8.0148256273923906</v>
      </c>
      <c r="P33" s="285">
        <f>100*Fak_Einheit*VS_gesamt/OÖ!DSR</f>
        <v>11.570175448178459</v>
      </c>
      <c r="Q33" s="285">
        <f>100*Fak_Einheit*VS_gesamt/OÖ!DSR</f>
        <v>7.534022676816746</v>
      </c>
      <c r="R33" s="285">
        <f>100*Fak_Einheit*VS_gesamt/OÖ!DSR</f>
        <v>6.8345358360937363</v>
      </c>
      <c r="S33" s="285">
        <f>100*Fak_Einheit*VS_gesamt/OÖ!DSR</f>
        <v>6.085604442283679</v>
      </c>
      <c r="T33" s="285">
        <f>100*Fak_Einheit*VS_gesamt/OÖ!DSR</f>
        <v>6.4556645606944958</v>
      </c>
      <c r="U33" s="285">
        <f>100*Fak_Einheit*VS_gesamt/OÖ!DSR</f>
        <v>41.04272881377711</v>
      </c>
      <c r="V33" s="285">
        <f>100*Fak_Einheit*VS_gesamt/OÖ!DSR</f>
        <v>31.152505445450302</v>
      </c>
      <c r="W33" s="285">
        <f>100*Fak_Einheit*VS_gesamt/OÖ!DSR</f>
        <v>32.693308352985326</v>
      </c>
      <c r="X33" s="285">
        <f>100*Fak_Einheit*VS_gesamt/OÖ!DSR</f>
        <v>6.9880550261468626</v>
      </c>
      <c r="Y33" s="285">
        <f>100*Fak_Einheit*VS_gesamt/OÖ!DSR</f>
        <v>7.2210097625036331</v>
      </c>
      <c r="Z33" s="285">
        <f>100*Fak_Einheit*VS_gesamt/OÖ!DSR</f>
        <v>9.8855808323757799</v>
      </c>
      <c r="AA33" s="285">
        <f>100*Fak_Einheit*VS_gesamt/OÖ!DSR</f>
        <v>8.4095649065442668</v>
      </c>
      <c r="AB33" s="285">
        <f>100*Fak_Einheit*VS_gesamt/OÖ!DSR</f>
        <v>8.4982685123582147E-2</v>
      </c>
      <c r="AC33" s="210" t="s">
        <v>7418</v>
      </c>
      <c r="AD33" s="147"/>
      <c r="AE33" s="147"/>
      <c r="AF33" s="147"/>
    </row>
    <row r="34" spans="7:35" ht="19.5" customHeight="1" x14ac:dyDescent="0.3">
      <c r="G34" s="144"/>
      <c r="I34" s="148"/>
      <c r="J34" s="285"/>
      <c r="K34" s="285"/>
      <c r="L34" s="285"/>
      <c r="M34" s="285"/>
      <c r="N34" s="285"/>
      <c r="O34" s="285"/>
      <c r="P34" s="285"/>
      <c r="Q34" s="285"/>
      <c r="R34" s="285"/>
      <c r="S34" s="285"/>
      <c r="T34" s="285"/>
      <c r="U34" s="285"/>
      <c r="V34" s="285"/>
      <c r="W34" s="285"/>
      <c r="X34" s="285"/>
      <c r="Y34" s="285"/>
      <c r="Z34" s="285"/>
      <c r="AA34" s="285"/>
      <c r="AB34" s="285"/>
      <c r="AC34" s="210"/>
      <c r="AD34" s="147"/>
      <c r="AE34" s="147"/>
      <c r="AF34" s="147"/>
    </row>
    <row r="35" spans="7:35" ht="19.5" customHeight="1" x14ac:dyDescent="0.3">
      <c r="G35" s="144"/>
      <c r="I35" s="369" t="s">
        <v>7415</v>
      </c>
      <c r="J35" s="369"/>
      <c r="K35" s="369"/>
      <c r="L35" s="369"/>
      <c r="M35" s="369"/>
      <c r="N35" s="369"/>
      <c r="O35" s="369"/>
      <c r="P35" s="369"/>
      <c r="Q35" s="369"/>
      <c r="R35" s="369"/>
      <c r="S35" s="369"/>
      <c r="T35" s="369"/>
      <c r="U35" s="369"/>
      <c r="V35" s="285"/>
      <c r="W35" s="285"/>
      <c r="X35" s="285"/>
      <c r="Y35" s="285"/>
      <c r="Z35" s="285"/>
      <c r="AA35" s="285"/>
      <c r="AB35" s="285"/>
      <c r="AC35" s="210"/>
      <c r="AD35" s="147"/>
      <c r="AE35" s="147"/>
      <c r="AF35" s="147"/>
    </row>
    <row r="36" spans="7:35" ht="19.5" customHeight="1" x14ac:dyDescent="0.3">
      <c r="G36" s="144"/>
      <c r="I36" s="148"/>
      <c r="J36" s="285"/>
      <c r="K36" s="285"/>
      <c r="L36" s="285"/>
      <c r="M36" s="285"/>
      <c r="N36" s="285"/>
      <c r="O36" s="285"/>
      <c r="P36" s="285"/>
      <c r="Q36" s="285"/>
      <c r="R36" s="285"/>
      <c r="S36" s="285"/>
      <c r="T36" s="285"/>
      <c r="U36" s="285"/>
      <c r="V36" s="285"/>
      <c r="W36" s="285"/>
      <c r="X36" s="285"/>
      <c r="Y36" s="285"/>
      <c r="Z36" s="285"/>
      <c r="AA36" s="285"/>
      <c r="AB36" s="285"/>
      <c r="AC36" s="210"/>
      <c r="AD36" s="147"/>
      <c r="AE36" s="147"/>
      <c r="AF36" s="147"/>
    </row>
    <row r="37" spans="7:35" ht="19.5" customHeight="1" x14ac:dyDescent="0.3">
      <c r="G37" s="144"/>
      <c r="I37" s="148"/>
      <c r="J37" s="285"/>
      <c r="K37" s="285"/>
      <c r="L37" s="285"/>
      <c r="M37" s="285"/>
      <c r="N37" s="285"/>
      <c r="O37" s="285"/>
      <c r="P37" s="285"/>
      <c r="Q37" s="285"/>
      <c r="R37" s="285"/>
      <c r="S37" s="285"/>
      <c r="T37" s="285"/>
      <c r="U37" s="285"/>
      <c r="V37" s="285"/>
      <c r="W37" s="285"/>
      <c r="X37" s="285"/>
      <c r="Y37" s="285"/>
      <c r="Z37" s="285"/>
      <c r="AA37" s="285"/>
      <c r="AB37" s="285"/>
      <c r="AC37" s="210"/>
      <c r="AD37" s="147"/>
      <c r="AE37" s="147"/>
      <c r="AF37" s="147"/>
    </row>
    <row r="38" spans="7:35" ht="90.75" customHeight="1" x14ac:dyDescent="0.4">
      <c r="G38" s="144"/>
      <c r="I38" s="148"/>
      <c r="J38" s="338" t="str">
        <f>J24</f>
        <v>Braunau</v>
      </c>
      <c r="K38" s="338" t="str">
        <f t="shared" ref="K38:AA38" si="11">K24</f>
        <v>Eferding</v>
      </c>
      <c r="L38" s="338" t="str">
        <f t="shared" si="11"/>
        <v>Freistadt</v>
      </c>
      <c r="M38" s="338" t="str">
        <f t="shared" si="11"/>
        <v>Gmunden</v>
      </c>
      <c r="N38" s="338" t="str">
        <f t="shared" si="11"/>
        <v>Grieskirchen</v>
      </c>
      <c r="O38" s="338" t="str">
        <f t="shared" si="11"/>
        <v>Kirchdorf</v>
      </c>
      <c r="P38" s="338" t="str">
        <f t="shared" si="11"/>
        <v>Linz-Land</v>
      </c>
      <c r="Q38" s="338" t="str">
        <f t="shared" si="11"/>
        <v>Perg</v>
      </c>
      <c r="R38" s="338" t="str">
        <f t="shared" si="11"/>
        <v>Ried</v>
      </c>
      <c r="S38" s="338" t="str">
        <f t="shared" si="11"/>
        <v>Rohrbach</v>
      </c>
      <c r="T38" s="338" t="str">
        <f t="shared" si="11"/>
        <v>Schärding</v>
      </c>
      <c r="U38" s="338" t="str">
        <f t="shared" si="11"/>
        <v>Stadt Linz</v>
      </c>
      <c r="V38" s="338" t="str">
        <f t="shared" si="11"/>
        <v>Stadt Steyr</v>
      </c>
      <c r="W38" s="338" t="str">
        <f t="shared" si="11"/>
        <v>Stadt Wels</v>
      </c>
      <c r="X38" s="338" t="str">
        <f t="shared" si="11"/>
        <v>Steyr-Land</v>
      </c>
      <c r="Y38" s="338" t="str">
        <f t="shared" si="11"/>
        <v>Urfahr-Umgebung</v>
      </c>
      <c r="Z38" s="338" t="str">
        <f t="shared" si="11"/>
        <v>Vöcklabruck</v>
      </c>
      <c r="AA38" s="338" t="str">
        <f t="shared" si="11"/>
        <v>Wels-Land</v>
      </c>
      <c r="AB38" s="277" t="str">
        <f>OÖ!BL</f>
        <v>OÖ</v>
      </c>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83"/>
      <c r="U39" s="383"/>
      <c r="V39" s="383"/>
      <c r="W39" s="383"/>
      <c r="X39" s="383"/>
      <c r="Y39" s="383"/>
      <c r="Z39" s="383"/>
      <c r="AA39" s="383"/>
      <c r="AB39" s="383"/>
      <c r="AC39" s="336"/>
      <c r="AD39" s="336"/>
      <c r="AE39" s="336"/>
      <c r="AF39" s="336"/>
      <c r="AG39" s="336"/>
      <c r="AH39" s="336"/>
    </row>
    <row r="40" spans="7:35" ht="19.5" customHeight="1" x14ac:dyDescent="0.3">
      <c r="G40" s="144"/>
      <c r="I40" s="148"/>
      <c r="J40" s="191">
        <f>Fak_1*5512.145973</f>
        <v>55.121459729999998</v>
      </c>
      <c r="K40" s="191">
        <f>Fak_1*1430.713315</f>
        <v>14.30713315</v>
      </c>
      <c r="L40" s="191">
        <f>Fak_1*2449.761726</f>
        <v>24.497617260000002</v>
      </c>
      <c r="M40" s="191">
        <f>Fak_1*4502.920678</f>
        <v>45.029206780000003</v>
      </c>
      <c r="N40" s="191">
        <f>Fak_1*3339.623206</f>
        <v>33.396232060000003</v>
      </c>
      <c r="O40" s="191">
        <f>Fak_1*2663.1187</f>
        <v>26.631187000000001</v>
      </c>
      <c r="P40" s="191">
        <f>Fak_1*5835.06645</f>
        <v>58.350664500000001</v>
      </c>
      <c r="Q40" s="191">
        <f>Fak_1*2720.497891</f>
        <v>27.204978910000001</v>
      </c>
      <c r="R40" s="191">
        <f>Fak_1*3287.396896</f>
        <v>32.873968959999999</v>
      </c>
      <c r="S40" s="191">
        <f>Fak_1*2825.460466</f>
        <v>28.254604660000002</v>
      </c>
      <c r="T40" s="191">
        <f>Fak_1*2976.739964</f>
        <v>29.767399640000001</v>
      </c>
      <c r="U40" s="191">
        <f>Fak_1*3365.239026</f>
        <v>33.652390260000004</v>
      </c>
      <c r="V40" s="191">
        <f>Fak_1*986.431951</f>
        <v>9.8643195099999996</v>
      </c>
      <c r="W40" s="191">
        <f>Fak_1*1568.228275</f>
        <v>15.682282750000001</v>
      </c>
      <c r="X40" s="191">
        <f>Fak_1*2746.539206</f>
        <v>27.465392059999999</v>
      </c>
      <c r="Y40" s="191">
        <f>Fak_1*3267.869587</f>
        <v>32.678695869999999</v>
      </c>
      <c r="Z40" s="191">
        <f>Fak_1*6625.965192</f>
        <v>66.259651919999996</v>
      </c>
      <c r="AA40" s="191">
        <f>Fak_1*3555.613275</f>
        <v>35.556132750000003</v>
      </c>
      <c r="AB40" s="191">
        <f>Fak_1*59659.331776</f>
        <v>596.59331775999999</v>
      </c>
      <c r="AC40" s="210"/>
      <c r="AD40" s="147"/>
      <c r="AE40" s="147"/>
      <c r="AF40" s="147"/>
    </row>
    <row r="41" spans="7:35" ht="19.5" customHeight="1" x14ac:dyDescent="0.3">
      <c r="G41" s="144"/>
      <c r="I41" s="148"/>
      <c r="J41" s="378" t="s">
        <v>7548</v>
      </c>
      <c r="K41" s="378"/>
      <c r="L41" s="378"/>
      <c r="M41" s="378"/>
      <c r="N41" s="378"/>
      <c r="O41" s="378"/>
      <c r="P41" s="378"/>
      <c r="Q41" s="378"/>
      <c r="R41" s="378"/>
      <c r="S41" s="378"/>
      <c r="T41" s="378"/>
      <c r="U41" s="378"/>
      <c r="V41" s="378"/>
      <c r="W41" s="378"/>
      <c r="X41" s="378"/>
      <c r="Y41" s="378"/>
      <c r="Z41" s="378"/>
      <c r="AA41" s="378"/>
      <c r="AB41" s="378"/>
      <c r="AC41" s="336"/>
      <c r="AD41" s="336"/>
      <c r="AE41" s="336"/>
      <c r="AF41" s="336"/>
      <c r="AG41" s="336"/>
      <c r="AH41" s="336"/>
    </row>
    <row r="42" spans="7:35" ht="19.5" customHeight="1" x14ac:dyDescent="0.3">
      <c r="G42" s="144"/>
      <c r="I42" s="307"/>
      <c r="J42" s="378"/>
      <c r="K42" s="378"/>
      <c r="L42" s="378"/>
      <c r="M42" s="378"/>
      <c r="N42" s="378"/>
      <c r="O42" s="378"/>
      <c r="P42" s="378"/>
      <c r="Q42" s="378"/>
      <c r="R42" s="378"/>
      <c r="S42" s="378"/>
      <c r="T42" s="378"/>
      <c r="U42" s="378"/>
      <c r="V42" s="378"/>
      <c r="W42" s="378"/>
      <c r="X42" s="378"/>
      <c r="Y42" s="378"/>
      <c r="Z42" s="378"/>
      <c r="AA42" s="378"/>
      <c r="AB42" s="378"/>
      <c r="AC42" s="210"/>
      <c r="AD42" s="147"/>
      <c r="AE42" s="147"/>
      <c r="AF42" s="147"/>
    </row>
    <row r="43" spans="7:35" ht="19.5" customHeight="1" x14ac:dyDescent="0.3">
      <c r="G43" s="144"/>
      <c r="I43" s="307" t="s">
        <v>7546</v>
      </c>
      <c r="J43" s="191">
        <f t="shared" ref="J43:AB43" si="12">100*J44/Baulandwidmung</f>
        <v>20.596393810342224</v>
      </c>
      <c r="K43" s="191">
        <f t="shared" si="12"/>
        <v>19.03206380657749</v>
      </c>
      <c r="L43" s="191">
        <f t="shared" si="12"/>
        <v>18.606658891036979</v>
      </c>
      <c r="M43" s="191">
        <f t="shared" si="12"/>
        <v>18.316500422262152</v>
      </c>
      <c r="N43" s="191">
        <f t="shared" si="12"/>
        <v>18.516013479875191</v>
      </c>
      <c r="O43" s="191">
        <f t="shared" si="12"/>
        <v>22.069266946306222</v>
      </c>
      <c r="P43" s="191">
        <f t="shared" si="12"/>
        <v>19.454971639611745</v>
      </c>
      <c r="Q43" s="191">
        <f t="shared" si="12"/>
        <v>21.194600073299597</v>
      </c>
      <c r="R43" s="191">
        <f t="shared" si="12"/>
        <v>21.24316494457139</v>
      </c>
      <c r="S43" s="191">
        <f t="shared" si="12"/>
        <v>17.481936765488616</v>
      </c>
      <c r="T43" s="191">
        <f t="shared" si="12"/>
        <v>18.683755911707173</v>
      </c>
      <c r="U43" s="191">
        <f t="shared" si="12"/>
        <v>8.9665839682913493</v>
      </c>
      <c r="V43" s="191">
        <f t="shared" si="12"/>
        <v>15.014222202540964</v>
      </c>
      <c r="W43" s="191">
        <f t="shared" si="12"/>
        <v>13.843307537609599</v>
      </c>
      <c r="X43" s="191">
        <f t="shared" si="12"/>
        <v>21.726999698252257</v>
      </c>
      <c r="Y43" s="191">
        <f t="shared" si="12"/>
        <v>19.607426488161138</v>
      </c>
      <c r="Z43" s="191">
        <f t="shared" si="12"/>
        <v>18.039404711077452</v>
      </c>
      <c r="AA43" s="191">
        <f t="shared" si="12"/>
        <v>22.012493498748114</v>
      </c>
      <c r="AB43" s="191">
        <f t="shared" si="12"/>
        <v>18.835199754148853</v>
      </c>
      <c r="AC43" s="210"/>
      <c r="AD43" s="147"/>
      <c r="AE43" s="147"/>
      <c r="AF43" s="147"/>
    </row>
    <row r="44" spans="7:35" ht="19.5" customHeight="1" x14ac:dyDescent="0.3">
      <c r="G44" s="144"/>
      <c r="I44" s="152" t="str">
        <f>"in " &amp; Einheit</f>
        <v>in km²</v>
      </c>
      <c r="J44" s="191">
        <f>Fak_1*1135.303292</f>
        <v>11.35303292</v>
      </c>
      <c r="K44" s="191">
        <f>Fak_1*272.294271</f>
        <v>2.7229427099999999</v>
      </c>
      <c r="L44" s="191">
        <f>Fak_1*455.818808</f>
        <v>4.5581880799999999</v>
      </c>
      <c r="M44" s="191">
        <f>Fak_1*824.777485</f>
        <v>8.247774849999999</v>
      </c>
      <c r="N44" s="191">
        <f>Fak_1*618.365083</f>
        <v>6.1836508300000004</v>
      </c>
      <c r="O44" s="191">
        <f>Fak_1*587.730775</f>
        <v>5.8773077499999999</v>
      </c>
      <c r="P44" s="191">
        <f>Fak_1*1135.210523</f>
        <v>11.352105229999999</v>
      </c>
      <c r="Q44" s="191">
        <f>Fak_1*576.598648</f>
        <v>5.7659864800000005</v>
      </c>
      <c r="R44" s="191">
        <f>Fak_1*698.347145</f>
        <v>6.9834714499999997</v>
      </c>
      <c r="S44" s="191">
        <f>Fak_1*493.945212</f>
        <v>4.9394521200000003</v>
      </c>
      <c r="T44" s="191">
        <f>Fak_1*556.166829</f>
        <v>5.5616682900000001</v>
      </c>
      <c r="U44" s="191">
        <f>Fak_1*301.746983</f>
        <v>3.01746983</v>
      </c>
      <c r="V44" s="191">
        <f>Fak_1*148.105085</f>
        <v>1.4810508500000001</v>
      </c>
      <c r="W44" s="191">
        <f>Fak_1*217.094663</f>
        <v>2.17094663</v>
      </c>
      <c r="X44" s="191">
        <f>Fak_1*596.740565</f>
        <v>5.9674056499999999</v>
      </c>
      <c r="Y44" s="191">
        <f>Fak_1*640.745127</f>
        <v>6.4074512700000001</v>
      </c>
      <c r="Z44" s="191">
        <f>Fak_1*1195.284677</f>
        <v>11.952846770000001</v>
      </c>
      <c r="AA44" s="191">
        <f>Fak_1*782.679141</f>
        <v>7.8267914099999993</v>
      </c>
      <c r="AB44" s="191">
        <f>Fak_1*11236.954312</f>
        <v>112.36954312</v>
      </c>
      <c r="AC44" s="210"/>
      <c r="AD44" s="147"/>
      <c r="AE44" s="147"/>
      <c r="AF44" s="147"/>
    </row>
    <row r="45" spans="7:35" ht="19.5" customHeight="1" x14ac:dyDescent="0.3">
      <c r="G45" s="144"/>
      <c r="I45" s="148"/>
      <c r="J45" s="378" t="s">
        <v>7476</v>
      </c>
      <c r="K45" s="378"/>
      <c r="L45" s="378"/>
      <c r="M45" s="378"/>
      <c r="N45" s="378"/>
      <c r="O45" s="378"/>
      <c r="P45" s="378"/>
      <c r="Q45" s="378"/>
      <c r="R45" s="378"/>
      <c r="S45" s="378"/>
      <c r="T45" s="378"/>
      <c r="U45" s="378"/>
      <c r="V45" s="378"/>
      <c r="W45" s="378"/>
      <c r="X45" s="378"/>
      <c r="Y45" s="378"/>
      <c r="Z45" s="378"/>
      <c r="AA45" s="378"/>
      <c r="AB45" s="378"/>
      <c r="AC45" s="336"/>
      <c r="AD45" s="336"/>
      <c r="AE45" s="336"/>
      <c r="AF45" s="336"/>
      <c r="AG45" s="336"/>
      <c r="AH45" s="336"/>
    </row>
    <row r="46" spans="7:35" ht="19.5" customHeight="1" x14ac:dyDescent="0.3">
      <c r="G46" s="144"/>
      <c r="I46" s="148"/>
      <c r="J46" s="384"/>
      <c r="K46" s="384"/>
      <c r="L46" s="384"/>
      <c r="M46" s="384"/>
      <c r="N46" s="384"/>
      <c r="O46" s="384"/>
      <c r="P46" s="384"/>
      <c r="Q46" s="384"/>
      <c r="R46" s="384"/>
      <c r="S46" s="384"/>
      <c r="T46" s="384"/>
      <c r="U46" s="384"/>
      <c r="V46" s="384"/>
      <c r="W46" s="384"/>
      <c r="X46" s="384"/>
      <c r="Y46" s="384"/>
      <c r="Z46" s="384"/>
      <c r="AA46" s="384"/>
      <c r="AB46" s="384"/>
      <c r="AC46" s="210"/>
      <c r="AD46" s="147"/>
      <c r="AE46" s="147"/>
      <c r="AF46" s="147"/>
    </row>
    <row r="47" spans="7:35" ht="19.5" customHeight="1" x14ac:dyDescent="0.3">
      <c r="G47" s="144"/>
      <c r="I47" s="307" t="s">
        <v>7546</v>
      </c>
      <c r="J47" s="191">
        <f t="shared" ref="J47:AB47" si="13">100*J48/Baulandwidmung</f>
        <v>14.589805620882457</v>
      </c>
      <c r="K47" s="191">
        <f t="shared" si="13"/>
        <v>9.8839276546468717</v>
      </c>
      <c r="L47" s="191">
        <f t="shared" si="13"/>
        <v>9.6488297817417994</v>
      </c>
      <c r="M47" s="191">
        <f t="shared" si="13"/>
        <v>9.656038671174656</v>
      </c>
      <c r="N47" s="191">
        <f t="shared" si="13"/>
        <v>13.500050909635464</v>
      </c>
      <c r="O47" s="191">
        <f t="shared" si="13"/>
        <v>12.485633967423231</v>
      </c>
      <c r="P47" s="191">
        <f t="shared" si="13"/>
        <v>11.990707903592083</v>
      </c>
      <c r="Q47" s="191">
        <f t="shared" si="13"/>
        <v>9.7623231717476813</v>
      </c>
      <c r="R47" s="191">
        <f t="shared" si="13"/>
        <v>17.036007385705094</v>
      </c>
      <c r="S47" s="191">
        <f t="shared" si="13"/>
        <v>13.241883385106263</v>
      </c>
      <c r="T47" s="191">
        <f t="shared" si="13"/>
        <v>14.248257594864608</v>
      </c>
      <c r="U47" s="191">
        <f t="shared" si="13"/>
        <v>1.6969338450789733</v>
      </c>
      <c r="V47" s="191">
        <f t="shared" si="13"/>
        <v>5.9304296602209323</v>
      </c>
      <c r="W47" s="191">
        <f t="shared" si="13"/>
        <v>5.0431201414220137</v>
      </c>
      <c r="X47" s="191">
        <f t="shared" si="13"/>
        <v>10.7095332321282</v>
      </c>
      <c r="Y47" s="191">
        <f t="shared" si="13"/>
        <v>9.2744107110538749</v>
      </c>
      <c r="Z47" s="191">
        <f t="shared" si="13"/>
        <v>12.781279729970548</v>
      </c>
      <c r="AA47" s="191">
        <f t="shared" si="13"/>
        <v>11.057018623601577</v>
      </c>
      <c r="AB47" s="191">
        <f t="shared" si="13"/>
        <v>11.32373403772802</v>
      </c>
      <c r="AC47" s="210"/>
      <c r="AD47" s="147"/>
      <c r="AE47" s="147"/>
      <c r="AF47" s="147"/>
    </row>
    <row r="48" spans="7:35" ht="19.5" customHeight="1" x14ac:dyDescent="0.3">
      <c r="G48" s="144"/>
      <c r="I48" s="152" t="str">
        <f>"in " &amp; Einheit</f>
        <v>in km²</v>
      </c>
      <c r="J48" s="191">
        <f>Fak_1*804.211383</f>
        <v>8.0421138299999999</v>
      </c>
      <c r="K48" s="191">
        <f>Fak_1*141.410669</f>
        <v>1.4141066900000001</v>
      </c>
      <c r="L48" s="191">
        <f>Fak_1*236.373339</f>
        <v>2.3637333899999997</v>
      </c>
      <c r="M48" s="191">
        <f>Fak_1*434.803762</f>
        <v>4.3480376200000004</v>
      </c>
      <c r="N48" s="191">
        <f>Fak_1*450.850833</f>
        <v>4.5085083300000006</v>
      </c>
      <c r="O48" s="191">
        <f>Fak_1*332.507253</f>
        <v>3.3250725299999999</v>
      </c>
      <c r="P48" s="191">
        <f>Fak_1*699.665774</f>
        <v>6.9966577400000007</v>
      </c>
      <c r="Q48" s="191">
        <f>Fak_1*265.583796</f>
        <v>2.6558379599999999</v>
      </c>
      <c r="R48" s="191">
        <f>Fak_1*560.041178</f>
        <v>5.60041178</v>
      </c>
      <c r="S48" s="191">
        <f>Fak_1*374.14418</f>
        <v>3.7414418</v>
      </c>
      <c r="T48" s="191">
        <f>Fak_1*424.133578</f>
        <v>4.24133578</v>
      </c>
      <c r="U48" s="191">
        <f>Fak_1*57.10588</f>
        <v>0.57105879999999998</v>
      </c>
      <c r="V48" s="191">
        <f>Fak_1*58.499653</f>
        <v>0.58499653000000007</v>
      </c>
      <c r="W48" s="191">
        <f>Fak_1*79.087636</f>
        <v>0.79087636000000006</v>
      </c>
      <c r="X48" s="191">
        <f>Fak_1*294.141529</f>
        <v>2.9414152900000001</v>
      </c>
      <c r="Y48" s="191">
        <f>Fak_1*303.075647</f>
        <v>3.03075647</v>
      </c>
      <c r="Z48" s="191">
        <f>Fak_1*846.883146</f>
        <v>8.4688314600000005</v>
      </c>
      <c r="AA48" s="191">
        <f>Fak_1*393.144822</f>
        <v>3.93144822</v>
      </c>
      <c r="AB48" s="191">
        <f>Fak_1*6755.664059</f>
        <v>67.556640590000001</v>
      </c>
      <c r="AC48" s="210"/>
      <c r="AD48" s="147"/>
      <c r="AE48" s="147"/>
      <c r="AF48" s="147"/>
    </row>
    <row r="49" spans="1:78" ht="19.5" customHeight="1" x14ac:dyDescent="0.3">
      <c r="G49" s="144"/>
      <c r="I49" s="148"/>
      <c r="J49" s="378" t="s">
        <v>7420</v>
      </c>
      <c r="K49" s="378"/>
      <c r="L49" s="378"/>
      <c r="M49" s="378"/>
      <c r="N49" s="378"/>
      <c r="O49" s="378"/>
      <c r="P49" s="378"/>
      <c r="Q49" s="378"/>
      <c r="R49" s="378"/>
      <c r="S49" s="378"/>
      <c r="T49" s="378"/>
      <c r="U49" s="378"/>
      <c r="V49" s="378"/>
      <c r="W49" s="378"/>
      <c r="X49" s="378"/>
      <c r="Y49" s="378"/>
      <c r="Z49" s="378"/>
      <c r="AA49" s="378"/>
      <c r="AB49" s="378"/>
      <c r="AC49" s="336"/>
      <c r="AD49" s="336"/>
      <c r="AE49" s="336"/>
      <c r="AF49" s="336"/>
      <c r="AG49" s="336"/>
      <c r="AH49" s="336"/>
    </row>
    <row r="50" spans="1:78" ht="19.5" customHeight="1" x14ac:dyDescent="0.3">
      <c r="G50" s="144"/>
      <c r="I50" s="307"/>
      <c r="J50" s="384"/>
      <c r="K50" s="384"/>
      <c r="L50" s="384"/>
      <c r="M50" s="384"/>
      <c r="N50" s="384"/>
      <c r="O50" s="384"/>
      <c r="P50" s="384"/>
      <c r="Q50" s="384"/>
      <c r="R50" s="384"/>
      <c r="S50" s="384"/>
      <c r="T50" s="384"/>
      <c r="U50" s="384"/>
      <c r="V50" s="384"/>
      <c r="W50" s="384"/>
      <c r="X50" s="384"/>
      <c r="Y50" s="384"/>
      <c r="Z50" s="384"/>
      <c r="AA50" s="384"/>
      <c r="AB50" s="384"/>
      <c r="AC50" s="210"/>
      <c r="AD50" s="147"/>
      <c r="AE50" s="147"/>
      <c r="AF50" s="147"/>
    </row>
    <row r="51" spans="1:78" ht="19.5" customHeight="1" x14ac:dyDescent="0.3">
      <c r="G51" s="144"/>
      <c r="I51" s="307" t="s">
        <v>7546</v>
      </c>
      <c r="J51" s="191">
        <f t="shared" ref="J51:AB51" si="14">100*J52/Baulandwidmung</f>
        <v>25.055904628888538</v>
      </c>
      <c r="K51" s="191">
        <f t="shared" si="14"/>
        <v>27.270056615080851</v>
      </c>
      <c r="L51" s="191">
        <f t="shared" si="14"/>
        <v>35.064530598352569</v>
      </c>
      <c r="M51" s="191">
        <f t="shared" si="14"/>
        <v>23.531817630654693</v>
      </c>
      <c r="N51" s="191">
        <f t="shared" si="14"/>
        <v>27.218322185775349</v>
      </c>
      <c r="O51" s="191">
        <f t="shared" si="14"/>
        <v>27.608705424959091</v>
      </c>
      <c r="P51" s="191">
        <f t="shared" si="14"/>
        <v>22.17764161023393</v>
      </c>
      <c r="Q51" s="191">
        <f t="shared" si="14"/>
        <v>28.222795964667043</v>
      </c>
      <c r="R51" s="191">
        <f t="shared" si="14"/>
        <v>26.071910180449354</v>
      </c>
      <c r="S51" s="191">
        <f t="shared" si="14"/>
        <v>28.800088332221595</v>
      </c>
      <c r="T51" s="191">
        <f t="shared" si="14"/>
        <v>27.100697902949246</v>
      </c>
      <c r="U51" s="191">
        <f t="shared" si="14"/>
        <v>29.499018801643953</v>
      </c>
      <c r="V51" s="191">
        <f t="shared" si="14"/>
        <v>28.104426333611329</v>
      </c>
      <c r="W51" s="191">
        <f t="shared" si="14"/>
        <v>28.009150198493902</v>
      </c>
      <c r="X51" s="191">
        <f t="shared" si="14"/>
        <v>25.170434759852473</v>
      </c>
      <c r="Y51" s="191">
        <f t="shared" si="14"/>
        <v>26.955207469238584</v>
      </c>
      <c r="Z51" s="191">
        <f t="shared" si="14"/>
        <v>22.724785225524318</v>
      </c>
      <c r="AA51" s="191">
        <f t="shared" si="14"/>
        <v>24.592924718450998</v>
      </c>
      <c r="AB51" s="191">
        <f t="shared" si="14"/>
        <v>26.039659185806567</v>
      </c>
      <c r="AC51" s="210"/>
      <c r="AD51" s="147"/>
      <c r="AE51" s="147"/>
      <c r="AF51" s="147"/>
    </row>
    <row r="52" spans="1:78" ht="19.5" customHeight="1" x14ac:dyDescent="0.3">
      <c r="G52" s="144"/>
      <c r="I52" s="152" t="str">
        <f>"in " &amp; Einheit</f>
        <v>in km²</v>
      </c>
      <c r="J52" s="191">
        <f>Fak_1*1381.118038</f>
        <v>13.811180380000001</v>
      </c>
      <c r="K52" s="191">
        <f>Fak_1*390.156331</f>
        <v>3.9015633100000002</v>
      </c>
      <c r="L52" s="191">
        <f>Fak_1*858.99745</f>
        <v>8.5899745000000003</v>
      </c>
      <c r="M52" s="191">
        <f>Fak_1*1059.619082</f>
        <v>10.59619082</v>
      </c>
      <c r="N52" s="191">
        <f>Fak_1*908.989404</f>
        <v>9.0898940400000008</v>
      </c>
      <c r="O52" s="191">
        <f>Fak_1*735.252597</f>
        <v>7.3525259700000003</v>
      </c>
      <c r="P52" s="191">
        <f>Fak_1*1294.080125</f>
        <v>12.94080125</v>
      </c>
      <c r="Q52" s="191">
        <f>Fak_1*767.800569</f>
        <v>7.67800569</v>
      </c>
      <c r="R52" s="191">
        <f>Fak_1*857.087166</f>
        <v>8.5708716599999999</v>
      </c>
      <c r="S52" s="191">
        <f>Fak_1*813.73511</f>
        <v>8.1373511000000001</v>
      </c>
      <c r="T52" s="191">
        <f>Fak_1*806.717305</f>
        <v>8.067173050000001</v>
      </c>
      <c r="U52" s="191">
        <f>Fak_1*992.712493</f>
        <v>9.9271249299999997</v>
      </c>
      <c r="V52" s="191">
        <f>Fak_1*277.231041</f>
        <v>2.7723104100000002</v>
      </c>
      <c r="W52" s="191">
        <f>Fak_1*439.247413</f>
        <v>4.3924741300000001</v>
      </c>
      <c r="X52" s="191">
        <f>Fak_1*691.315859</f>
        <v>6.913158590000001</v>
      </c>
      <c r="Y52" s="191">
        <f>Fak_1*880.861027</f>
        <v>8.8086102700000009</v>
      </c>
      <c r="Z52" s="191">
        <f>Fak_1*1505.736359</f>
        <v>15.05736359</v>
      </c>
      <c r="AA52" s="191">
        <f>Fak_1*874.429296</f>
        <v>8.744292960000001</v>
      </c>
      <c r="AB52" s="191">
        <f>Fak_1*15535.086667</f>
        <v>155.35086666999999</v>
      </c>
      <c r="AC52" s="210"/>
      <c r="AD52" s="147"/>
      <c r="AE52" s="147"/>
      <c r="AF52" s="147"/>
    </row>
    <row r="53" spans="1:78" ht="19.5" customHeight="1" x14ac:dyDescent="0.3">
      <c r="G53" s="144"/>
      <c r="I53" s="148"/>
      <c r="J53" s="285"/>
      <c r="K53" s="285"/>
      <c r="L53" s="285"/>
      <c r="M53" s="285"/>
      <c r="N53" s="285"/>
      <c r="O53" s="285"/>
      <c r="P53" s="285"/>
      <c r="Q53" s="285"/>
      <c r="R53" s="285"/>
      <c r="S53" s="285"/>
      <c r="T53" s="285"/>
      <c r="U53" s="285"/>
      <c r="V53" s="285"/>
      <c r="W53" s="285"/>
      <c r="X53" s="285"/>
      <c r="Y53" s="285"/>
      <c r="Z53" s="285"/>
      <c r="AA53" s="285"/>
      <c r="AB53" s="285"/>
      <c r="AC53" s="210"/>
      <c r="AD53" s="147"/>
      <c r="AE53" s="147"/>
      <c r="AF53" s="147"/>
    </row>
    <row r="54" spans="1:78" s="144" customFormat="1" ht="74.25" customHeight="1" x14ac:dyDescent="0.6">
      <c r="B54" s="227"/>
      <c r="C54" s="228"/>
      <c r="D54" s="229"/>
      <c r="E54" s="244" t="s">
        <v>7408</v>
      </c>
      <c r="F54" s="188"/>
      <c r="G54" s="187"/>
      <c r="H54" s="187"/>
    </row>
    <row r="55" spans="1:78"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"&amp;OÖ!Einheit, IF(Versatz = 2, "in m² pro Einwohner:in", "in Prozent des Dauersiedlungsraums"))</f>
        <v>Flächeninanspruchnahme in km²</v>
      </c>
      <c r="J55" s="369"/>
      <c r="K55" s="369"/>
      <c r="L55" s="369"/>
      <c r="M55" s="369"/>
      <c r="N55" s="369"/>
      <c r="O55" s="369"/>
      <c r="P55" s="369"/>
      <c r="Q55" s="369"/>
      <c r="R55" s="369"/>
      <c r="S55" s="369"/>
      <c r="T55" s="369"/>
      <c r="U55" s="369"/>
      <c r="V55" s="369"/>
      <c r="W55" s="369"/>
      <c r="X55" s="369"/>
      <c r="Y55" s="369"/>
      <c r="Z55" s="369"/>
      <c r="AA55" s="369"/>
      <c r="AB55" s="369"/>
      <c r="AC55" s="369"/>
      <c r="AD55" s="369"/>
    </row>
    <row r="56" spans="1:78" x14ac:dyDescent="0.3">
      <c r="F56" s="181"/>
      <c r="G56" s="137"/>
      <c r="H56" s="178"/>
      <c r="I56" s="180"/>
      <c r="J56" s="137"/>
      <c r="K56" s="137"/>
      <c r="L56" s="137"/>
      <c r="M56" s="137"/>
      <c r="N56" s="137"/>
      <c r="O56" s="137"/>
      <c r="P56" s="137"/>
      <c r="Q56" s="137"/>
      <c r="R56" s="137"/>
      <c r="S56" s="137"/>
      <c r="T56" s="137"/>
      <c r="U56" s="137"/>
      <c r="V56" s="137"/>
      <c r="W56" s="137"/>
      <c r="X56" s="137"/>
      <c r="Y56" s="137"/>
      <c r="Z56" s="137"/>
      <c r="AA56" s="137"/>
      <c r="AB56" s="137"/>
      <c r="AC56" s="137"/>
      <c r="AD56" s="137"/>
      <c r="AE56" s="136"/>
    </row>
    <row r="57" spans="1:78" hidden="1" x14ac:dyDescent="0.3">
      <c r="F57" s="137"/>
      <c r="G57" s="137"/>
      <c r="H57" s="178" t="s">
        <v>7532</v>
      </c>
      <c r="I57" s="180"/>
      <c r="J57" s="137">
        <f t="shared" ref="J57:AA57" si="15">IF(Versatz = 1, Fak_Einheit, IF(Versatz = 2, 10000/J59, 100*Fak_Einheit/J60))</f>
        <v>0.01</v>
      </c>
      <c r="K57" s="137">
        <f t="shared" si="15"/>
        <v>0.01</v>
      </c>
      <c r="L57" s="137">
        <f t="shared" si="15"/>
        <v>0.01</v>
      </c>
      <c r="M57" s="137">
        <f t="shared" si="15"/>
        <v>0.01</v>
      </c>
      <c r="N57" s="137">
        <f t="shared" si="15"/>
        <v>0.01</v>
      </c>
      <c r="O57" s="137">
        <f t="shared" si="15"/>
        <v>0.01</v>
      </c>
      <c r="P57" s="137">
        <f t="shared" si="15"/>
        <v>0.01</v>
      </c>
      <c r="Q57" s="137">
        <f t="shared" si="15"/>
        <v>0.01</v>
      </c>
      <c r="R57" s="137">
        <f t="shared" si="15"/>
        <v>0.01</v>
      </c>
      <c r="S57" s="137">
        <f t="shared" si="15"/>
        <v>0.01</v>
      </c>
      <c r="T57" s="137">
        <f t="shared" si="15"/>
        <v>0.01</v>
      </c>
      <c r="U57" s="137">
        <f t="shared" si="15"/>
        <v>0.01</v>
      </c>
      <c r="V57" s="137">
        <f t="shared" si="15"/>
        <v>0.01</v>
      </c>
      <c r="W57" s="137">
        <f t="shared" si="15"/>
        <v>0.01</v>
      </c>
      <c r="X57" s="137">
        <f t="shared" si="15"/>
        <v>0.01</v>
      </c>
      <c r="Y57" s="137">
        <f t="shared" si="15"/>
        <v>0.01</v>
      </c>
      <c r="Z57" s="137">
        <f t="shared" si="15"/>
        <v>0.01</v>
      </c>
      <c r="AA57" s="137">
        <f t="shared" si="15"/>
        <v>0.01</v>
      </c>
      <c r="AB57" s="137">
        <f t="shared" ref="AB57" si="16">IF(Versatz = 1, Fak_Einheit, IF(Versatz = 2, 10000/AB59, 100*Fak_Einheit/AB60))</f>
        <v>0.01</v>
      </c>
      <c r="AC57" s="137"/>
      <c r="AD57" s="137"/>
      <c r="AE57" s="136"/>
    </row>
    <row r="58" spans="1:78" hidden="1" x14ac:dyDescent="0.3">
      <c r="F58" s="137"/>
      <c r="G58" s="137"/>
      <c r="H58" s="178" t="s">
        <v>7531</v>
      </c>
      <c r="I58" s="180"/>
      <c r="J58" s="137">
        <v>1</v>
      </c>
      <c r="K58" s="137">
        <v>1</v>
      </c>
      <c r="L58" s="137">
        <v>1</v>
      </c>
      <c r="M58" s="137">
        <v>1</v>
      </c>
      <c r="N58" s="137">
        <v>1</v>
      </c>
      <c r="O58" s="137">
        <v>1</v>
      </c>
      <c r="P58" s="137">
        <v>1</v>
      </c>
      <c r="Q58" s="137">
        <v>1</v>
      </c>
      <c r="R58" s="137">
        <v>1</v>
      </c>
      <c r="S58" s="137">
        <v>1</v>
      </c>
      <c r="T58" s="137">
        <v>1</v>
      </c>
      <c r="U58" s="137">
        <v>1</v>
      </c>
      <c r="V58" s="137">
        <v>1</v>
      </c>
      <c r="W58" s="137">
        <v>1</v>
      </c>
      <c r="X58" s="137">
        <v>1</v>
      </c>
      <c r="Y58" s="137">
        <v>1</v>
      </c>
      <c r="Z58" s="137">
        <v>1</v>
      </c>
      <c r="AA58" s="137">
        <v>1</v>
      </c>
      <c r="AB58" s="137">
        <v>1</v>
      </c>
      <c r="AC58" s="137"/>
      <c r="AD58" s="137"/>
      <c r="AE58" s="136"/>
    </row>
    <row r="59" spans="1:78" x14ac:dyDescent="0.3">
      <c r="F59" s="149"/>
      <c r="G59" s="149"/>
      <c r="H59" s="192" t="s">
        <v>159</v>
      </c>
      <c r="I59" s="154"/>
      <c r="J59" s="193">
        <v>107732</v>
      </c>
      <c r="K59" s="193">
        <v>33422</v>
      </c>
      <c r="L59" s="193">
        <v>67163</v>
      </c>
      <c r="M59" s="193">
        <v>102335</v>
      </c>
      <c r="N59" s="193">
        <v>65660</v>
      </c>
      <c r="O59" s="193">
        <v>57505</v>
      </c>
      <c r="P59" s="193">
        <v>153611</v>
      </c>
      <c r="Q59" s="193">
        <v>69827</v>
      </c>
      <c r="R59" s="193">
        <v>62252</v>
      </c>
      <c r="S59" s="193">
        <v>56838</v>
      </c>
      <c r="T59" s="193">
        <v>57497</v>
      </c>
      <c r="U59" s="193">
        <v>207247</v>
      </c>
      <c r="V59" s="193">
        <v>37879</v>
      </c>
      <c r="W59" s="193">
        <v>63181</v>
      </c>
      <c r="X59" s="193">
        <v>61209</v>
      </c>
      <c r="Y59" s="193">
        <v>87127</v>
      </c>
      <c r="Z59" s="193">
        <v>139416</v>
      </c>
      <c r="AA59" s="193">
        <v>75239</v>
      </c>
      <c r="AB59" s="193">
        <v>1505140</v>
      </c>
      <c r="AC59" s="194" t="s">
        <v>163</v>
      </c>
      <c r="AD59" s="194"/>
      <c r="AE59" s="195"/>
      <c r="AF59" s="147"/>
      <c r="AG59" s="147"/>
    </row>
    <row r="60" spans="1:78" x14ac:dyDescent="0.3">
      <c r="F60" s="150"/>
      <c r="G60" s="150"/>
      <c r="H60" s="192" t="s">
        <v>171</v>
      </c>
      <c r="I60" s="154"/>
      <c r="J60" s="193">
        <f>68088.7322594434*(+OÖ!Fak_Einheit)</f>
        <v>680.88732259443395</v>
      </c>
      <c r="K60" s="193">
        <f>20266.023889466*(+OÖ!Fak_Einheit)</f>
        <v>202.66023889466001</v>
      </c>
      <c r="L60" s="193">
        <f>53869.5931546112*(+OÖ!Fak_Einheit)</f>
        <v>538.69593154611198</v>
      </c>
      <c r="M60" s="193">
        <f>30212.7057646133*(+OÖ!Fak_Einheit)</f>
        <v>302.12705764613298</v>
      </c>
      <c r="N60" s="193">
        <f>50110.9860113661*(+OÖ!Fak_Einheit)</f>
        <v>501.109860113661</v>
      </c>
      <c r="O60" s="193">
        <f>38625.820996273*(+OÖ!Fak_Einheit)</f>
        <v>386.25820996273006</v>
      </c>
      <c r="P60" s="193">
        <f>40586.6256828396*(+OÖ!Fak_Einheit)</f>
        <v>405.86625682839599</v>
      </c>
      <c r="Q60" s="193">
        <f>39433.5128448972*(+OÖ!Fak_Einheit)</f>
        <v>394.33512844897206</v>
      </c>
      <c r="R60" s="193">
        <f>47768.1890664568*(+OÖ!Fak_Einheit)</f>
        <v>477.68189066456802</v>
      </c>
      <c r="S60" s="193">
        <f>49915.7943768702*(+OÖ!Fak_Einheit)</f>
        <v>499.15794376870201</v>
      </c>
      <c r="T60" s="193">
        <f>47179.4959506437*(+OÖ!Fak_Einheit)</f>
        <v>471.79495950643701</v>
      </c>
      <c r="U60" s="193">
        <f>7751.6390648276*(+OÖ!Fak_Einheit)</f>
        <v>77.516390648276001</v>
      </c>
      <c r="V60" s="193">
        <f>2415.1466767816*(+OÖ!Fak_Einheit)</f>
        <v>24.151466767816</v>
      </c>
      <c r="W60" s="193">
        <f>4339.3243800316*(+OÖ!Fak_Einheit)</f>
        <v>43.393243800316007</v>
      </c>
      <c r="X60" s="193">
        <f>40519.2015432835*(+OÖ!Fak_Einheit)</f>
        <v>405.19201543283503</v>
      </c>
      <c r="Y60" s="193">
        <f>44087.6969386094*(+OÖ!Fak_Einheit)</f>
        <v>440.876969386094</v>
      </c>
      <c r="Z60" s="193">
        <f>59286.5285245104*(+OÖ!Fak_Einheit)</f>
        <v>592.86528524510402</v>
      </c>
      <c r="AA60" s="193">
        <f>39773.9614019399*(+OÖ!Fak_Einheit)</f>
        <v>397.73961401939903</v>
      </c>
      <c r="AB60" s="193">
        <v>684230.97852746444</v>
      </c>
      <c r="AC60" s="194" t="str">
        <f t="shared" ref="AC60" si="17">Einheit</f>
        <v>km²</v>
      </c>
      <c r="AD60" s="194"/>
      <c r="AE60" s="195"/>
      <c r="AF60" s="147"/>
      <c r="AG60" s="147"/>
    </row>
    <row r="61" spans="1:78" x14ac:dyDescent="0.3">
      <c r="F61" s="150"/>
      <c r="G61" s="150"/>
      <c r="H61" s="192"/>
      <c r="I61" s="154"/>
      <c r="J61" s="193"/>
      <c r="K61" s="193"/>
      <c r="L61" s="193"/>
      <c r="M61" s="193"/>
      <c r="N61" s="193"/>
      <c r="O61" s="193"/>
      <c r="P61" s="193"/>
      <c r="Q61" s="193"/>
      <c r="R61" s="193"/>
      <c r="S61" s="193"/>
      <c r="T61" s="193"/>
      <c r="U61" s="193"/>
      <c r="V61" s="193"/>
      <c r="W61" s="193"/>
      <c r="X61" s="193"/>
      <c r="Y61" s="193"/>
      <c r="Z61" s="193"/>
      <c r="AA61" s="193"/>
      <c r="AB61" s="193"/>
      <c r="AC61" s="194"/>
      <c r="AD61" s="194"/>
      <c r="AE61" s="195"/>
      <c r="AF61" s="147"/>
      <c r="AG61" s="147"/>
    </row>
    <row r="62" spans="1:78" s="144" customFormat="1" ht="112.5" customHeight="1" x14ac:dyDescent="0.4">
      <c r="B62" s="227"/>
      <c r="C62" s="228"/>
      <c r="D62" s="229"/>
      <c r="E62" s="131"/>
      <c r="F62" s="210"/>
      <c r="G62" s="196"/>
      <c r="H62" s="210"/>
      <c r="I62" s="148"/>
      <c r="J62" s="278" t="str">
        <f t="shared" ref="J62:AB62" si="18">+J24</f>
        <v>Braunau</v>
      </c>
      <c r="K62" s="278" t="str">
        <f t="shared" si="18"/>
        <v>Eferding</v>
      </c>
      <c r="L62" s="278" t="str">
        <f t="shared" si="18"/>
        <v>Freistadt</v>
      </c>
      <c r="M62" s="278" t="str">
        <f t="shared" si="18"/>
        <v>Gmunden</v>
      </c>
      <c r="N62" s="278" t="str">
        <f t="shared" si="18"/>
        <v>Grieskirchen</v>
      </c>
      <c r="O62" s="278" t="str">
        <f t="shared" si="18"/>
        <v>Kirchdorf</v>
      </c>
      <c r="P62" s="278" t="str">
        <f t="shared" si="18"/>
        <v>Linz-Land</v>
      </c>
      <c r="Q62" s="278" t="str">
        <f t="shared" si="18"/>
        <v>Perg</v>
      </c>
      <c r="R62" s="278" t="str">
        <f t="shared" si="18"/>
        <v>Ried</v>
      </c>
      <c r="S62" s="278" t="str">
        <f t="shared" si="18"/>
        <v>Rohrbach</v>
      </c>
      <c r="T62" s="278" t="str">
        <f t="shared" si="18"/>
        <v>Schärding</v>
      </c>
      <c r="U62" s="278" t="str">
        <f t="shared" si="18"/>
        <v>Stadt Linz</v>
      </c>
      <c r="V62" s="278" t="str">
        <f t="shared" si="18"/>
        <v>Stadt Steyr</v>
      </c>
      <c r="W62" s="278" t="str">
        <f t="shared" si="18"/>
        <v>Stadt Wels</v>
      </c>
      <c r="X62" s="278" t="str">
        <f t="shared" si="18"/>
        <v>Steyr-Land</v>
      </c>
      <c r="Y62" s="278" t="str">
        <f t="shared" si="18"/>
        <v>Urfahr-Umgebung</v>
      </c>
      <c r="Z62" s="278" t="str">
        <f t="shared" si="18"/>
        <v>Vöcklabruck</v>
      </c>
      <c r="AA62" s="278" t="str">
        <f t="shared" si="18"/>
        <v>Wels-Land</v>
      </c>
      <c r="AB62" s="279" t="str">
        <f t="shared" si="18"/>
        <v>OÖ</v>
      </c>
      <c r="AC62" s="211"/>
      <c r="AD62" s="210"/>
      <c r="AE62" s="210"/>
      <c r="AF62" s="210"/>
      <c r="AG62" s="210"/>
    </row>
    <row r="63" spans="1:78" s="144" customFormat="1" ht="24" customHeight="1" x14ac:dyDescent="0.25">
      <c r="B63" s="227"/>
      <c r="C63" s="228"/>
      <c r="D63" s="229"/>
      <c r="E63" s="131"/>
      <c r="F63" s="198" t="s">
        <v>25</v>
      </c>
      <c r="G63" s="196">
        <v>101</v>
      </c>
      <c r="H63" s="148" t="str">
        <f>+VLOOKUP($G63,Konstanten!$A$2:$B$15,2,FALSE)</f>
        <v>Autobahn u. Schnellstraße</v>
      </c>
      <c r="I63" s="148"/>
      <c r="J63" s="267">
        <f>Fak_3*0</f>
        <v>0</v>
      </c>
      <c r="K63" s="267">
        <f>Fak_3*0</f>
        <v>0</v>
      </c>
      <c r="L63" s="267">
        <f>Fak_3*72.6698486495557</f>
        <v>0.72669848649555702</v>
      </c>
      <c r="M63" s="267">
        <f>Fak_3*90.5936257675646</f>
        <v>0.90593625767564601</v>
      </c>
      <c r="N63" s="267">
        <f>Fak_3*134.919747586381</f>
        <v>1.3491974758638099</v>
      </c>
      <c r="O63" s="267">
        <f>Fak_3*220.741130084484</f>
        <v>2.2074113008448402</v>
      </c>
      <c r="P63" s="267">
        <f>Fak_3*223.304106618688</f>
        <v>2.23304106618688</v>
      </c>
      <c r="Q63" s="267">
        <f>Fak_3*0</f>
        <v>0</v>
      </c>
      <c r="R63" s="267">
        <f>Fak_3*104.616434831825</f>
        <v>1.0461643483182501</v>
      </c>
      <c r="S63" s="267">
        <f>Fak_3*0</f>
        <v>0</v>
      </c>
      <c r="T63" s="267">
        <f>Fak_3*39.9164020282587</f>
        <v>0.39916402028258702</v>
      </c>
      <c r="U63" s="267">
        <f>Fak_3*120.850541895233</f>
        <v>1.2085054189523299</v>
      </c>
      <c r="V63" s="267">
        <f>Fak_3*0</f>
        <v>0</v>
      </c>
      <c r="W63" s="267">
        <f>Fak_3*89.3255389810698</f>
        <v>0.89325538981069796</v>
      </c>
      <c r="X63" s="267">
        <f>Fak_3*0</f>
        <v>0</v>
      </c>
      <c r="Y63" s="267">
        <f>Fak_3*50.9152993437561</f>
        <v>0.50915299343756093</v>
      </c>
      <c r="Z63" s="267">
        <f>Fak_3*246.924149621804</f>
        <v>2.4692414962180398</v>
      </c>
      <c r="AA63" s="267">
        <f>Fak_3*254.127623854209</f>
        <v>2.5412762385420899</v>
      </c>
      <c r="AB63" s="267">
        <f>Fak_3*1648.90444926283</f>
        <v>16.489044492628299</v>
      </c>
      <c r="AC63" s="213"/>
      <c r="AD63" s="220">
        <f t="shared" ref="AD63:AD76" si="19">+BM63/BL63</f>
        <v>0.62529156358129656</v>
      </c>
      <c r="AE63" s="367" t="s">
        <v>7527</v>
      </c>
      <c r="AG63" s="210"/>
      <c r="BL63" s="144">
        <v>110.40250823890199</v>
      </c>
      <c r="BM63" s="144">
        <v>69.033756999999994</v>
      </c>
      <c r="BN63" s="144">
        <f>+BL63-BM63</f>
        <v>41.368751238901993</v>
      </c>
      <c r="BY63" s="214"/>
      <c r="BZ63" s="214"/>
    </row>
    <row r="64" spans="1:78" s="144" customFormat="1" ht="24" customHeight="1" x14ac:dyDescent="0.25">
      <c r="B64" s="227"/>
      <c r="C64" s="228"/>
      <c r="D64" s="229"/>
      <c r="E64" s="131"/>
      <c r="F64" s="198"/>
      <c r="G64" s="196">
        <v>102</v>
      </c>
      <c r="H64" s="148" t="str">
        <f>+VLOOKUP($G64,Konstanten!$A$2:$B$15,2,FALSE)</f>
        <v>Landesstraße B + L</v>
      </c>
      <c r="I64" s="148"/>
      <c r="J64" s="267">
        <f>Fak_3*719.042014136214</f>
        <v>7.1904201413621402</v>
      </c>
      <c r="K64" s="267">
        <f>Fak_3*163.007801251813</f>
        <v>1.63007801251813</v>
      </c>
      <c r="L64" s="267">
        <f>Fak_3*673.066382042088</f>
        <v>6.7306638204208795</v>
      </c>
      <c r="M64" s="267">
        <f>Fak_3*377.796186695387</f>
        <v>3.7779618669538699</v>
      </c>
      <c r="N64" s="267">
        <f>Fak_3*454.894234784535</f>
        <v>4.5489423478453501</v>
      </c>
      <c r="O64" s="267">
        <f>Fak_3*417.949136038491</f>
        <v>4.17949136038491</v>
      </c>
      <c r="P64" s="267">
        <f>Fak_3*568.364199881752</f>
        <v>5.68364199881752</v>
      </c>
      <c r="Q64" s="267">
        <f>Fak_3*425.878578939675</f>
        <v>4.2587857893967502</v>
      </c>
      <c r="R64" s="267">
        <f>Fak_3*492.201160793087</f>
        <v>4.9220116079308704</v>
      </c>
      <c r="S64" s="267">
        <f>Fak_3*594.034415426858</f>
        <v>5.9403441542685798</v>
      </c>
      <c r="T64" s="267">
        <f>Fak_3*575.060273979772</f>
        <v>5.7506027397977197</v>
      </c>
      <c r="U64" s="267">
        <f>Fak_3*98.0732645351121</f>
        <v>0.98073264535112104</v>
      </c>
      <c r="V64" s="267">
        <f>Fak_3*45.5982803278474</f>
        <v>0.45598280327847401</v>
      </c>
      <c r="W64" s="267">
        <f>Fak_3*50.0171459681677</f>
        <v>0.50017145968167709</v>
      </c>
      <c r="X64" s="267">
        <f>Fak_3*419.540913098373</f>
        <v>4.1954091309837303</v>
      </c>
      <c r="Y64" s="267">
        <f>Fak_3*433.679786073711</f>
        <v>4.3367978607371098</v>
      </c>
      <c r="Z64" s="267">
        <f>Fak_3*591.252415716117</f>
        <v>5.9125241571611697</v>
      </c>
      <c r="AA64" s="267">
        <f>Fak_3*343.495477715438</f>
        <v>3.4349547771543802</v>
      </c>
      <c r="AB64" s="267">
        <f>Fak_3*7442.95166740444</f>
        <v>74.429516674044393</v>
      </c>
      <c r="AC64" s="213"/>
      <c r="AD64" s="220">
        <f t="shared" si="19"/>
        <v>0.74842676287368548</v>
      </c>
      <c r="AE64" s="367"/>
      <c r="AG64" s="210"/>
      <c r="BL64" s="144">
        <v>429.83434045676199</v>
      </c>
      <c r="BM64" s="144">
        <v>321.699524</v>
      </c>
      <c r="BN64" s="144">
        <f t="shared" ref="BN64:BN76" si="20">+BL64-BM64</f>
        <v>108.134816456762</v>
      </c>
      <c r="BY64" s="214"/>
      <c r="BZ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Fak_3*1586.19418021965</f>
        <v>15.861941802196499</v>
      </c>
      <c r="K65" s="267">
        <f>Fak_3*500.996274675019</f>
        <v>5.0099627467501895</v>
      </c>
      <c r="L65" s="267">
        <f>Fak_3*1538.04180357626</f>
        <v>15.380418035762601</v>
      </c>
      <c r="M65" s="267">
        <f>Fak_3*1297.1238236933</f>
        <v>12.971238236933001</v>
      </c>
      <c r="N65" s="267">
        <f>Fak_3*1086.69236912765</f>
        <v>10.866923691276499</v>
      </c>
      <c r="O65" s="267">
        <f>Fak_3*1196.1275295932</f>
        <v>11.961275295932001</v>
      </c>
      <c r="P65" s="267">
        <f>Fak_3*1214.14013579071</f>
        <v>12.1414013579071</v>
      </c>
      <c r="Q65" s="267">
        <f>Fak_3*1264.76074532576</f>
        <v>12.647607453257599</v>
      </c>
      <c r="R65" s="267">
        <f>Fak_3*1042.33299600675</f>
        <v>10.4233299600675</v>
      </c>
      <c r="S65" s="267">
        <f>Fak_3*1241.64375429177</f>
        <v>12.4164375429177</v>
      </c>
      <c r="T65" s="267">
        <f>Fak_3*1063.69241634169</f>
        <v>10.6369241634169</v>
      </c>
      <c r="U65" s="267">
        <f>Fak_3*819.459496818566</f>
        <v>8.19459496818566</v>
      </c>
      <c r="V65" s="267">
        <f>Fak_3*175.889249333519</f>
        <v>1.7588924933351899</v>
      </c>
      <c r="W65" s="267">
        <f>Fak_3*425.593269183542</f>
        <v>4.2559326918354206</v>
      </c>
      <c r="X65" s="267">
        <f>Fak_3*1172.36951688009</f>
        <v>11.7236951688009</v>
      </c>
      <c r="Y65" s="267">
        <f>Fak_3*1248.24592859556</f>
        <v>12.482459285955599</v>
      </c>
      <c r="Z65" s="267">
        <f>Fak_3*1738.75864374445</f>
        <v>17.387586437444501</v>
      </c>
      <c r="AA65" s="267">
        <f>Fak_3*1028.3585454263</f>
        <v>10.283585454263001</v>
      </c>
      <c r="AB65" s="267">
        <f>Fak_3*19640.4206786238</f>
        <v>196.40420678623801</v>
      </c>
      <c r="AC65" s="213"/>
      <c r="AD65" s="220">
        <f t="shared" si="19"/>
        <v>0.77800703868448506</v>
      </c>
      <c r="AE65" s="367"/>
      <c r="AG65" s="210"/>
      <c r="BL65" s="144">
        <v>1051.88642686803</v>
      </c>
      <c r="BM65" s="144">
        <v>818.37504400000012</v>
      </c>
      <c r="BN65" s="144">
        <f t="shared" si="20"/>
        <v>233.51138286802984</v>
      </c>
      <c r="BY65" s="214"/>
      <c r="BZ65" s="214"/>
    </row>
    <row r="66" spans="2:128" s="144" customFormat="1" ht="24" customHeight="1" x14ac:dyDescent="0.25">
      <c r="B66" s="227"/>
      <c r="C66" s="228"/>
      <c r="D66" s="229"/>
      <c r="E66" s="131"/>
      <c r="F66" s="198"/>
      <c r="G66" s="196">
        <v>104</v>
      </c>
      <c r="H66" s="148" t="str">
        <f>+VLOOKUP($G66,Konstanten!$A$2:$B$15,2,FALSE)</f>
        <v>Schiene</v>
      </c>
      <c r="I66" s="148"/>
      <c r="J66" s="267">
        <f>Fak_3*81.3533458148745</f>
        <v>0.813533458148745</v>
      </c>
      <c r="K66" s="267">
        <f>Fak_3*43.197615911061</f>
        <v>0.43197615911060999</v>
      </c>
      <c r="L66" s="267">
        <f>Fak_3*109.954503510757</f>
        <v>1.09954503510757</v>
      </c>
      <c r="M66" s="267">
        <f>Fak_3*154.531142558858</f>
        <v>1.54531142558858</v>
      </c>
      <c r="N66" s="267">
        <f>Fak_3*115.384352145832</f>
        <v>1.15384352145832</v>
      </c>
      <c r="O66" s="267">
        <f>Fak_3*149.749472592001</f>
        <v>1.4974947259200102</v>
      </c>
      <c r="P66" s="267">
        <f>Fak_3*179.795718929405</f>
        <v>1.7979571892940502</v>
      </c>
      <c r="Q66" s="267">
        <f>Fak_3*97.578500767418</f>
        <v>0.97578500767418008</v>
      </c>
      <c r="R66" s="267">
        <f>Fak_3*111.14550899255</f>
        <v>1.1114550899255</v>
      </c>
      <c r="S66" s="267">
        <f>Fak_3*43.2268860950171</f>
        <v>0.43226886095017103</v>
      </c>
      <c r="T66" s="267">
        <f>Fak_3*122.570244194591</f>
        <v>1.2257024419459099</v>
      </c>
      <c r="U66" s="267">
        <f>Fak_3*251.941613427353</f>
        <v>2.5194161342735302</v>
      </c>
      <c r="V66" s="267">
        <f>Fak_3*17.2360618022193</f>
        <v>0.17236061802219302</v>
      </c>
      <c r="W66" s="267">
        <f>Fak_3*115.069290798992</f>
        <v>1.15069290798992</v>
      </c>
      <c r="X66" s="267">
        <f>Fak_3*145.276849425219</f>
        <v>1.4527684942521901</v>
      </c>
      <c r="Y66" s="267">
        <f>Fak_3*32.8723383227189</f>
        <v>0.32872338322718903</v>
      </c>
      <c r="Z66" s="267">
        <f>Fak_3*215.152225606009</f>
        <v>2.15152225606009</v>
      </c>
      <c r="AA66" s="267">
        <f>Fak_3*128.534946912205</f>
        <v>1.2853494691220499</v>
      </c>
      <c r="AB66" s="267">
        <f>Fak_3*2114.57061780708</f>
        <v>21.1457061780708</v>
      </c>
      <c r="AC66" s="213"/>
      <c r="AD66" s="220">
        <f t="shared" si="19"/>
        <v>0.50588581842325953</v>
      </c>
      <c r="AE66" s="367"/>
      <c r="AG66" s="210"/>
      <c r="BL66" s="144">
        <v>127.56757285891301</v>
      </c>
      <c r="BM66" s="144">
        <v>64.534626000000003</v>
      </c>
      <c r="BN66" s="144">
        <f t="shared" si="20"/>
        <v>63.032946858913007</v>
      </c>
      <c r="BY66" s="214"/>
      <c r="BZ66" s="214"/>
    </row>
    <row r="67" spans="2:128" s="144" customFormat="1" ht="24" customHeight="1" x14ac:dyDescent="0.25">
      <c r="B67" s="227"/>
      <c r="C67" s="228"/>
      <c r="D67" s="229"/>
      <c r="E67" s="131"/>
      <c r="F67" s="200"/>
      <c r="G67" s="215"/>
      <c r="H67" s="216"/>
      <c r="I67" s="217" t="s">
        <v>7535</v>
      </c>
      <c r="J67" s="268">
        <f>Fak_3*2386.58954017074</f>
        <v>23.865895401707398</v>
      </c>
      <c r="K67" s="268">
        <f>Fak_3*707.201691837893</f>
        <v>7.0720169183789299</v>
      </c>
      <c r="L67" s="268">
        <f>Fak_3*2393.73253777866</f>
        <v>23.937325377786603</v>
      </c>
      <c r="M67" s="268">
        <f>Fak_3*1920.04477871511</f>
        <v>19.200447787151099</v>
      </c>
      <c r="N67" s="268">
        <f>Fak_3*1791.8907036444</f>
        <v>17.918907036444001</v>
      </c>
      <c r="O67" s="268">
        <f>Fak_3*1984.56726830817</f>
        <v>19.845672683081702</v>
      </c>
      <c r="P67" s="268">
        <f>Fak_3*2185.60416122055</f>
        <v>21.856041612205498</v>
      </c>
      <c r="Q67" s="268">
        <f>Fak_3*1788.21782503286</f>
        <v>17.8821782503286</v>
      </c>
      <c r="R67" s="268">
        <f>Fak_3*1750.29610062421</f>
        <v>17.502961006242103</v>
      </c>
      <c r="S67" s="268">
        <f>Fak_3*1878.90505581364</f>
        <v>18.789050558136402</v>
      </c>
      <c r="T67" s="268">
        <f>Fak_3*1801.23933654431</f>
        <v>18.012393365443099</v>
      </c>
      <c r="U67" s="268">
        <f>Fak_3*1290.32491667626</f>
        <v>12.903249166762601</v>
      </c>
      <c r="V67" s="268">
        <f>Fak_3*238.723591463586</f>
        <v>2.3872359146358599</v>
      </c>
      <c r="W67" s="268">
        <f>Fak_3*680.005244931771</f>
        <v>6.8000524493177101</v>
      </c>
      <c r="X67" s="268">
        <f>Fak_3*1737.18727940368</f>
        <v>17.371872794036801</v>
      </c>
      <c r="Y67" s="268">
        <f>Fak_3*1765.71335233575</f>
        <v>17.657133523357501</v>
      </c>
      <c r="Z67" s="268">
        <f>Fak_3*2792.08743468838</f>
        <v>27.920874346883803</v>
      </c>
      <c r="AA67" s="268">
        <f>Fak_3*1754.51659390815</f>
        <v>17.5451659390815</v>
      </c>
      <c r="AB67" s="268">
        <f>Fak_3*30846.8474130981</f>
        <v>308.46847413098101</v>
      </c>
      <c r="AC67" s="213"/>
      <c r="AD67" s="220">
        <f t="shared" si="19"/>
        <v>0.7406232068794526</v>
      </c>
      <c r="AE67" s="367"/>
      <c r="AG67" s="210"/>
      <c r="BL67" s="144">
        <v>1719.6908484226101</v>
      </c>
      <c r="BM67" s="144">
        <v>1273.642951</v>
      </c>
      <c r="BN67" s="144">
        <f t="shared" si="20"/>
        <v>446.04789742261005</v>
      </c>
      <c r="BY67" s="214"/>
      <c r="BZ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Fak_3*2003.25140683299</f>
        <v>20.032514068329899</v>
      </c>
      <c r="K68" s="267">
        <f>Fak_3*642.402699333663</f>
        <v>6.4240269933366303</v>
      </c>
      <c r="L68" s="267">
        <f>Fak_3*1131.70264798129</f>
        <v>11.317026479812901</v>
      </c>
      <c r="M68" s="267">
        <f>Fak_3*2250.60655918242</f>
        <v>22.5060655918242</v>
      </c>
      <c r="N68" s="267">
        <f>Fak_3*1218.45627135836</f>
        <v>12.184562713583601</v>
      </c>
      <c r="O68" s="267">
        <f>Fak_3*1320.65732419432</f>
        <v>13.2065732419432</v>
      </c>
      <c r="P68" s="267">
        <f>Fak_3*2777.78755433207</f>
        <v>27.777875543320704</v>
      </c>
      <c r="Q68" s="267">
        <f>Fak_3*1349.25804043754</f>
        <v>13.492580404375401</v>
      </c>
      <c r="R68" s="267">
        <f>Fak_3*1153.41697348192</f>
        <v>11.5341697348192</v>
      </c>
      <c r="S68" s="267">
        <f>Fak_3*1093.73544596677</f>
        <v>10.9373544596677</v>
      </c>
      <c r="T68" s="267">
        <f>Fak_3*1239.74842791444</f>
        <v>12.3974842791444</v>
      </c>
      <c r="U68" s="267">
        <f>Fak_3*1459.19929898753</f>
        <v>14.591992989875301</v>
      </c>
      <c r="V68" s="267">
        <f>Fak_3*528.443348478762</f>
        <v>5.2844334847876198</v>
      </c>
      <c r="W68" s="267">
        <f>Fak_3*685.855719686803</f>
        <v>6.8585571968680306</v>
      </c>
      <c r="X68" s="267">
        <f>Fak_3*1571.69772950891</f>
        <v>15.7169772950891</v>
      </c>
      <c r="Y68" s="267">
        <f>Fak_3*2060.41363577169</f>
        <v>20.604136357716904</v>
      </c>
      <c r="Z68" s="267">
        <f>Fak_3*2640.39884899859</f>
        <v>26.403988489985899</v>
      </c>
      <c r="AA68" s="267">
        <f>Fak_3*1729.9227999584</f>
        <v>17.299227999584001</v>
      </c>
      <c r="AB68" s="267">
        <f>Fak_3*26856.9547324065</f>
        <v>268.56954732406501</v>
      </c>
      <c r="AC68" s="213"/>
      <c r="AD68" s="220">
        <f t="shared" si="19"/>
        <v>0.39295521959753704</v>
      </c>
      <c r="AE68" s="367"/>
      <c r="AG68" s="210"/>
      <c r="BL68" s="144">
        <v>1112.6431516746302</v>
      </c>
      <c r="BM68" s="144">
        <v>437.21893399999999</v>
      </c>
      <c r="BN68" s="144">
        <f t="shared" si="20"/>
        <v>675.4242176746302</v>
      </c>
      <c r="BY68" s="214"/>
      <c r="BZ68" s="214"/>
    </row>
    <row r="69" spans="2:128" s="144" customFormat="1" ht="24" customHeight="1" x14ac:dyDescent="0.25">
      <c r="B69" s="227"/>
      <c r="C69" s="228"/>
      <c r="D69" s="229"/>
      <c r="E69" s="131"/>
      <c r="F69" s="198"/>
      <c r="G69" s="197">
        <v>212</v>
      </c>
      <c r="H69" s="148" t="str">
        <f>+VLOOKUP($G69,Konstanten!$A$2:$B$15,2,FALSE)</f>
        <v>gemischte bauliche Nutzung</v>
      </c>
      <c r="I69" s="148"/>
      <c r="J69" s="267">
        <f>Fak_3*1660.06964418539</f>
        <v>16.600696441853898</v>
      </c>
      <c r="K69" s="267">
        <f>Fak_3*406.570452030882</f>
        <v>4.0657045203088202</v>
      </c>
      <c r="L69" s="267">
        <f>Fak_3*688.038248529023</f>
        <v>6.8803824852902302</v>
      </c>
      <c r="M69" s="267">
        <f>Fak_3*895.549801684036</f>
        <v>8.9554980168403606</v>
      </c>
      <c r="N69" s="267">
        <f>Fak_3*1073.01002994506</f>
        <v>10.730100299450601</v>
      </c>
      <c r="O69" s="267">
        <f>Fak_3*392.844322989735</f>
        <v>3.9284432298973502</v>
      </c>
      <c r="P69" s="267">
        <f>Fak_3*866.670523879417</f>
        <v>8.6667052387941705</v>
      </c>
      <c r="Q69" s="267">
        <f>Fak_3*589.467775155117</f>
        <v>5.8946777515511704</v>
      </c>
      <c r="R69" s="267">
        <f>Fak_3*1018.2591892818</f>
        <v>10.182591892817999</v>
      </c>
      <c r="S69" s="267">
        <f>Fak_3*898.026208265762</f>
        <v>8.9802620826576192</v>
      </c>
      <c r="T69" s="267">
        <f>Fak_3*843.419200405825</f>
        <v>8.4341920040582501</v>
      </c>
      <c r="U69" s="267">
        <f>Fak_3*407.036403038731</f>
        <v>4.0703640303873101</v>
      </c>
      <c r="V69" s="267">
        <f>Fak_3*124.426319170108</f>
        <v>1.24426319170108</v>
      </c>
      <c r="W69" s="267">
        <f>Fak_3*231.160707816436</f>
        <v>2.3116070781643603</v>
      </c>
      <c r="X69" s="267">
        <f>Fak_3*377.320423087687</f>
        <v>3.7732042308768703</v>
      </c>
      <c r="Y69" s="267">
        <f>Fak_3*532.998977655895</f>
        <v>5.3299897765589508</v>
      </c>
      <c r="Z69" s="267">
        <f>Fak_3*1873.21960937644</f>
        <v>18.732196093764401</v>
      </c>
      <c r="AA69" s="267">
        <f>Fak_3*682.246242565772</f>
        <v>6.8224624256577204</v>
      </c>
      <c r="AB69" s="267">
        <f>Fak_3*13560.3340790631</f>
        <v>135.60334079063099</v>
      </c>
      <c r="AC69" s="213"/>
      <c r="AD69" s="220">
        <f t="shared" si="19"/>
        <v>0.47014924161630484</v>
      </c>
      <c r="AE69" s="367"/>
      <c r="AG69" s="210"/>
      <c r="BL69" s="144">
        <v>1091.9388516614299</v>
      </c>
      <c r="BM69" s="144">
        <v>513.37422300000003</v>
      </c>
      <c r="BN69" s="144">
        <f t="shared" si="20"/>
        <v>578.56462866142988</v>
      </c>
      <c r="BY69" s="214"/>
      <c r="BZ69" s="214"/>
    </row>
    <row r="70" spans="2:128" s="144" customFormat="1" ht="24" customHeight="1" x14ac:dyDescent="0.25">
      <c r="B70" s="227"/>
      <c r="C70" s="228"/>
      <c r="D70" s="229"/>
      <c r="E70" s="131"/>
      <c r="F70" s="198"/>
      <c r="G70" s="197">
        <v>213</v>
      </c>
      <c r="H70" s="148" t="str">
        <f>+VLOOKUP($G70,Konstanten!$A$2:$B$15,2,FALSE)</f>
        <v>betriebliche Nutzung</v>
      </c>
      <c r="I70" s="148"/>
      <c r="J70" s="267">
        <f>Fak_3*924.953284684145</f>
        <v>9.2495328468414506</v>
      </c>
      <c r="K70" s="267">
        <f>Fak_3*204.029066523377</f>
        <v>2.04029066523377</v>
      </c>
      <c r="L70" s="267">
        <f>Fak_3*293.776653339242</f>
        <v>2.9377665333924199</v>
      </c>
      <c r="M70" s="267">
        <f>Fak_3*756.126387132683</f>
        <v>7.5612638713268305</v>
      </c>
      <c r="N70" s="267">
        <f>Fak_3*513.898415661252</f>
        <v>5.1389841566125201</v>
      </c>
      <c r="O70" s="267">
        <f>Fak_3*501.75666839197</f>
        <v>5.0175666839197</v>
      </c>
      <c r="P70" s="267">
        <f>Fak_3*1190.67190126241</f>
        <v>11.906719012624102</v>
      </c>
      <c r="Q70" s="267">
        <f>Fak_3*411.272927602896</f>
        <v>4.1127292760289604</v>
      </c>
      <c r="R70" s="267">
        <f>Fak_3*484.552460450358</f>
        <v>4.8455246045035798</v>
      </c>
      <c r="S70" s="267">
        <f>Fak_3*362.763893917187</f>
        <v>3.6276389391718697</v>
      </c>
      <c r="T70" s="267">
        <f>Fak_3*421.641714635678</f>
        <v>4.2164171463567799</v>
      </c>
      <c r="U70" s="267">
        <f>Fak_3*1127.44850465479</f>
        <v>11.2744850465479</v>
      </c>
      <c r="V70" s="267">
        <f>Fak_3*251.597480554198</f>
        <v>2.5159748055419802</v>
      </c>
      <c r="W70" s="267">
        <f>Fak_3*463.575898569458</f>
        <v>4.6357589856945802</v>
      </c>
      <c r="X70" s="267">
        <f>Fak_3*390.291816243056</f>
        <v>3.9029181624305602</v>
      </c>
      <c r="Y70" s="267">
        <f>Fak_3*283.924537154964</f>
        <v>2.8392453715496404</v>
      </c>
      <c r="Z70" s="267">
        <f>Fak_3*1068.92191154091</f>
        <v>10.689219115409101</v>
      </c>
      <c r="AA70" s="267">
        <f>Fak_3*680.823932594227</f>
        <v>6.80823932594227</v>
      </c>
      <c r="AB70" s="267">
        <f>Fak_3*10332.0274549128</f>
        <v>103.32027454912802</v>
      </c>
      <c r="AC70" s="213"/>
      <c r="AD70" s="220">
        <f t="shared" si="19"/>
        <v>0.67934740484148592</v>
      </c>
      <c r="AE70" s="367"/>
      <c r="AG70" s="210"/>
      <c r="BL70" s="144">
        <v>435.91739350075102</v>
      </c>
      <c r="BM70" s="144">
        <v>296.13935000000004</v>
      </c>
      <c r="BN70" s="144">
        <f t="shared" si="20"/>
        <v>139.77804350075098</v>
      </c>
      <c r="BY70" s="214"/>
      <c r="BZ70" s="214"/>
    </row>
    <row r="71" spans="2:128" s="144" customFormat="1" ht="24" customHeight="1" x14ac:dyDescent="0.25">
      <c r="B71" s="227"/>
      <c r="C71" s="228"/>
      <c r="D71" s="229"/>
      <c r="E71" s="131"/>
      <c r="F71" s="198"/>
      <c r="G71" s="197">
        <v>214</v>
      </c>
      <c r="H71" s="148" t="str">
        <f>+VLOOKUP($G71,Konstanten!$A$2:$B$15,2,FALSE)</f>
        <v>sonstige bauliche Nutzung</v>
      </c>
      <c r="I71" s="148"/>
      <c r="J71" s="267">
        <f>Fak_3*119.660254917525</f>
        <v>1.1966025491752499</v>
      </c>
      <c r="K71" s="267">
        <f>Fak_3*36.300428310501</f>
        <v>0.36300428310500998</v>
      </c>
      <c r="L71" s="267">
        <f>Fak_3*99.8708372783106</f>
        <v>0.99870837278310609</v>
      </c>
      <c r="M71" s="267">
        <f>Fak_3*165.834167871309</f>
        <v>1.65834167871309</v>
      </c>
      <c r="N71" s="267">
        <f>Fak_3*83.4076557016734</f>
        <v>0.83407655701673411</v>
      </c>
      <c r="O71" s="267">
        <f>Fak_3*115.353131701966</f>
        <v>1.1535313170196602</v>
      </c>
      <c r="P71" s="267">
        <f>Fak_3*300.270696475741</f>
        <v>3.0027069647574098</v>
      </c>
      <c r="Q71" s="267">
        <f>Fak_3*104.915351162569</f>
        <v>1.04915351162569</v>
      </c>
      <c r="R71" s="267">
        <f>Fak_3*71.1270945820818</f>
        <v>0.71127094582081796</v>
      </c>
      <c r="S71" s="267">
        <f>Fak_3*96.7907378327091</f>
        <v>0.96790737832709095</v>
      </c>
      <c r="T71" s="267">
        <f>Fak_3*47.7970429300359</f>
        <v>0.47797042930035899</v>
      </c>
      <c r="U71" s="267">
        <f>Fak_3*314.448939426318</f>
        <v>3.1444893942631804</v>
      </c>
      <c r="V71" s="267">
        <f>Fak_3*23.4651496892842</f>
        <v>0.23465149689284201</v>
      </c>
      <c r="W71" s="267">
        <f>Fak_3*108.548312390609</f>
        <v>1.08548312390609</v>
      </c>
      <c r="X71" s="267">
        <f>Fak_3*113.087707671</f>
        <v>1.13087707671</v>
      </c>
      <c r="Y71" s="267">
        <f>Fak_3*87.4567888880908</f>
        <v>0.87456788888090797</v>
      </c>
      <c r="Z71" s="267">
        <f>Fak_3*196.541676022229</f>
        <v>1.9654167602222901</v>
      </c>
      <c r="AA71" s="267">
        <f>Fak_3*69.4754774541755</f>
        <v>0.69475477454175505</v>
      </c>
      <c r="AB71" s="267">
        <f>Fak_3*2154.35145030613</f>
        <v>21.543514503061303</v>
      </c>
      <c r="AC71" s="213"/>
      <c r="AD71" s="220">
        <f t="shared" si="19"/>
        <v>0.49709310254569294</v>
      </c>
      <c r="AE71" s="367"/>
      <c r="AG71" s="210"/>
      <c r="BL71" s="144">
        <v>153.25834860683301</v>
      </c>
      <c r="BM71" s="144">
        <v>76.183667999999997</v>
      </c>
      <c r="BN71" s="144">
        <f t="shared" si="20"/>
        <v>77.074680606833013</v>
      </c>
      <c r="BY71" s="214"/>
      <c r="BZ71" s="214"/>
    </row>
    <row r="72" spans="2:128" s="144" customFormat="1" ht="24" customHeight="1" x14ac:dyDescent="0.25">
      <c r="B72" s="227"/>
      <c r="C72" s="228"/>
      <c r="D72" s="229"/>
      <c r="E72" s="131"/>
      <c r="F72" s="200"/>
      <c r="G72" s="215"/>
      <c r="H72" s="216"/>
      <c r="I72" s="217" t="s">
        <v>7536</v>
      </c>
      <c r="J72" s="268">
        <f>Fak_3*4707.93459062005</f>
        <v>47.079345906200494</v>
      </c>
      <c r="K72" s="268">
        <f>Fak_3*1289.30264619842</f>
        <v>12.893026461984201</v>
      </c>
      <c r="L72" s="268">
        <f>Fak_3*2213.38838712786</f>
        <v>22.133883871278599</v>
      </c>
      <c r="M72" s="268">
        <f>Fak_3*4068.11691587045</f>
        <v>40.681169158704499</v>
      </c>
      <c r="N72" s="268">
        <f>Fak_3*2888.77237266635</f>
        <v>28.887723726663499</v>
      </c>
      <c r="O72" s="268">
        <f>Fak_3*2330.61144727799</f>
        <v>23.3061144727799</v>
      </c>
      <c r="P72" s="268">
        <f>Fak_3*5135.40067594965</f>
        <v>51.3540067594965</v>
      </c>
      <c r="Q72" s="268">
        <f>Fak_3*2454.91409435812</f>
        <v>24.5491409435812</v>
      </c>
      <c r="R72" s="268">
        <f>Fak_3*2727.35571779616</f>
        <v>27.273557177961603</v>
      </c>
      <c r="S72" s="268">
        <f>Fak_3*2451.31628598242</f>
        <v>24.513162859824202</v>
      </c>
      <c r="T72" s="268">
        <f>Fak_3*2552.60638588597</f>
        <v>25.526063858859704</v>
      </c>
      <c r="U72" s="268">
        <f>Fak_3*3308.13314610736</f>
        <v>33.081331461073603</v>
      </c>
      <c r="V72" s="268">
        <f>Fak_3*927.932297892351</f>
        <v>9.2793229789235099</v>
      </c>
      <c r="W72" s="268">
        <f>Fak_3*1489.14063846331</f>
        <v>14.8914063846331</v>
      </c>
      <c r="X72" s="268">
        <f>Fak_3*2452.39767651065</f>
        <v>24.5239767651065</v>
      </c>
      <c r="Y72" s="268">
        <f>Fak_3*2964.79393947064</f>
        <v>29.647939394706402</v>
      </c>
      <c r="Z72" s="268">
        <f>Fak_3*5779.08204593816</f>
        <v>57.790820459381607</v>
      </c>
      <c r="AA72" s="268">
        <f>Fak_3*3162.46845257257</f>
        <v>31.624684525725701</v>
      </c>
      <c r="AB72" s="268">
        <f>Fak_3*52903.6677166885</f>
        <v>529.03667716688494</v>
      </c>
      <c r="AC72" s="213"/>
      <c r="AD72" s="220">
        <f t="shared" si="19"/>
        <v>0.47352572969419021</v>
      </c>
      <c r="AE72" s="367"/>
      <c r="AG72" s="210"/>
      <c r="BL72" s="144">
        <v>2793.75774544365</v>
      </c>
      <c r="BM72" s="144">
        <v>1322.9161750000001</v>
      </c>
      <c r="BN72" s="144">
        <f t="shared" si="20"/>
        <v>1470.84157044365</v>
      </c>
      <c r="BY72" s="214"/>
      <c r="BZ72" s="214"/>
    </row>
    <row r="73" spans="2:128" s="144" customFormat="1" ht="24" customHeight="1" x14ac:dyDescent="0.25">
      <c r="B73" s="227"/>
      <c r="C73" s="228"/>
      <c r="D73" s="229"/>
      <c r="E73" s="131"/>
      <c r="F73" s="200" t="s">
        <v>7409</v>
      </c>
      <c r="G73" s="215"/>
      <c r="H73" s="216"/>
      <c r="I73" s="217" t="s">
        <v>7537</v>
      </c>
      <c r="J73" s="268">
        <f>Fak_3*1469.05111000498</f>
        <v>14.6905111000498</v>
      </c>
      <c r="K73" s="268">
        <f>Fak_3*475.427816720572</f>
        <v>4.7542781672057206</v>
      </c>
      <c r="L73" s="268">
        <f>Fak_3*1350.75128532651</f>
        <v>13.5075128532651</v>
      </c>
      <c r="M73" s="268">
        <f>Fak_3*832.309257422775</f>
        <v>8.3230925742277506</v>
      </c>
      <c r="N73" s="268">
        <f>Fak_3*1048.26608387564</f>
        <v>10.4826608387564</v>
      </c>
      <c r="O73" s="268">
        <f>Fak_3*1015.74939851726</f>
        <v>10.1574939851726</v>
      </c>
      <c r="P73" s="268">
        <f>Fak_3*581.808066190746</f>
        <v>5.8180806619074596</v>
      </c>
      <c r="Q73" s="268">
        <f>Fak_3*905.004685874352</f>
        <v>9.0500468587435208</v>
      </c>
      <c r="R73" s="268">
        <f>Fak_3*954.89402664272</f>
        <v>9.5489402664272003</v>
      </c>
      <c r="S73" s="268">
        <f>Fak_3*1162.1298301281</f>
        <v>11.621298301281</v>
      </c>
      <c r="T73" s="268">
        <f>Fak_3*1053.29940341622</f>
        <v>10.532994034162201</v>
      </c>
      <c r="U73" s="268">
        <f>Fak_3*180.824957383173</f>
        <v>1.8082495738317301</v>
      </c>
      <c r="V73" s="268">
        <f>Fak_3*32.6965799795161</f>
        <v>0.32696579979516105</v>
      </c>
      <c r="W73" s="268">
        <f>Fak_3*102.592049442291</f>
        <v>1.0259204944229101</v>
      </c>
      <c r="X73" s="268">
        <f>Fak_3*828.667407133479</f>
        <v>8.2866740713347902</v>
      </c>
      <c r="Y73" s="268">
        <f>Fak_3*1081.58715731671</f>
        <v>10.815871573167101</v>
      </c>
      <c r="Z73" s="268">
        <f>Fak_3*1135.76141678524</f>
        <v>11.3576141678524</v>
      </c>
      <c r="AA73" s="268">
        <f>Fak_3*823.687711110383</f>
        <v>8.2368771111038299</v>
      </c>
      <c r="AB73" s="268">
        <f>Fak_3*15034.5082432707</f>
        <v>150.34508243270702</v>
      </c>
      <c r="AC73" s="213"/>
      <c r="AD73" s="220">
        <f t="shared" si="19"/>
        <v>0.44779624681110691</v>
      </c>
      <c r="AE73" s="367"/>
      <c r="AG73" s="210"/>
      <c r="BL73" s="144">
        <v>659.18180668565299</v>
      </c>
      <c r="BM73" s="144">
        <v>295.17913900000002</v>
      </c>
      <c r="BN73" s="144">
        <f t="shared" si="20"/>
        <v>364.00266768565297</v>
      </c>
      <c r="BY73" s="214"/>
      <c r="BZ73" s="214"/>
      <c r="DV73" s="330"/>
      <c r="DW73" s="330"/>
      <c r="DX73" s="330"/>
    </row>
    <row r="74" spans="2:128" s="144" customFormat="1" ht="24" customHeight="1" x14ac:dyDescent="0.25">
      <c r="B74" s="227"/>
      <c r="C74" s="228"/>
      <c r="D74" s="229"/>
      <c r="E74" s="131"/>
      <c r="F74" s="321" t="s">
        <v>7549</v>
      </c>
      <c r="G74" s="199"/>
      <c r="H74" s="200"/>
      <c r="I74" s="217" t="s">
        <v>7538</v>
      </c>
      <c r="J74" s="268">
        <f>Fak_3*325.467942754698</f>
        <v>3.2546794275469804</v>
      </c>
      <c r="K74" s="268">
        <f>Fak_3*102.739748891168</f>
        <v>1.0273974889116801</v>
      </c>
      <c r="L74" s="268">
        <f>Fak_3*239.422258003228</f>
        <v>2.3942225800322801</v>
      </c>
      <c r="M74" s="268">
        <f>Fak_3*367.308458135839</f>
        <v>3.6730845813583897</v>
      </c>
      <c r="N74" s="268">
        <f>Fak_3*223.405530622658</f>
        <v>2.2340553062265802</v>
      </c>
      <c r="O74" s="268">
        <f>Fak_3*223.308635217067</f>
        <v>2.2330863521706701</v>
      </c>
      <c r="P74" s="268">
        <f>Fak_3*608.873962582809</f>
        <v>6.0887396258280901</v>
      </c>
      <c r="Q74" s="268">
        <f>Fak_3*281.347263323155</f>
        <v>2.8134726332315503</v>
      </c>
      <c r="R74" s="268">
        <f>Fak_3*160.633279478193</f>
        <v>1.6063327947819301</v>
      </c>
      <c r="S74" s="268">
        <f>Fak_3*247.431114829764</f>
        <v>2.4743111482976401</v>
      </c>
      <c r="T74" s="268">
        <f>Fak_3*218.667130730708</f>
        <v>2.1866713073070803</v>
      </c>
      <c r="U74" s="268">
        <f>Fak_3*521.880753742313</f>
        <v>5.21880753742313</v>
      </c>
      <c r="V74" s="268">
        <f>Fak_3*94.6083395806923</f>
        <v>0.94608339580692302</v>
      </c>
      <c r="W74" s="268">
        <f>Fak_3*123.887966671322</f>
        <v>1.23887966671322</v>
      </c>
      <c r="X74" s="268">
        <f>Fak_3*193.681563896005</f>
        <v>1.9368156389600502</v>
      </c>
      <c r="Y74" s="268">
        <f>Fak_3*396.510379877149</f>
        <v>3.9651037987714899</v>
      </c>
      <c r="Z74" s="268">
        <f>Fak_3*669.735774261506</f>
        <v>6.6973577426150603</v>
      </c>
      <c r="AA74" s="268">
        <f>Fak_3*223.162187344485</f>
        <v>2.2316218734448503</v>
      </c>
      <c r="AB74" s="268">
        <f>Fak_3*5222.07228994276</f>
        <v>52.220722899427599</v>
      </c>
      <c r="AC74" s="213"/>
      <c r="AD74" s="220">
        <f t="shared" si="19"/>
        <v>0.16709269428718873</v>
      </c>
      <c r="AE74" s="367"/>
      <c r="AG74" s="210"/>
      <c r="BL74" s="144">
        <v>330.24510877272303</v>
      </c>
      <c r="BM74" s="144">
        <v>55.181545</v>
      </c>
      <c r="BN74" s="144">
        <f t="shared" si="20"/>
        <v>275.063563772723</v>
      </c>
      <c r="BY74" s="214"/>
      <c r="BZ74" s="214"/>
      <c r="DV74" s="330"/>
      <c r="DW74" s="330"/>
      <c r="DX74" s="330"/>
    </row>
    <row r="75" spans="2:128" s="144" customFormat="1" ht="24" customHeight="1" x14ac:dyDescent="0.25">
      <c r="B75" s="227"/>
      <c r="C75" s="228"/>
      <c r="D75" s="229"/>
      <c r="E75" s="131"/>
      <c r="F75" s="322" t="s">
        <v>7519</v>
      </c>
      <c r="G75" s="199"/>
      <c r="H75" s="200"/>
      <c r="I75" s="217" t="s">
        <v>7539</v>
      </c>
      <c r="J75" s="268">
        <f>Fak_3*227.168105719347</f>
        <v>2.27168105719347</v>
      </c>
      <c r="K75" s="268">
        <f>Fak_3*152.698473911785</f>
        <v>1.5269847391178499</v>
      </c>
      <c r="L75" s="268">
        <f>Fak_3*60.6696152989626</f>
        <v>0.60669615298962598</v>
      </c>
      <c r="M75" s="268">
        <f>Fak_3*241.519369690309</f>
        <v>2.4151936969030898</v>
      </c>
      <c r="N75" s="268">
        <f>Fak_3*66.4656236675306</f>
        <v>0.66465623667530593</v>
      </c>
      <c r="O75" s="268">
        <f>Fak_3*195.184239223871</f>
        <v>1.95184239223871</v>
      </c>
      <c r="P75" s="268">
        <f>Fak_3*95.883463709874</f>
        <v>0.95883463709873995</v>
      </c>
      <c r="Q75" s="268">
        <f>Fak_3*115.214128252549</f>
        <v>1.15214128252549</v>
      </c>
      <c r="R75" s="268">
        <f>Fak_3*129.426011827451</f>
        <v>1.2942601182745099</v>
      </c>
      <c r="S75" s="268">
        <f>Fak_3*59.7329823518835</f>
        <v>0.59732982351883501</v>
      </c>
      <c r="T75" s="268">
        <f>Fak_3*74.1798302223974</f>
        <v>0.74179830222397403</v>
      </c>
      <c r="U75" s="268">
        <f>Fak_3*0.0652866384064863</f>
        <v>6.5286638406486302E-4</v>
      </c>
      <c r="V75" s="268">
        <f>Fak_3*10.7456557670742</f>
        <v>0.10745655767074201</v>
      </c>
      <c r="W75" s="268">
        <f>Fak_3*21.8693444698837</f>
        <v>0.218693444698837</v>
      </c>
      <c r="X75" s="268">
        <f>Fak_3*181.91354804651</f>
        <v>1.8191354804650999</v>
      </c>
      <c r="Y75" s="268">
        <f>Fak_3*60.0691428385621</f>
        <v>0.60069142838562106</v>
      </c>
      <c r="Z75" s="268">
        <f>Fak_3*153.963732356694</f>
        <v>1.5396373235669401</v>
      </c>
      <c r="AA75" s="268">
        <f>Fak_3*149.00116935285</f>
        <v>1.4900116935285002</v>
      </c>
      <c r="AB75" s="268">
        <f>Fak_3*1995.76972334594</f>
        <v>19.957697233459402</v>
      </c>
      <c r="AC75" s="213"/>
      <c r="AD75" s="220">
        <f t="shared" si="19"/>
        <v>0.11640789345535361</v>
      </c>
      <c r="AE75" s="367"/>
      <c r="AG75" s="210"/>
      <c r="BL75" s="144">
        <v>145.07992111786899</v>
      </c>
      <c r="BM75" s="144">
        <v>16.888448</v>
      </c>
      <c r="BN75" s="144">
        <f t="shared" si="20"/>
        <v>128.19147311786898</v>
      </c>
      <c r="BY75" s="214"/>
      <c r="BZ75" s="214"/>
      <c r="DV75" s="330"/>
      <c r="DW75" s="330"/>
      <c r="DX75" s="330"/>
    </row>
    <row r="76" spans="2:128" s="208" customFormat="1" ht="24" customHeight="1" x14ac:dyDescent="0.25">
      <c r="B76" s="240"/>
      <c r="C76" s="230"/>
      <c r="D76" s="241"/>
      <c r="E76" s="183"/>
      <c r="F76" s="202" t="s">
        <v>7416</v>
      </c>
      <c r="G76" s="203"/>
      <c r="H76" s="201"/>
      <c r="I76" s="204" t="s">
        <v>7533</v>
      </c>
      <c r="J76" s="269">
        <f t="shared" ref="J76:AB76" si="21">+SUM(J75,J74,J73,J72,J67)</f>
        <v>91.162112892698133</v>
      </c>
      <c r="K76" s="269">
        <f t="shared" si="21"/>
        <v>27.273703775598378</v>
      </c>
      <c r="L76" s="269">
        <f t="shared" si="21"/>
        <v>62.579640835352208</v>
      </c>
      <c r="M76" s="269">
        <f t="shared" si="21"/>
        <v>74.292987798344825</v>
      </c>
      <c r="N76" s="269">
        <f t="shared" si="21"/>
        <v>60.188003144765787</v>
      </c>
      <c r="O76" s="269">
        <f t="shared" si="21"/>
        <v>57.494209885443581</v>
      </c>
      <c r="P76" s="269">
        <f t="shared" si="21"/>
        <v>86.07570329653629</v>
      </c>
      <c r="Q76" s="269">
        <f t="shared" si="21"/>
        <v>55.446979968410361</v>
      </c>
      <c r="R76" s="269">
        <f t="shared" si="21"/>
        <v>57.226051363687347</v>
      </c>
      <c r="S76" s="269">
        <f t="shared" si="21"/>
        <v>57.995152691058081</v>
      </c>
      <c r="T76" s="269">
        <f t="shared" si="21"/>
        <v>56.999920867996053</v>
      </c>
      <c r="U76" s="269">
        <f t="shared" si="21"/>
        <v>53.012290605475123</v>
      </c>
      <c r="V76" s="269">
        <f t="shared" si="21"/>
        <v>13.047064646832197</v>
      </c>
      <c r="W76" s="269">
        <f t="shared" si="21"/>
        <v>24.174952439785777</v>
      </c>
      <c r="X76" s="269">
        <f t="shared" si="21"/>
        <v>53.938474749903236</v>
      </c>
      <c r="Y76" s="269">
        <f t="shared" si="21"/>
        <v>62.686739718388111</v>
      </c>
      <c r="Z76" s="269">
        <f t="shared" si="21"/>
        <v>105.30630404029981</v>
      </c>
      <c r="AA76" s="269">
        <f t="shared" si="21"/>
        <v>61.12836114288438</v>
      </c>
      <c r="AB76" s="269">
        <f t="shared" si="21"/>
        <v>1060.02865386346</v>
      </c>
      <c r="AC76" s="206"/>
      <c r="AD76" s="220">
        <f t="shared" si="19"/>
        <v>0.52475772773011986</v>
      </c>
      <c r="AE76" s="367"/>
      <c r="AG76" s="202"/>
      <c r="BL76" s="208">
        <v>5647.9554304425055</v>
      </c>
      <c r="BM76" s="208">
        <v>2963.808258</v>
      </c>
      <c r="BN76" s="144">
        <f t="shared" si="20"/>
        <v>2684.1471724425055</v>
      </c>
      <c r="BY76" s="209"/>
      <c r="BZ76" s="209"/>
    </row>
    <row r="77" spans="2:128" ht="66" customHeight="1" x14ac:dyDescent="0.4">
      <c r="F77" s="365"/>
      <c r="G77" s="365"/>
      <c r="H77" s="365"/>
      <c r="AD77" s="138"/>
    </row>
    <row r="78" spans="2:128" ht="22.5" x14ac:dyDescent="0.3">
      <c r="I78" s="369" t="str">
        <f xml:space="preserve"> "Versiegelung " &amp; IF(Versatz = 1, "in "&amp;OÖ!Einheit, IF(Versatz = 2, "in m² pro Einwohner:in", "in Prozent des Dauersiedlungsraums"))</f>
        <v>Versiegelung in km²</v>
      </c>
      <c r="J78" s="369"/>
      <c r="K78" s="369"/>
      <c r="L78" s="369"/>
      <c r="M78" s="369"/>
      <c r="N78" s="369"/>
      <c r="O78" s="369"/>
      <c r="P78" s="369"/>
      <c r="Q78" s="369"/>
      <c r="R78" s="369"/>
      <c r="S78" s="369"/>
      <c r="T78" s="369"/>
      <c r="U78" s="369"/>
      <c r="V78" s="369"/>
      <c r="W78" s="369"/>
      <c r="X78" s="369"/>
      <c r="Y78" s="369"/>
      <c r="Z78" s="369"/>
      <c r="AA78" s="369"/>
      <c r="AB78" s="369"/>
      <c r="AC78" s="369"/>
      <c r="AD78" s="369"/>
    </row>
    <row r="79" spans="2:128" ht="114" customHeight="1" x14ac:dyDescent="0.4">
      <c r="B79" s="247"/>
      <c r="C79" s="233"/>
      <c r="D79" s="248"/>
      <c r="E79" s="249"/>
      <c r="F79" s="147"/>
      <c r="G79" s="250"/>
      <c r="H79" s="147"/>
      <c r="I79" s="152"/>
      <c r="J79" s="278" t="str">
        <f t="shared" ref="J79:AB79" si="22">+J24</f>
        <v>Braunau</v>
      </c>
      <c r="K79" s="278" t="str">
        <f t="shared" si="22"/>
        <v>Eferding</v>
      </c>
      <c r="L79" s="278" t="str">
        <f t="shared" si="22"/>
        <v>Freistadt</v>
      </c>
      <c r="M79" s="278" t="str">
        <f t="shared" si="22"/>
        <v>Gmunden</v>
      </c>
      <c r="N79" s="278" t="str">
        <f t="shared" si="22"/>
        <v>Grieskirchen</v>
      </c>
      <c r="O79" s="278" t="str">
        <f t="shared" si="22"/>
        <v>Kirchdorf</v>
      </c>
      <c r="P79" s="278" t="str">
        <f t="shared" si="22"/>
        <v>Linz-Land</v>
      </c>
      <c r="Q79" s="278" t="str">
        <f t="shared" si="22"/>
        <v>Perg</v>
      </c>
      <c r="R79" s="278" t="str">
        <f t="shared" si="22"/>
        <v>Ried</v>
      </c>
      <c r="S79" s="278" t="str">
        <f t="shared" si="22"/>
        <v>Rohrbach</v>
      </c>
      <c r="T79" s="278" t="str">
        <f t="shared" si="22"/>
        <v>Schärding</v>
      </c>
      <c r="U79" s="278" t="str">
        <f t="shared" si="22"/>
        <v>Stadt Linz</v>
      </c>
      <c r="V79" s="278" t="str">
        <f t="shared" si="22"/>
        <v>Stadt Steyr</v>
      </c>
      <c r="W79" s="278" t="str">
        <f t="shared" si="22"/>
        <v>Stadt Wels</v>
      </c>
      <c r="X79" s="278" t="str">
        <f t="shared" si="22"/>
        <v>Steyr-Land</v>
      </c>
      <c r="Y79" s="278" t="str">
        <f t="shared" si="22"/>
        <v>Urfahr-Umgebung</v>
      </c>
      <c r="Z79" s="278" t="str">
        <f t="shared" si="22"/>
        <v>Vöcklabruck</v>
      </c>
      <c r="AA79" s="278" t="str">
        <f t="shared" si="22"/>
        <v>Wels-Land</v>
      </c>
      <c r="AB79" s="277" t="str">
        <f t="shared" si="22"/>
        <v>OÖ</v>
      </c>
      <c r="AC79" s="252"/>
      <c r="AD79" s="151"/>
      <c r="AE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Fak_3*0</f>
        <v>0</v>
      </c>
      <c r="K80" s="267">
        <f>Fak_3*0</f>
        <v>0</v>
      </c>
      <c r="L80" s="267">
        <f>Fak_3*50.261</f>
        <v>0.50261</v>
      </c>
      <c r="M80" s="267">
        <f>Fak_3*57.8036</f>
        <v>0.57803599999999999</v>
      </c>
      <c r="N80" s="267">
        <f>Fak_3*94.8537</f>
        <v>0.94853700000000007</v>
      </c>
      <c r="O80" s="267">
        <f>Fak_3*123.5393</f>
        <v>1.235393</v>
      </c>
      <c r="P80" s="267">
        <f>Fak_3*139.8163</f>
        <v>1.398163</v>
      </c>
      <c r="Q80" s="267">
        <f>Fak_3*0</f>
        <v>0</v>
      </c>
      <c r="R80" s="267">
        <f>Fak_3*65.9283</f>
        <v>0.65928299999999995</v>
      </c>
      <c r="S80" s="267">
        <f>Fak_3*0</f>
        <v>0</v>
      </c>
      <c r="T80" s="267">
        <f>Fak_3*26.2756</f>
        <v>0.26275599999999999</v>
      </c>
      <c r="U80" s="267">
        <f>Fak_3*67.9276</f>
        <v>0.67927599999999999</v>
      </c>
      <c r="V80" s="267">
        <f>Fak_3*0</f>
        <v>0</v>
      </c>
      <c r="W80" s="267">
        <f>Fak_3*46.795</f>
        <v>0.46795000000000003</v>
      </c>
      <c r="X80" s="267">
        <f>Fak_3*0</f>
        <v>0</v>
      </c>
      <c r="Y80" s="267">
        <f>Fak_3*31.0642</f>
        <v>0.31064200000000003</v>
      </c>
      <c r="Z80" s="267">
        <f>Fak_3*154.1142</f>
        <v>1.5411420000000002</v>
      </c>
      <c r="AA80" s="267">
        <f>Fak_3*142.6884</f>
        <v>1.426884</v>
      </c>
      <c r="AB80" s="267">
        <f>Fak_3*1001.0672</f>
        <v>10.010672</v>
      </c>
      <c r="AC80" s="213"/>
      <c r="AD80" s="219"/>
      <c r="AE80" s="210"/>
    </row>
    <row r="81" spans="2:31" s="144" customFormat="1" ht="24" customHeight="1" x14ac:dyDescent="0.25">
      <c r="B81" s="227"/>
      <c r="C81" s="228"/>
      <c r="D81" s="229"/>
      <c r="E81" s="131"/>
      <c r="F81" s="198"/>
      <c r="G81" s="196">
        <v>102</v>
      </c>
      <c r="H81" s="148" t="str">
        <f>+VLOOKUP($G81,Konstanten!$A$2:$B$15,2,FALSE)</f>
        <v>Landesstraße B + L</v>
      </c>
      <c r="I81" s="148"/>
      <c r="J81" s="267">
        <f>Fak_3*518.6131</f>
        <v>5.1861310000000005</v>
      </c>
      <c r="K81" s="267">
        <f>Fak_3*118.6268</f>
        <v>1.1862680000000001</v>
      </c>
      <c r="L81" s="267">
        <f>Fak_3*403.8775</f>
        <v>4.0387750000000002</v>
      </c>
      <c r="M81" s="267">
        <f>Fak_3*278.1922</f>
        <v>2.7819220000000002</v>
      </c>
      <c r="N81" s="267">
        <f>Fak_3*339.9688</f>
        <v>3.3996879999999998</v>
      </c>
      <c r="O81" s="267">
        <f>Fak_3*281.9811</f>
        <v>2.8198110000000005</v>
      </c>
      <c r="P81" s="267">
        <f>Fak_3*384.0673</f>
        <v>3.8406729999999998</v>
      </c>
      <c r="Q81" s="267">
        <f>Fak_3*271.0483</f>
        <v>2.710483</v>
      </c>
      <c r="R81" s="267">
        <f>Fak_3*346.5034</f>
        <v>3.4650340000000002</v>
      </c>
      <c r="S81" s="267">
        <f>Fak_3*369.466</f>
        <v>3.6946600000000003</v>
      </c>
      <c r="T81" s="267">
        <f>Fak_3*384.4435</f>
        <v>3.8444349999999998</v>
      </c>
      <c r="U81" s="267">
        <f>Fak_3*73.8034</f>
        <v>0.73803399999999997</v>
      </c>
      <c r="V81" s="267">
        <f>Fak_3*32.4771</f>
        <v>0.32477100000000003</v>
      </c>
      <c r="W81" s="267">
        <f>Fak_3*42.8154</f>
        <v>0.42815399999999998</v>
      </c>
      <c r="X81" s="267">
        <f>Fak_3*284.041</f>
        <v>2.8404099999999999</v>
      </c>
      <c r="Y81" s="267">
        <f>Fak_3*275.4523</f>
        <v>2.7545229999999998</v>
      </c>
      <c r="Z81" s="267">
        <f>Fak_3*445.1302</f>
        <v>4.4513020000000001</v>
      </c>
      <c r="AA81" s="267">
        <f>Fak_3*245.6135</f>
        <v>2.4561349999999997</v>
      </c>
      <c r="AB81" s="267">
        <f>Fak_3*5096.1209</f>
        <v>50.961208999999997</v>
      </c>
      <c r="AC81" s="213"/>
      <c r="AD81" s="219"/>
      <c r="AE81" s="210"/>
    </row>
    <row r="82" spans="2:31" s="144" customFormat="1" ht="24" customHeight="1" x14ac:dyDescent="0.25">
      <c r="B82" s="227"/>
      <c r="C82" s="228"/>
      <c r="D82" s="229"/>
      <c r="E82" s="131"/>
      <c r="F82" s="198"/>
      <c r="G82" s="196">
        <v>103</v>
      </c>
      <c r="H82" s="148" t="str">
        <f>+VLOOKUP($G82,Konstanten!$A$2:$B$15,2,FALSE)</f>
        <v>Gemeinde- und sonstige Straßen</v>
      </c>
      <c r="I82" s="148"/>
      <c r="J82" s="267">
        <f>Fak_3*1399.1803</f>
        <v>13.991803000000001</v>
      </c>
      <c r="K82" s="267">
        <f>Fak_3*425.5311</f>
        <v>4.2553109999999998</v>
      </c>
      <c r="L82" s="267">
        <f>Fak_3*1182.2139</f>
        <v>11.822139</v>
      </c>
      <c r="M82" s="267">
        <f>Fak_3*1143.2251</f>
        <v>11.432251000000001</v>
      </c>
      <c r="N82" s="267">
        <f>Fak_3*930.6109</f>
        <v>9.3061090000000011</v>
      </c>
      <c r="O82" s="267">
        <f>Fak_3*994.675</f>
        <v>9.9467499999999998</v>
      </c>
      <c r="P82" s="267">
        <f>Fak_3*1044.5634</f>
        <v>10.445634</v>
      </c>
      <c r="Q82" s="267">
        <f>Fak_3*1000.0293</f>
        <v>10.000293000000001</v>
      </c>
      <c r="R82" s="267">
        <f>Fak_3*881.0439</f>
        <v>8.8104390000000006</v>
      </c>
      <c r="S82" s="267">
        <f>Fak_3*992.8089</f>
        <v>9.9280889999999999</v>
      </c>
      <c r="T82" s="267">
        <f>Fak_3*869.8721</f>
        <v>8.6987210000000008</v>
      </c>
      <c r="U82" s="267">
        <f>Fak_3*650.9271</f>
        <v>6.509271</v>
      </c>
      <c r="V82" s="267">
        <f>Fak_3*156.6063</f>
        <v>1.566063</v>
      </c>
      <c r="W82" s="267">
        <f>Fak_3*285.8536</f>
        <v>2.858536</v>
      </c>
      <c r="X82" s="267">
        <f>Fak_3*978.6543</f>
        <v>9.786543</v>
      </c>
      <c r="Y82" s="267">
        <f>Fak_3*1028.3715</f>
        <v>10.283714999999999</v>
      </c>
      <c r="Z82" s="267">
        <f>Fak_3*1541.0156</f>
        <v>15.410156000000001</v>
      </c>
      <c r="AA82" s="267">
        <f>Fak_3*881.8898</f>
        <v>8.8188980000000008</v>
      </c>
      <c r="AB82" s="267">
        <f>Fak_3*16387.0721</f>
        <v>163.870721</v>
      </c>
      <c r="AC82" s="213"/>
      <c r="AD82" s="219"/>
      <c r="AE82" s="210"/>
    </row>
    <row r="83" spans="2:31" s="144" customFormat="1" ht="24" customHeight="1" x14ac:dyDescent="0.25">
      <c r="B83" s="227"/>
      <c r="C83" s="228"/>
      <c r="D83" s="229"/>
      <c r="E83" s="131"/>
      <c r="F83" s="198"/>
      <c r="G83" s="196">
        <v>104</v>
      </c>
      <c r="H83" s="148" t="str">
        <f>+VLOOKUP($G83,Konstanten!$A$2:$B$15,2,FALSE)</f>
        <v>Schiene</v>
      </c>
      <c r="I83" s="148"/>
      <c r="J83" s="267">
        <f>Fak_3*32.8601</f>
        <v>0.32860100000000003</v>
      </c>
      <c r="K83" s="267">
        <f>Fak_3*21.0111</f>
        <v>0.21011099999999999</v>
      </c>
      <c r="L83" s="267">
        <f>Fak_3*30.9007</f>
        <v>0.30900700000000003</v>
      </c>
      <c r="M83" s="267">
        <f>Fak_3*76.1432</f>
        <v>0.761432</v>
      </c>
      <c r="N83" s="267">
        <f>Fak_3*55.371</f>
        <v>0.55371000000000004</v>
      </c>
      <c r="O83" s="267">
        <f>Fak_3*67.6063</f>
        <v>0.67606300000000008</v>
      </c>
      <c r="P83" s="267">
        <f>Fak_3*104.8612</f>
        <v>1.0486119999999999</v>
      </c>
      <c r="Q83" s="267">
        <f>Fak_3*34.9832</f>
        <v>0.34983199999999998</v>
      </c>
      <c r="R83" s="267">
        <f>Fak_3*35.5259</f>
        <v>0.35525899999999999</v>
      </c>
      <c r="S83" s="267">
        <f>Fak_3*13.2691</f>
        <v>0.132691</v>
      </c>
      <c r="T83" s="267">
        <f>Fak_3*59.2039</f>
        <v>0.59203899999999998</v>
      </c>
      <c r="U83" s="267">
        <f>Fak_3*202.4173</f>
        <v>2.0241730000000002</v>
      </c>
      <c r="V83" s="267">
        <f>Fak_3*8.9437</f>
        <v>8.9437000000000003E-2</v>
      </c>
      <c r="W83" s="267">
        <f>Fak_3*86.7641</f>
        <v>0.867641</v>
      </c>
      <c r="X83" s="267">
        <f>Fak_3*48.9671</f>
        <v>0.48967100000000002</v>
      </c>
      <c r="Y83" s="267">
        <f>Fak_3*15.6461</f>
        <v>0.15646100000000002</v>
      </c>
      <c r="Z83" s="267">
        <f>Fak_3*114.278</f>
        <v>1.1427800000000001</v>
      </c>
      <c r="AA83" s="267">
        <f>Fak_3*67.1858</f>
        <v>0.67185800000000007</v>
      </c>
      <c r="AB83" s="267">
        <f>Fak_3*1075.9378</f>
        <v>10.759378</v>
      </c>
      <c r="AC83" s="213"/>
      <c r="AD83" s="219"/>
      <c r="AE83" s="210"/>
    </row>
    <row r="84" spans="2:31" s="144" customFormat="1" ht="24" customHeight="1" x14ac:dyDescent="0.25">
      <c r="B84" s="227"/>
      <c r="C84" s="228"/>
      <c r="D84" s="229"/>
      <c r="E84" s="131"/>
      <c r="F84" s="200"/>
      <c r="G84" s="215"/>
      <c r="H84" s="216"/>
      <c r="I84" s="217" t="s">
        <v>7535</v>
      </c>
      <c r="J84" s="268">
        <f>Fak_3*1950.6535</f>
        <v>19.506535</v>
      </c>
      <c r="K84" s="268">
        <f>Fak_3*565.169</f>
        <v>5.6516900000000003</v>
      </c>
      <c r="L84" s="268">
        <f>Fak_3*1667.2531</f>
        <v>16.672530999999999</v>
      </c>
      <c r="M84" s="268">
        <f>Fak_3*1555.3641</f>
        <v>15.553641000000001</v>
      </c>
      <c r="N84" s="268">
        <f>Fak_3*1420.8044</f>
        <v>14.208044000000001</v>
      </c>
      <c r="O84" s="268">
        <f>Fak_3*1467.8017</f>
        <v>14.678017000000001</v>
      </c>
      <c r="P84" s="268">
        <f>Fak_3*1673.3082</f>
        <v>16.733082</v>
      </c>
      <c r="Q84" s="268">
        <f>Fak_3*1306.0608</f>
        <v>13.060608</v>
      </c>
      <c r="R84" s="268">
        <f>Fak_3*1329.0015</f>
        <v>13.290015</v>
      </c>
      <c r="S84" s="268">
        <f>Fak_3*1375.544</f>
        <v>13.755440000000002</v>
      </c>
      <c r="T84" s="268">
        <f>Fak_3*1339.7951</f>
        <v>13.397951000000001</v>
      </c>
      <c r="U84" s="268">
        <f>Fak_3*995.0754</f>
        <v>9.9507539999999999</v>
      </c>
      <c r="V84" s="268">
        <f>Fak_3*198.0271</f>
        <v>1.9802709999999999</v>
      </c>
      <c r="W84" s="268">
        <f>Fak_3*462.2281</f>
        <v>4.6222810000000001</v>
      </c>
      <c r="X84" s="268">
        <f>Fak_3*1311.6624</f>
        <v>13.116624</v>
      </c>
      <c r="Y84" s="268">
        <f>Fak_3*1350.5341</f>
        <v>13.505341000000001</v>
      </c>
      <c r="Z84" s="268">
        <f>Fak_3*2254.538</f>
        <v>22.545380000000002</v>
      </c>
      <c r="AA84" s="268">
        <f>Fak_3*1337.3775</f>
        <v>13.373775</v>
      </c>
      <c r="AB84" s="268">
        <f>Fak_3*23560.198</f>
        <v>235.60198</v>
      </c>
      <c r="AC84" s="213"/>
      <c r="AD84" s="219"/>
      <c r="AE84" s="210"/>
    </row>
    <row r="85" spans="2:31" s="144" customFormat="1" ht="24" customHeight="1" x14ac:dyDescent="0.25">
      <c r="B85" s="227"/>
      <c r="C85" s="228"/>
      <c r="D85" s="229"/>
      <c r="E85" s="131"/>
      <c r="F85" s="198" t="s">
        <v>7410</v>
      </c>
      <c r="G85" s="197">
        <v>211</v>
      </c>
      <c r="H85" s="148" t="str">
        <f>+VLOOKUP($G85,Konstanten!$A$2:$B$15,2,FALSE)</f>
        <v>Wohnnutzung</v>
      </c>
      <c r="I85" s="148"/>
      <c r="J85" s="267">
        <f>Fak_3*775.6822</f>
        <v>7.7568219999999997</v>
      </c>
      <c r="K85" s="267">
        <f>Fak_3*230.1946</f>
        <v>2.301946</v>
      </c>
      <c r="L85" s="267">
        <f>Fak_3*408.5074</f>
        <v>4.0850740000000005</v>
      </c>
      <c r="M85" s="267">
        <f>Fak_3*922.6122</f>
        <v>9.2261220000000002</v>
      </c>
      <c r="N85" s="267">
        <f>Fak_3*449.7574</f>
        <v>4.4975740000000002</v>
      </c>
      <c r="O85" s="267">
        <f>Fak_3*461.2024</f>
        <v>4.6120239999999999</v>
      </c>
      <c r="P85" s="267">
        <f>Fak_3*1126.8977</f>
        <v>11.268977</v>
      </c>
      <c r="Q85" s="267">
        <f>Fak_3*487.1144</f>
        <v>4.8711440000000001</v>
      </c>
      <c r="R85" s="267">
        <f>Fak_3*438.8723</f>
        <v>4.3887229999999997</v>
      </c>
      <c r="S85" s="267">
        <f>Fak_3*359.5842</f>
        <v>3.5958420000000002</v>
      </c>
      <c r="T85" s="267">
        <f>Fak_3*410.4064</f>
        <v>4.1040640000000002</v>
      </c>
      <c r="U85" s="267">
        <f>Fak_3*627.4126</f>
        <v>6.2741259999999999</v>
      </c>
      <c r="V85" s="267">
        <f>Fak_3*215.2632</f>
        <v>2.1526320000000001</v>
      </c>
      <c r="W85" s="267">
        <f>Fak_3*294.8243</f>
        <v>2.9482430000000002</v>
      </c>
      <c r="X85" s="267">
        <f>Fak_3*549.5888</f>
        <v>5.4958879999999999</v>
      </c>
      <c r="Y85" s="267">
        <f>Fak_3*704.1431</f>
        <v>7.0414310000000002</v>
      </c>
      <c r="Z85" s="267">
        <f>Fak_3*1051.678</f>
        <v>10.516780000000001</v>
      </c>
      <c r="AA85" s="267">
        <f>Fak_3*673.7089</f>
        <v>6.7370890000000001</v>
      </c>
      <c r="AB85" s="267">
        <f>Fak_3*10187.4501</f>
        <v>101.87450100000001</v>
      </c>
      <c r="AC85" s="213"/>
      <c r="AD85" s="219"/>
      <c r="AE85" s="210"/>
    </row>
    <row r="86" spans="2:31" s="144" customFormat="1" ht="24" customHeight="1" x14ac:dyDescent="0.25">
      <c r="B86" s="227"/>
      <c r="C86" s="228"/>
      <c r="D86" s="229"/>
      <c r="E86" s="131"/>
      <c r="F86" s="198"/>
      <c r="G86" s="197">
        <v>212</v>
      </c>
      <c r="H86" s="148" t="str">
        <f>+VLOOKUP($G86,Konstanten!$A$2:$B$15,2,FALSE)</f>
        <v>gemischte bauliche Nutzung</v>
      </c>
      <c r="I86" s="148"/>
      <c r="J86" s="267">
        <f>Fak_3*808.2482</f>
        <v>8.0824820000000006</v>
      </c>
      <c r="K86" s="267">
        <f>Fak_3*182.9697</f>
        <v>1.8296969999999999</v>
      </c>
      <c r="L86" s="267">
        <f>Fak_3*314.5002</f>
        <v>3.1450020000000003</v>
      </c>
      <c r="M86" s="267">
        <f>Fak_3*446.4483</f>
        <v>4.4644830000000004</v>
      </c>
      <c r="N86" s="267">
        <f>Fak_3*490.5134</f>
        <v>4.9051340000000003</v>
      </c>
      <c r="O86" s="267">
        <f>Fak_3*193.6619</f>
        <v>1.9366190000000001</v>
      </c>
      <c r="P86" s="267">
        <f>Fak_3*427.5632</f>
        <v>4.2756319999999999</v>
      </c>
      <c r="Q86" s="267">
        <f>Fak_3*284.3367</f>
        <v>2.8433670000000002</v>
      </c>
      <c r="R86" s="267">
        <f>Fak_3*492.9415</f>
        <v>4.9294150000000005</v>
      </c>
      <c r="S86" s="267">
        <f>Fak_3*436.8387</f>
        <v>4.3683870000000002</v>
      </c>
      <c r="T86" s="267">
        <f>Fak_3*382.2398</f>
        <v>3.8223980000000002</v>
      </c>
      <c r="U86" s="267">
        <f>Fak_3*288.293</f>
        <v>2.88293</v>
      </c>
      <c r="V86" s="267">
        <f>Fak_3*80.5962</f>
        <v>0.80596199999999996</v>
      </c>
      <c r="W86" s="267">
        <f>Fak_3*150.6107</f>
        <v>1.5061070000000001</v>
      </c>
      <c r="X86" s="267">
        <f>Fak_3*179.9223</f>
        <v>1.799223</v>
      </c>
      <c r="Y86" s="267">
        <f>Fak_3*253.224</f>
        <v>2.5322399999999998</v>
      </c>
      <c r="Z86" s="267">
        <f>Fak_3*954.4646</f>
        <v>9.5446460000000002</v>
      </c>
      <c r="AA86" s="267">
        <f>Fak_3*320.5726</f>
        <v>3.2057260000000003</v>
      </c>
      <c r="AB86" s="267">
        <f>Fak_3*6687.945</f>
        <v>66.879449999999991</v>
      </c>
      <c r="AC86" s="213"/>
      <c r="AD86" s="219"/>
      <c r="AE86" s="210"/>
    </row>
    <row r="87" spans="2:31" s="144" customFormat="1" ht="24" customHeight="1" x14ac:dyDescent="0.25">
      <c r="B87" s="227"/>
      <c r="C87" s="228"/>
      <c r="D87" s="229"/>
      <c r="E87" s="131"/>
      <c r="F87" s="198"/>
      <c r="G87" s="197">
        <v>213</v>
      </c>
      <c r="H87" s="148" t="str">
        <f>+VLOOKUP($G87,Konstanten!$A$2:$B$15,2,FALSE)</f>
        <v>betriebliche Nutzung</v>
      </c>
      <c r="I87" s="148"/>
      <c r="J87" s="267">
        <f>Fak_3*614.9915</f>
        <v>6.149915</v>
      </c>
      <c r="K87" s="267">
        <f>Fak_3*142.0121</f>
        <v>1.420121</v>
      </c>
      <c r="L87" s="267">
        <f>Fak_3*173.9777</f>
        <v>1.7397770000000001</v>
      </c>
      <c r="M87" s="267">
        <f>Fak_3*529.2987</f>
        <v>5.292987000000001</v>
      </c>
      <c r="N87" s="267">
        <f>Fak_3*358.599</f>
        <v>3.5859899999999998</v>
      </c>
      <c r="O87" s="267">
        <f>Fak_3*307.0295</f>
        <v>3.0702949999999998</v>
      </c>
      <c r="P87" s="267">
        <f>Fak_3*888.8742</f>
        <v>8.8887420000000006</v>
      </c>
      <c r="Q87" s="267">
        <f>Fak_3*281.7476</f>
        <v>2.8174759999999996</v>
      </c>
      <c r="R87" s="267">
        <f>Fak_3*341.3739</f>
        <v>3.4137390000000001</v>
      </c>
      <c r="S87" s="267">
        <f>Fak_3*208.3503</f>
        <v>2.0835029999999999</v>
      </c>
      <c r="T87" s="267">
        <f>Fak_3*257.8213</f>
        <v>2.5782130000000003</v>
      </c>
      <c r="U87" s="267">
        <f>Fak_3*950.0703</f>
        <v>9.5007029999999997</v>
      </c>
      <c r="V87" s="267">
        <f>Fak_3*199.4028</f>
        <v>1.9940280000000001</v>
      </c>
      <c r="W87" s="267">
        <f>Fak_3*379.5227</f>
        <v>3.7952270000000001</v>
      </c>
      <c r="X87" s="267">
        <f>Fak_3*231.1306</f>
        <v>2.3113060000000001</v>
      </c>
      <c r="Y87" s="267">
        <f>Fak_3*181.5533</f>
        <v>1.8155330000000001</v>
      </c>
      <c r="Z87" s="267">
        <f>Fak_3*747.2351</f>
        <v>7.4723509999999997</v>
      </c>
      <c r="AA87" s="267">
        <f>Fak_3*439.9378</f>
        <v>4.3993779999999996</v>
      </c>
      <c r="AB87" s="267">
        <f>Fak_3*7232.9284</f>
        <v>72.329284000000001</v>
      </c>
      <c r="AC87" s="213"/>
      <c r="AD87" s="219"/>
      <c r="AE87" s="210"/>
    </row>
    <row r="88" spans="2:31" s="144" customFormat="1" ht="24" customHeight="1" x14ac:dyDescent="0.25">
      <c r="B88" s="227"/>
      <c r="C88" s="228"/>
      <c r="D88" s="229"/>
      <c r="E88" s="131"/>
      <c r="F88" s="198"/>
      <c r="G88" s="197">
        <v>214</v>
      </c>
      <c r="H88" s="148" t="str">
        <f>+VLOOKUP($G88,Konstanten!$A$2:$B$15,2,FALSE)</f>
        <v>sonstige bauliche Nutzung</v>
      </c>
      <c r="I88" s="148"/>
      <c r="J88" s="267">
        <f>Fak_3*64.4206</f>
        <v>0.64420599999999995</v>
      </c>
      <c r="K88" s="267">
        <f>Fak_3*17.5374</f>
        <v>0.17537400000000003</v>
      </c>
      <c r="L88" s="267">
        <f>Fak_3*50.0004</f>
        <v>0.500004</v>
      </c>
      <c r="M88" s="267">
        <f>Fak_3*81.7269</f>
        <v>0.81726900000000002</v>
      </c>
      <c r="N88" s="267">
        <f>Fak_3*41.7623</f>
        <v>0.41762300000000002</v>
      </c>
      <c r="O88" s="267">
        <f>Fak_3*52.2024</f>
        <v>0.52202399999999993</v>
      </c>
      <c r="P88" s="267">
        <f>Fak_3*158.5177</f>
        <v>1.5851769999999998</v>
      </c>
      <c r="Q88" s="267">
        <f>Fak_3*50.1543</f>
        <v>0.50154299999999996</v>
      </c>
      <c r="R88" s="267">
        <f>Fak_3*41.7371</f>
        <v>0.41737099999999999</v>
      </c>
      <c r="S88" s="267">
        <f>Fak_3*45.7914</f>
        <v>0.45791400000000004</v>
      </c>
      <c r="T88" s="267">
        <f>Fak_3*26.376</f>
        <v>0.26375999999999999</v>
      </c>
      <c r="U88" s="267">
        <f>Fak_3*180.1619</f>
        <v>1.8016190000000001</v>
      </c>
      <c r="V88" s="267">
        <f>Fak_3*16.2633</f>
        <v>0.162633</v>
      </c>
      <c r="W88" s="267">
        <f>Fak_3*61.9966</f>
        <v>0.61996600000000002</v>
      </c>
      <c r="X88" s="267">
        <f>Fak_3*41.8795</f>
        <v>0.41879500000000003</v>
      </c>
      <c r="Y88" s="267">
        <f>Fak_3*46.8758</f>
        <v>0.46875800000000001</v>
      </c>
      <c r="Z88" s="267">
        <f>Fak_3*101.1916</f>
        <v>1.011916</v>
      </c>
      <c r="AA88" s="267">
        <f>Fak_3*36.2074</f>
        <v>0.36207400000000001</v>
      </c>
      <c r="AB88" s="267">
        <f>Fak_3*1114.8026</f>
        <v>11.148026</v>
      </c>
      <c r="AC88" s="213"/>
      <c r="AD88" s="219"/>
      <c r="AE88" s="210"/>
    </row>
    <row r="89" spans="2:31" s="144" customFormat="1" ht="24" customHeight="1" x14ac:dyDescent="0.25">
      <c r="B89" s="227"/>
      <c r="C89" s="228"/>
      <c r="D89" s="229"/>
      <c r="E89" s="131"/>
      <c r="F89" s="200"/>
      <c r="G89" s="215"/>
      <c r="H89" s="216"/>
      <c r="I89" s="217" t="s">
        <v>7536</v>
      </c>
      <c r="J89" s="268">
        <f>Fak_3*2263.3425</f>
        <v>22.633425000000003</v>
      </c>
      <c r="K89" s="268">
        <f>Fak_3*572.7138</f>
        <v>5.7271380000000001</v>
      </c>
      <c r="L89" s="268">
        <f>Fak_3*946.9857</f>
        <v>9.4698569999999993</v>
      </c>
      <c r="M89" s="268">
        <f>Fak_3*1980.0861</f>
        <v>19.800861000000001</v>
      </c>
      <c r="N89" s="268">
        <f>Fak_3*1340.6321</f>
        <v>13.406321</v>
      </c>
      <c r="O89" s="268">
        <f>Fak_3*1014.0962</f>
        <v>10.140962</v>
      </c>
      <c r="P89" s="268">
        <f>Fak_3*2601.8528</f>
        <v>26.018528000000003</v>
      </c>
      <c r="Q89" s="268">
        <f>Fak_3*1103.353</f>
        <v>11.033530000000001</v>
      </c>
      <c r="R89" s="268">
        <f>Fak_3*1314.9248</f>
        <v>13.149248</v>
      </c>
      <c r="S89" s="268">
        <f>Fak_3*1050.5646</f>
        <v>10.505645999999999</v>
      </c>
      <c r="T89" s="268">
        <f>Fak_3*1076.8435</f>
        <v>10.768435</v>
      </c>
      <c r="U89" s="268">
        <f>Fak_3*2045.9378</f>
        <v>20.459378000000001</v>
      </c>
      <c r="V89" s="268">
        <f>Fak_3*511.5255</f>
        <v>5.1152550000000003</v>
      </c>
      <c r="W89" s="268">
        <f>Fak_3*886.9543</f>
        <v>8.8695430000000002</v>
      </c>
      <c r="X89" s="268">
        <f>Fak_3*1002.5212</f>
        <v>10.025212</v>
      </c>
      <c r="Y89" s="268">
        <f>Fak_3*1185.7962</f>
        <v>11.857962000000001</v>
      </c>
      <c r="Z89" s="268">
        <f>Fak_3*2854.5693</f>
        <v>28.545693</v>
      </c>
      <c r="AA89" s="268">
        <f>Fak_3*1470.4267</f>
        <v>14.704267</v>
      </c>
      <c r="AB89" s="268">
        <f>Fak_3*25223.1261</f>
        <v>252.23126100000002</v>
      </c>
      <c r="AC89" s="213"/>
      <c r="AD89" s="219"/>
      <c r="AE89" s="210"/>
    </row>
    <row r="90" spans="2:31" s="144" customFormat="1" ht="24" customHeight="1" x14ac:dyDescent="0.25">
      <c r="B90" s="227"/>
      <c r="C90" s="228"/>
      <c r="D90" s="229"/>
      <c r="E90" s="131"/>
      <c r="F90" s="200" t="s">
        <v>7409</v>
      </c>
      <c r="G90" s="215"/>
      <c r="H90" s="216"/>
      <c r="I90" s="217" t="s">
        <v>7537</v>
      </c>
      <c r="J90" s="268">
        <f>Fak_3*832.8916</f>
        <v>8.3289160000000013</v>
      </c>
      <c r="K90" s="268">
        <f>Fak_3*259.1273</f>
        <v>2.5912730000000002</v>
      </c>
      <c r="L90" s="268">
        <f>Fak_3*773.984</f>
        <v>7.7398400000000009</v>
      </c>
      <c r="M90" s="268">
        <f>Fak_3*430.3109</f>
        <v>4.3031090000000001</v>
      </c>
      <c r="N90" s="268">
        <f>Fak_3*623.6599</f>
        <v>6.236599</v>
      </c>
      <c r="O90" s="268">
        <f>Fak_3*555.2905</f>
        <v>5.552905</v>
      </c>
      <c r="P90" s="268">
        <f>Fak_3*324.7397</f>
        <v>3.2473970000000003</v>
      </c>
      <c r="Q90" s="268">
        <f>Fak_3*507.845</f>
        <v>5.0784500000000001</v>
      </c>
      <c r="R90" s="268">
        <f>Fak_3*572.5173</f>
        <v>5.7251729999999998</v>
      </c>
      <c r="S90" s="268">
        <f>Fak_3*566.6353</f>
        <v>5.666353</v>
      </c>
      <c r="T90" s="268">
        <f>Fak_3*590.429</f>
        <v>5.9042899999999996</v>
      </c>
      <c r="U90" s="268">
        <f>Fak_3*57.0952</f>
        <v>0.57095200000000002</v>
      </c>
      <c r="V90" s="268">
        <f>Fak_3*14.9523</f>
        <v>0.14952299999999999</v>
      </c>
      <c r="W90" s="268">
        <f>Fak_3*33.1619</f>
        <v>0.33161900000000005</v>
      </c>
      <c r="X90" s="268">
        <f>Fak_3*470.6572</f>
        <v>4.7065720000000004</v>
      </c>
      <c r="Y90" s="268">
        <f>Fak_3*594.094</f>
        <v>5.9409400000000003</v>
      </c>
      <c r="Z90" s="268">
        <f>Fak_3*618.4996</f>
        <v>6.1849959999999999</v>
      </c>
      <c r="AA90" s="268">
        <f>Fak_3*475.6855</f>
        <v>4.7568549999999998</v>
      </c>
      <c r="AB90" s="268">
        <f>Fak_3*8301.5762</f>
        <v>83.015761999999995</v>
      </c>
      <c r="AC90" s="213"/>
      <c r="AD90" s="219"/>
      <c r="AE90" s="210"/>
    </row>
    <row r="91" spans="2:31" s="144" customFormat="1" ht="24" customHeight="1" x14ac:dyDescent="0.25">
      <c r="B91" s="227"/>
      <c r="C91" s="228"/>
      <c r="D91" s="229"/>
      <c r="E91" s="131"/>
      <c r="F91" s="321" t="s">
        <v>7549</v>
      </c>
      <c r="G91" s="199"/>
      <c r="H91" s="200"/>
      <c r="I91" s="217" t="s">
        <v>7538</v>
      </c>
      <c r="J91" s="268">
        <f>Fak_3*52.4464</f>
        <v>0.52446399999999993</v>
      </c>
      <c r="K91" s="268">
        <f>Fak_3*19.3011</f>
        <v>0.19301100000000002</v>
      </c>
      <c r="L91" s="268">
        <f>Fak_3*42.5087</f>
        <v>0.42508699999999999</v>
      </c>
      <c r="M91" s="268">
        <f>Fak_3*65.7321</f>
        <v>0.65732100000000004</v>
      </c>
      <c r="N91" s="268">
        <f>Fak_3*43.4666</f>
        <v>0.434666</v>
      </c>
      <c r="O91" s="268">
        <f>Fak_3*43.4722</f>
        <v>0.434722</v>
      </c>
      <c r="P91" s="268">
        <f>Fak_3*81.2346</f>
        <v>0.81234600000000001</v>
      </c>
      <c r="Q91" s="268">
        <f>Fak_3*46.8517</f>
        <v>0.46851700000000002</v>
      </c>
      <c r="R91" s="268">
        <f>Fak_3*33.0477</f>
        <v>0.33047700000000002</v>
      </c>
      <c r="S91" s="268">
        <f>Fak_3*35.6814</f>
        <v>0.35681399999999996</v>
      </c>
      <c r="T91" s="268">
        <f>Fak_3*33.8544</f>
        <v>0.33854400000000001</v>
      </c>
      <c r="U91" s="268">
        <f>Fak_3*83.3679</f>
        <v>0.83367900000000006</v>
      </c>
      <c r="V91" s="268">
        <f>Fak_3*26.8262</f>
        <v>0.268262</v>
      </c>
      <c r="W91" s="268">
        <f>Fak_3*28.3121</f>
        <v>0.28312100000000001</v>
      </c>
      <c r="X91" s="268">
        <f>Fak_3*33.4647</f>
        <v>0.33464700000000003</v>
      </c>
      <c r="Y91" s="268">
        <f>Fak_3*46.3432</f>
        <v>0.46343200000000007</v>
      </c>
      <c r="Z91" s="268">
        <f>Fak_3*109.5083</f>
        <v>1.095083</v>
      </c>
      <c r="AA91" s="268">
        <f>Fak_3*50.3061</f>
        <v>0.50306099999999998</v>
      </c>
      <c r="AB91" s="268">
        <f>Fak_3*875.7254</f>
        <v>8.7572540000000014</v>
      </c>
      <c r="AC91" s="213"/>
      <c r="AD91" s="219"/>
      <c r="AE91" s="210"/>
    </row>
    <row r="92" spans="2:31" s="144" customFormat="1" ht="24" customHeight="1" x14ac:dyDescent="0.25">
      <c r="B92" s="227"/>
      <c r="C92" s="228"/>
      <c r="D92" s="229"/>
      <c r="E92" s="131"/>
      <c r="F92" s="322" t="s">
        <v>7519</v>
      </c>
      <c r="G92" s="199"/>
      <c r="H92" s="200"/>
      <c r="I92" s="217" t="s">
        <v>7539</v>
      </c>
      <c r="J92" s="268">
        <f>Fak_3*20.9716</f>
        <v>0.20971599999999999</v>
      </c>
      <c r="K92" s="268">
        <f>Fak_3*8.2033</f>
        <v>8.2033000000000009E-2</v>
      </c>
      <c r="L92" s="268">
        <f>Fak_3*5.5676</f>
        <v>5.5675999999999996E-2</v>
      </c>
      <c r="M92" s="268">
        <f>Fak_3*11.0581</f>
        <v>0.110581</v>
      </c>
      <c r="N92" s="268">
        <f>Fak_3*11.4773</f>
        <v>0.114773</v>
      </c>
      <c r="O92" s="268">
        <f>Fak_3*15.1316</f>
        <v>0.15131600000000001</v>
      </c>
      <c r="P92" s="268">
        <f>Fak_3*14.8085</f>
        <v>0.14808499999999999</v>
      </c>
      <c r="Q92" s="268">
        <f>Fak_3*6.8193</f>
        <v>6.8193000000000004E-2</v>
      </c>
      <c r="R92" s="268">
        <f>Fak_3*15.2427</f>
        <v>0.15242700000000001</v>
      </c>
      <c r="S92" s="268">
        <f>Fak_3*9.2525</f>
        <v>9.2524999999999996E-2</v>
      </c>
      <c r="T92" s="268">
        <f>Fak_3*4.828</f>
        <v>4.8280000000000003E-2</v>
      </c>
      <c r="U92" s="268">
        <f>Fak_3*0.0079</f>
        <v>7.9000000000000009E-5</v>
      </c>
      <c r="V92" s="268">
        <f>Fak_3*1.0476</f>
        <v>1.0476000000000001E-2</v>
      </c>
      <c r="W92" s="268">
        <f>Fak_3*8.0123</f>
        <v>8.0123E-2</v>
      </c>
      <c r="X92" s="268">
        <f>Fak_3*13.1986</f>
        <v>0.13198600000000002</v>
      </c>
      <c r="Y92" s="268">
        <f>Fak_3*6.8094</f>
        <v>6.8094000000000002E-2</v>
      </c>
      <c r="Z92" s="268">
        <f>Fak_3*23.7025</f>
        <v>0.23702500000000001</v>
      </c>
      <c r="AA92" s="268">
        <f>Fak_3*11.0213</f>
        <v>0.11021300000000001</v>
      </c>
      <c r="AB92" s="268">
        <f>Fak_3*187.1601</f>
        <v>1.8716010000000001</v>
      </c>
      <c r="AC92" s="213"/>
      <c r="AD92" s="219"/>
      <c r="AE92" s="210"/>
    </row>
    <row r="93" spans="2:31" s="208" customFormat="1" ht="24" customHeight="1" x14ac:dyDescent="0.25">
      <c r="B93" s="240"/>
      <c r="C93" s="230"/>
      <c r="D93" s="241"/>
      <c r="E93" s="183"/>
      <c r="F93" s="202" t="s">
        <v>7597</v>
      </c>
      <c r="G93" s="203"/>
      <c r="H93" s="201"/>
      <c r="I93" s="204" t="s">
        <v>7533</v>
      </c>
      <c r="J93" s="269">
        <f t="shared" ref="J93:AB93" si="23">+SUM(J84,J89,J90,J91,J92)</f>
        <v>51.203056000000004</v>
      </c>
      <c r="K93" s="269">
        <f t="shared" si="23"/>
        <v>14.245144999999999</v>
      </c>
      <c r="L93" s="269">
        <f t="shared" si="23"/>
        <v>34.362990999999994</v>
      </c>
      <c r="M93" s="269">
        <f t="shared" si="23"/>
        <v>40.425513000000009</v>
      </c>
      <c r="N93" s="269">
        <f t="shared" si="23"/>
        <v>34.400402999999997</v>
      </c>
      <c r="O93" s="269">
        <f t="shared" si="23"/>
        <v>30.957922</v>
      </c>
      <c r="P93" s="269">
        <f t="shared" si="23"/>
        <v>46.959437999999999</v>
      </c>
      <c r="Q93" s="269">
        <f t="shared" si="23"/>
        <v>29.709298</v>
      </c>
      <c r="R93" s="269">
        <f t="shared" si="23"/>
        <v>32.647340000000007</v>
      </c>
      <c r="S93" s="269">
        <f t="shared" si="23"/>
        <v>30.376777999999998</v>
      </c>
      <c r="T93" s="269">
        <f t="shared" si="23"/>
        <v>30.4575</v>
      </c>
      <c r="U93" s="269">
        <f t="shared" si="23"/>
        <v>31.814841999999999</v>
      </c>
      <c r="V93" s="269">
        <f t="shared" si="23"/>
        <v>7.5237870000000004</v>
      </c>
      <c r="W93" s="269">
        <f t="shared" si="23"/>
        <v>14.186687000000001</v>
      </c>
      <c r="X93" s="269">
        <f t="shared" si="23"/>
        <v>28.315041000000001</v>
      </c>
      <c r="Y93" s="269">
        <f t="shared" si="23"/>
        <v>31.835769000000003</v>
      </c>
      <c r="Z93" s="269">
        <f t="shared" si="23"/>
        <v>58.608177000000005</v>
      </c>
      <c r="AA93" s="269">
        <f t="shared" si="23"/>
        <v>33.448171000000002</v>
      </c>
      <c r="AB93" s="269">
        <f t="shared" si="23"/>
        <v>581.47785800000008</v>
      </c>
      <c r="AC93" s="206"/>
      <c r="AD93" s="207"/>
      <c r="AE93" s="202"/>
    </row>
  </sheetData>
  <mergeCells count="22">
    <mergeCell ref="F77:H77"/>
    <mergeCell ref="I78:AD78"/>
    <mergeCell ref="J19:AB19"/>
    <mergeCell ref="AC20:AE20"/>
    <mergeCell ref="I21:AD21"/>
    <mergeCell ref="J39:AB39"/>
    <mergeCell ref="J45:AB45"/>
    <mergeCell ref="J49:AB49"/>
    <mergeCell ref="J41:AB41"/>
    <mergeCell ref="J42:AB42"/>
    <mergeCell ref="J46:AB46"/>
    <mergeCell ref="J50:AB50"/>
    <mergeCell ref="AF25:AF30"/>
    <mergeCell ref="I55:AD55"/>
    <mergeCell ref="AE63:AE76"/>
    <mergeCell ref="B1:D1"/>
    <mergeCell ref="E1:AA4"/>
    <mergeCell ref="I6:AD6"/>
    <mergeCell ref="AE8:AE9"/>
    <mergeCell ref="AF10:AF15"/>
    <mergeCell ref="J17:AB17"/>
    <mergeCell ref="I35:U35"/>
  </mergeCells>
  <conditionalFormatting sqref="A8:AD8 A23:XFD23 J22:AA22">
    <cfRule type="expression" dxfId="71" priority="12">
      <formula>$A$12=2</formula>
    </cfRule>
  </conditionalFormatting>
  <conditionalFormatting sqref="A8:AD8 A23:XFD23">
    <cfRule type="expression" dxfId="70" priority="9">
      <formula>$A$12=1</formula>
    </cfRule>
  </conditionalFormatting>
  <conditionalFormatting sqref="J39">
    <cfRule type="expression" dxfId="69" priority="4">
      <formula>$C$8 = "relativ"</formula>
    </cfRule>
  </conditionalFormatting>
  <conditionalFormatting sqref="J41">
    <cfRule type="expression" dxfId="68" priority="3">
      <formula>$C$8 = "relativ"</formula>
    </cfRule>
  </conditionalFormatting>
  <conditionalFormatting sqref="J45">
    <cfRule type="expression" dxfId="67" priority="2">
      <formula>$C$8 = "relativ"</formula>
    </cfRule>
  </conditionalFormatting>
  <conditionalFormatting sqref="J49">
    <cfRule type="expression" dxfId="66" priority="1">
      <formula>$C$8 = "relativ"</formula>
    </cfRule>
  </conditionalFormatting>
  <conditionalFormatting sqref="J10:AB15 J25:AB30">
    <cfRule type="expression" dxfId="65" priority="10">
      <formula>$C$6 = "relativ"</formula>
    </cfRule>
  </conditionalFormatting>
  <conditionalFormatting sqref="J22:AB22">
    <cfRule type="expression" dxfId="64" priority="8">
      <formula>$A$12=1</formula>
    </cfRule>
  </conditionalFormatting>
  <conditionalFormatting sqref="J31:AB31">
    <cfRule type="expression" dxfId="63" priority="11">
      <formula>$A$12=2</formula>
    </cfRule>
  </conditionalFormatting>
  <conditionalFormatting sqref="AB22">
    <cfRule type="expression" dxfId="62" priority="7">
      <formula>$A$12=2</formula>
    </cfRule>
  </conditionalFormatting>
  <conditionalFormatting sqref="AD10:AD15">
    <cfRule type="dataBar" priority="14">
      <dataBar showValue="0">
        <cfvo type="num" val="0"/>
        <cfvo type="num" val="1"/>
        <color theme="0" tint="-0.499984740745262"/>
      </dataBar>
      <extLst>
        <ext xmlns:x14="http://schemas.microsoft.com/office/spreadsheetml/2009/9/main" uri="{B025F937-C7B1-47D3-B67F-A62EFF666E3E}">
          <x14:id>{EF81109C-AAAE-4853-9230-C8531A203E2D}</x14:id>
        </ext>
      </extLst>
    </cfRule>
  </conditionalFormatting>
  <conditionalFormatting sqref="AD25:AD31">
    <cfRule type="dataBar" priority="13">
      <dataBar showValue="0">
        <cfvo type="num" val="0"/>
        <cfvo type="num" val="1"/>
        <color theme="0" tint="-0.499984740745262"/>
      </dataBar>
      <extLst>
        <ext xmlns:x14="http://schemas.microsoft.com/office/spreadsheetml/2009/9/main" uri="{B025F937-C7B1-47D3-B67F-A62EFF666E3E}">
          <x14:id>{13964B69-C1E6-4BB6-9C2E-2EB94D7A2835}</x14:id>
        </ext>
      </extLst>
    </cfRule>
  </conditionalFormatting>
  <conditionalFormatting sqref="AF8:XFD8">
    <cfRule type="expression" dxfId="61" priority="5">
      <formula>$A$12=2</formula>
    </cfRule>
    <cfRule type="expression" dxfId="60" priority="6">
      <formula>$A$12=1</formula>
    </cfRule>
  </conditionalFormatting>
  <dataValidations count="3">
    <dataValidation type="list" allowBlank="1" showInputMessage="1" showErrorMessage="1" sqref="C6:D6" xr:uid="{00000000-0002-0000-0900-000000000000}">
      <formula1>"absolut,relativ"</formula1>
    </dataValidation>
    <dataValidation type="list" allowBlank="1" showInputMessage="1" showErrorMessage="1" sqref="C55:E55" xr:uid="{00000000-0002-0000-0900-000001000000}">
      <formula1>"absolut, Bevölkerung, Dauersiedlungsraum"</formula1>
    </dataValidation>
    <dataValidation type="list" allowBlank="1" showInputMessage="1" showErrorMessage="1" sqref="C3 D5" xr:uid="{00000000-0002-0000-09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EF81109C-AAAE-4853-9230-C8531A203E2D}">
            <x14:dataBar minLength="0" maxLength="100" gradient="0">
              <x14:cfvo type="num">
                <xm:f>0</xm:f>
              </x14:cfvo>
              <x14:cfvo type="num">
                <xm:f>1</xm:f>
              </x14:cfvo>
              <x14:negativeFillColor rgb="FFFF0000"/>
              <x14:axisColor rgb="FF000000"/>
            </x14:dataBar>
          </x14:cfRule>
          <xm:sqref>AD10:AD15</xm:sqref>
        </x14:conditionalFormatting>
        <x14:conditionalFormatting xmlns:xm="http://schemas.microsoft.com/office/excel/2006/main">
          <x14:cfRule type="dataBar" id="{13964B69-C1E6-4BB6-9C2E-2EB94D7A2835}">
            <x14:dataBar minLength="0" maxLength="100" gradient="0">
              <x14:cfvo type="num">
                <xm:f>0</xm:f>
              </x14:cfvo>
              <x14:cfvo type="num">
                <xm:f>1</xm:f>
              </x14:cfvo>
              <x14:negativeFillColor rgb="FFFF0000"/>
              <x14:axisColor rgb="FF000000"/>
            </x14:dataBar>
          </x14:cfRule>
          <xm:sqref>AD25:AD31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900-00001A000000}">
          <x14:colorSeries theme="0" tint="-0.34998626667073579"/>
          <x14:colorNegative rgb="FFD00000"/>
          <x14:colorAxis rgb="FF000000"/>
          <x14:colorMarkers rgb="FFD00000"/>
          <x14:colorFirst rgb="FFD00000"/>
          <x14:colorLast rgb="FFD00000"/>
          <x14:colorHigh rgb="FFD00000"/>
          <x14:colorLow rgb="FFD00000"/>
          <x14:sparklines>
            <x14:sparkline>
              <xm:f>OÖ!J18:AB18</xm:f>
              <xm:sqref>J17</xm:sqref>
            </x14:sparkline>
          </x14:sparklines>
        </x14:sparklineGroup>
        <x14:sparklineGroup manualMin="0" type="column" displayEmptyCellsAs="gap" minAxisType="custom" xr2:uid="{00000000-0003-0000-0900-000019000000}">
          <x14:colorSeries theme="0" tint="-0.34998626667073579"/>
          <x14:colorNegative rgb="FFD00000"/>
          <x14:colorAxis rgb="FF000000"/>
          <x14:colorMarkers rgb="FFD00000"/>
          <x14:colorFirst rgb="FFD00000"/>
          <x14:colorLast rgb="FFD00000"/>
          <x14:colorHigh rgb="FFD00000"/>
          <x14:colorLow rgb="FFD00000"/>
          <x14:sparklines>
            <x14:sparkline>
              <xm:f>OÖ!J20:AB20</xm:f>
              <xm:sqref>J19</xm:sqref>
            </x14:sparkline>
          </x14:sparklines>
        </x14:sparklineGroup>
        <x14:sparklineGroup type="column" displayEmptyCellsAs="gap" xr2:uid="{00000000-0003-0000-0900-000018000000}">
          <x14:colorSeries rgb="FF376092"/>
          <x14:colorNegative rgb="FFD00000"/>
          <x14:colorAxis rgb="FF000000"/>
          <x14:colorMarkers rgb="FFD00000"/>
          <x14:colorFirst rgb="FFD00000"/>
          <x14:colorLast rgb="FFD00000"/>
          <x14:colorHigh rgb="FFD00000"/>
          <x14:colorLow rgb="FFD00000"/>
          <x14:sparklines>
            <x14:sparkline>
              <xm:f>OÖ!J43:AB43</xm:f>
              <xm:sqref>J42</xm:sqref>
            </x14:sparkline>
          </x14:sparklines>
        </x14:sparklineGroup>
        <x14:sparklineGroup type="column" displayEmptyCellsAs="gap" xr2:uid="{00000000-0003-0000-0900-000017000000}">
          <x14:colorSeries rgb="FF376092"/>
          <x14:colorNegative rgb="FFD00000"/>
          <x14:colorAxis rgb="FF000000"/>
          <x14:colorMarkers rgb="FFD00000"/>
          <x14:colorFirst rgb="FFD00000"/>
          <x14:colorLast rgb="FFD00000"/>
          <x14:colorHigh rgb="FFD00000"/>
          <x14:colorLow rgb="FFD00000"/>
          <x14:sparklines>
            <x14:sparkline>
              <xm:f>OÖ!J47:AB47</xm:f>
              <xm:sqref>J46</xm:sqref>
            </x14:sparkline>
          </x14:sparklines>
        </x14:sparklineGroup>
        <x14:sparklineGroup type="column" displayEmptyCellsAs="gap" xr2:uid="{00000000-0003-0000-0900-000016000000}">
          <x14:colorSeries rgb="FF376092"/>
          <x14:colorNegative rgb="FFD00000"/>
          <x14:colorAxis rgb="FF000000"/>
          <x14:colorMarkers rgb="FFD00000"/>
          <x14:colorFirst rgb="FFD00000"/>
          <x14:colorLast rgb="FFD00000"/>
          <x14:colorHigh rgb="FFD00000"/>
          <x14:colorLow rgb="FFD00000"/>
          <x14:sparklines>
            <x14:sparkline>
              <xm:f>OÖ!J51:AB51</xm:f>
              <xm:sqref>J50</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tabColor rgb="FFFFFF00"/>
    <pageSetUpPr fitToPage="1"/>
  </sheetPr>
  <dimension ref="A1:DX93"/>
  <sheetViews>
    <sheetView zoomScale="90" zoomScaleNormal="90" workbookViewId="0">
      <pane xSplit="4" ySplit="4" topLeftCell="E5" activePane="bottomRight" state="frozen"/>
      <selection activeCell="E5" sqref="E5"/>
      <selection pane="topRight" activeCell="E5" sqref="E5"/>
      <selection pane="bottomLeft" activeCell="E5" sqref="E5"/>
      <selection pane="bottomRight" activeCell="H5" sqref="H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6" width="15.42578125" style="138" customWidth="1"/>
    <col min="17" max="17" width="27.42578125" style="138" customWidth="1"/>
    <col min="18" max="18" width="30" style="186" customWidth="1"/>
    <col min="19" max="19" width="9.5703125" style="138" customWidth="1"/>
    <col min="20" max="20" width="15.5703125" style="138" customWidth="1"/>
    <col min="21" max="21" width="14.140625" style="138" customWidth="1"/>
    <col min="22" max="63" width="11.42578125" style="138" customWidth="1"/>
    <col min="64" max="64" width="12.28515625" style="138" customWidth="1"/>
    <col min="65" max="65" width="13.140625" style="138" customWidth="1"/>
    <col min="66" max="66" width="12.85546875" style="138" customWidth="1"/>
    <col min="67" max="16384" width="11.42578125" style="138"/>
  </cols>
  <sheetData>
    <row r="1" spans="1:66" s="239" customFormat="1" ht="53.25" customHeight="1" x14ac:dyDescent="0.9">
      <c r="A1" s="133" t="s">
        <v>146</v>
      </c>
      <c r="B1" s="366" t="s">
        <v>7540</v>
      </c>
      <c r="C1" s="366"/>
      <c r="D1" s="366"/>
      <c r="E1" s="381" t="str">
        <f xml:space="preserve"> VLOOKUP(BL,Konstanten!$E$38:$F$46,2,FALSE) &amp;"-Ergebnisse: Indikatoren zu Flächeninanspruchnahme und Versiegelung mit Stand 2022 (Baseline)"</f>
        <v>Salzburg-Ergebnisse: Indikatoren zu Flächeninanspruchnahme und Versiegelung mit Stand 2022 (Baseline)</v>
      </c>
      <c r="F1" s="381"/>
      <c r="G1" s="381"/>
      <c r="H1" s="381"/>
      <c r="I1" s="381"/>
      <c r="J1" s="381"/>
      <c r="K1" s="381"/>
      <c r="L1" s="381"/>
      <c r="M1" s="381"/>
      <c r="N1" s="381"/>
      <c r="O1" s="381"/>
      <c r="P1" s="316"/>
      <c r="Q1" s="316"/>
      <c r="R1" s="317"/>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row>
    <row r="2" spans="1:66" s="239" customFormat="1" ht="15" customHeight="1" x14ac:dyDescent="0.9">
      <c r="A2" s="133"/>
      <c r="B2" s="243"/>
      <c r="C2" s="243"/>
      <c r="D2" s="243"/>
      <c r="E2" s="381"/>
      <c r="F2" s="381"/>
      <c r="G2" s="381"/>
      <c r="H2" s="381"/>
      <c r="I2" s="381"/>
      <c r="J2" s="381"/>
      <c r="K2" s="381"/>
      <c r="L2" s="381"/>
      <c r="M2" s="381"/>
      <c r="N2" s="381"/>
      <c r="O2" s="381"/>
      <c r="P2" s="316"/>
      <c r="Q2" s="316"/>
      <c r="R2" s="317"/>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row>
    <row r="3" spans="1:66" s="239" customFormat="1" ht="51.75" x14ac:dyDescent="0.9">
      <c r="A3" s="133"/>
      <c r="B3" s="228" t="s">
        <v>7517</v>
      </c>
      <c r="C3" s="242" t="s">
        <v>153</v>
      </c>
      <c r="D3" s="229"/>
      <c r="E3" s="381"/>
      <c r="F3" s="381"/>
      <c r="G3" s="381"/>
      <c r="H3" s="381"/>
      <c r="I3" s="381"/>
      <c r="J3" s="381"/>
      <c r="K3" s="381"/>
      <c r="L3" s="381"/>
      <c r="M3" s="381"/>
      <c r="N3" s="381"/>
      <c r="O3" s="381"/>
      <c r="P3" s="316"/>
      <c r="Q3" s="316"/>
      <c r="R3" s="317"/>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row>
    <row r="4" spans="1:66" s="239" customFormat="1" ht="22.5" customHeight="1" x14ac:dyDescent="0.9">
      <c r="A4" s="131"/>
      <c r="B4" s="227"/>
      <c r="C4" s="228"/>
      <c r="D4" s="229"/>
      <c r="E4" s="381"/>
      <c r="F4" s="381"/>
      <c r="G4" s="381"/>
      <c r="H4" s="381"/>
      <c r="I4" s="381"/>
      <c r="J4" s="381"/>
      <c r="K4" s="381"/>
      <c r="L4" s="381"/>
      <c r="M4" s="381"/>
      <c r="N4" s="381"/>
      <c r="O4" s="381"/>
      <c r="P4" s="319"/>
      <c r="Q4" s="319"/>
      <c r="R4" s="320"/>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row>
    <row r="5" spans="1:66" ht="52.5" customHeight="1" x14ac:dyDescent="0.3">
      <c r="A5" s="133">
        <f>+IF(Einheit = "ha", 1, 0.01)</f>
        <v>0.01</v>
      </c>
      <c r="C5" s="227"/>
      <c r="D5" s="231"/>
      <c r="E5" s="226" t="s">
        <v>7530</v>
      </c>
      <c r="F5" s="140"/>
      <c r="G5" s="140"/>
      <c r="H5" s="140"/>
      <c r="I5" s="140"/>
      <c r="J5" s="1"/>
      <c r="K5" s="1"/>
      <c r="L5" s="1"/>
      <c r="M5" s="1"/>
      <c r="N5" s="1"/>
      <c r="O5" s="1"/>
      <c r="P5" s="140"/>
      <c r="Q5" s="140"/>
      <c r="R5" s="140"/>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row>
    <row r="6" spans="1:66"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146"/>
      <c r="T6" s="138"/>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row>
    <row r="7" spans="1:66" s="144" customFormat="1" ht="34.5" hidden="1" customHeight="1" x14ac:dyDescent="0.3">
      <c r="A7" s="133"/>
      <c r="B7" s="227"/>
      <c r="C7" s="230"/>
      <c r="D7" s="231"/>
      <c r="E7" s="139"/>
      <c r="F7" s="141"/>
      <c r="G7" s="141"/>
      <c r="H7" s="141"/>
      <c r="I7" s="142"/>
      <c r="J7" s="131">
        <f>Fak_Einheit/IF(denom_1="absolut",1,Fak_Einheit*S!FI_gesamt)</f>
        <v>0.01</v>
      </c>
      <c r="K7" s="131">
        <f>Fak_Einheit/IF(denom_1="absolut",1,Fak_Einheit*S!FI_gesamt)</f>
        <v>0.01</v>
      </c>
      <c r="L7" s="131">
        <f>Fak_Einheit/IF(denom_1="absolut",1,Fak_Einheit*S!FI_gesamt)</f>
        <v>0.01</v>
      </c>
      <c r="M7" s="131">
        <f>Fak_Einheit/IF(denom_1="absolut",1,Fak_Einheit*S!FI_gesamt)</f>
        <v>0.01</v>
      </c>
      <c r="N7" s="131">
        <f>Fak_Einheit/IF(denom_1="absolut",1,Fak_Einheit*S!FI_gesamt)</f>
        <v>0.01</v>
      </c>
      <c r="O7" s="131">
        <f>Fak_Einheit/IF(denom_1="absolut",1,Fak_Einheit*S!FI_gesamt)</f>
        <v>0.01</v>
      </c>
      <c r="P7" s="131">
        <f>Fak_Einheit/IF(denom_1="absolut",1,Fak_Einheit*S!FI_gesamt)</f>
        <v>0.01</v>
      </c>
      <c r="Q7" s="143"/>
      <c r="R7" s="145"/>
      <c r="S7" s="146"/>
      <c r="T7" s="138"/>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row>
    <row r="8" spans="1:66" s="270" customFormat="1" ht="16.5" hidden="1" x14ac:dyDescent="0.25">
      <c r="B8" s="271"/>
      <c r="C8" s="272"/>
      <c r="D8" s="271"/>
      <c r="H8" s="273" t="s">
        <v>7523</v>
      </c>
      <c r="J8">
        <v>3051.16072213384</v>
      </c>
      <c r="K8">
        <v>3416.4739030513701</v>
      </c>
      <c r="L8">
        <v>9188.1809945107598</v>
      </c>
      <c r="M8">
        <v>5302.5470072484204</v>
      </c>
      <c r="N8">
        <v>1944.7177420046301</v>
      </c>
      <c r="O8">
        <v>6298.07875594282</v>
      </c>
      <c r="P8">
        <v>29201.159124891841</v>
      </c>
      <c r="S8" s="382"/>
    </row>
    <row r="9" spans="1:66" s="274" customFormat="1" ht="93" customHeight="1" x14ac:dyDescent="0.4">
      <c r="B9" s="272"/>
      <c r="C9" s="272"/>
      <c r="D9" s="272"/>
      <c r="F9" s="275"/>
      <c r="G9" s="275"/>
      <c r="H9" s="275"/>
      <c r="I9" s="275"/>
      <c r="J9" s="278" t="s">
        <v>95</v>
      </c>
      <c r="K9" s="278" t="s">
        <v>94</v>
      </c>
      <c r="L9" s="278" t="s">
        <v>96</v>
      </c>
      <c r="M9" s="278" t="s">
        <v>97</v>
      </c>
      <c r="N9" s="278" t="s">
        <v>98</v>
      </c>
      <c r="O9" s="278" t="s">
        <v>99</v>
      </c>
      <c r="P9" s="279" t="str">
        <f>S!BL</f>
        <v>S</v>
      </c>
      <c r="S9" s="382"/>
      <c r="T9" s="276"/>
      <c r="U9" s="276"/>
      <c r="BL9" s="274" t="s">
        <v>7524</v>
      </c>
      <c r="BM9" s="274" t="s">
        <v>7525</v>
      </c>
      <c r="BN9" s="274" t="s">
        <v>7526</v>
      </c>
    </row>
    <row r="10" spans="1:66" s="156" customFormat="1" ht="19.5" customHeight="1" thickBot="1" x14ac:dyDescent="0.45">
      <c r="B10" s="236"/>
      <c r="C10" s="237"/>
      <c r="D10" s="238"/>
      <c r="F10" s="265"/>
      <c r="G10" s="157"/>
      <c r="I10" s="192" t="s">
        <v>7515</v>
      </c>
      <c r="J10" s="286">
        <f>3051.16072213384*(+S!Fak_1)</f>
        <v>30.511607221338402</v>
      </c>
      <c r="K10" s="286">
        <f>3416.47390305137*(+S!Fak_1)</f>
        <v>34.164739030513701</v>
      </c>
      <c r="L10" s="286">
        <f>9188.18099451076*(+S!Fak_1)</f>
        <v>91.881809945107605</v>
      </c>
      <c r="M10" s="286">
        <f>5302.54700724842*(+S!Fak_1)</f>
        <v>53.025470072484204</v>
      </c>
      <c r="N10" s="286">
        <f>1944.71774200463*(+S!Fak_1)</f>
        <v>19.447177420046302</v>
      </c>
      <c r="O10" s="286">
        <f>6298.07875594282*(+S!Fak_1)</f>
        <v>62.980787559428201</v>
      </c>
      <c r="P10" s="287">
        <f>29201.1591248918*(+S!Fak_1)</f>
        <v>292.01159124891802</v>
      </c>
      <c r="Q10" s="172" t="str">
        <f t="shared" ref="Q10:Q15" si="0">IF(denom_1="absolut",Einheit,"% FI gesamt")</f>
        <v>km²</v>
      </c>
      <c r="R10" s="160"/>
      <c r="S10" s="161">
        <f>+BM10/BL10</f>
        <v>0.57328669483294104</v>
      </c>
      <c r="T10" s="364" t="s">
        <v>7527</v>
      </c>
      <c r="U10" s="163"/>
      <c r="V10" s="159"/>
      <c r="BL10" s="164">
        <f>+P10/$P$7</f>
        <v>29201.159124891801</v>
      </c>
      <c r="BM10" s="164">
        <f>+P25/$P$23</f>
        <v>16740.635999999999</v>
      </c>
      <c r="BN10" s="164">
        <f>+BL10-BM10</f>
        <v>12460.523124891803</v>
      </c>
    </row>
    <row r="11" spans="1:66" s="147" customFormat="1" ht="19.5" customHeight="1" thickTop="1" thickBot="1" x14ac:dyDescent="0.35">
      <c r="B11" s="227"/>
      <c r="C11" s="228"/>
      <c r="D11" s="235"/>
      <c r="E11" s="148"/>
      <c r="F11" s="265"/>
      <c r="I11" s="152" t="s">
        <v>25</v>
      </c>
      <c r="J11" s="288">
        <f>870.609243452313*(+S!Fak_1)</f>
        <v>8.7060924345231303</v>
      </c>
      <c r="K11" s="288">
        <f>818.886383929308*(+S!Fak_1)</f>
        <v>8.188863839293079</v>
      </c>
      <c r="L11" s="288">
        <f>2418.02477562435*(+S!Fak_1)</f>
        <v>24.180247756243499</v>
      </c>
      <c r="M11" s="288">
        <f>1933.83134230552*(+S!Fak_1)</f>
        <v>19.338313423055201</v>
      </c>
      <c r="N11" s="288">
        <f>720.169445476991*(+S!Fak_1)</f>
        <v>7.2016944547699095</v>
      </c>
      <c r="O11" s="288">
        <f>2087.33100838264*(+S!Fak_1)</f>
        <v>20.8733100838264</v>
      </c>
      <c r="P11" s="289">
        <f>8848.85219917112*(+S!Fak_1)</f>
        <v>88.48852199171121</v>
      </c>
      <c r="Q11" s="172" t="str">
        <f t="shared" si="0"/>
        <v>km²</v>
      </c>
      <c r="R11" s="160"/>
      <c r="S11" s="161">
        <f t="shared" ref="S11:S15" si="1">+BM11/BL11</f>
        <v>0.76201833279932307</v>
      </c>
      <c r="T11" s="364"/>
      <c r="U11" s="163"/>
      <c r="V11" s="159"/>
      <c r="BL11" s="164">
        <f t="shared" ref="BL11:BL15" si="2">+P11/$P$7</f>
        <v>8848.8521991711204</v>
      </c>
      <c r="BM11" s="164">
        <f t="shared" ref="BM11:BM15" si="3">+P26/$P$23</f>
        <v>6742.9876000000004</v>
      </c>
      <c r="BN11" s="164">
        <f t="shared" ref="BN11:BN15" si="4">+BL11-BM11</f>
        <v>2105.8645991711201</v>
      </c>
    </row>
    <row r="12" spans="1:66" s="147" customFormat="1" ht="19.5" customHeight="1" thickTop="1" thickBot="1" x14ac:dyDescent="0.35">
      <c r="A12" s="167"/>
      <c r="B12" s="227"/>
      <c r="C12" s="228"/>
      <c r="D12" s="235"/>
      <c r="E12" s="148"/>
      <c r="F12" s="265"/>
      <c r="I12" s="152" t="s">
        <v>7410</v>
      </c>
      <c r="J12" s="288">
        <f>1300.92173367496*(+S!Fak_1)</f>
        <v>13.0092173367496</v>
      </c>
      <c r="K12" s="288">
        <f>1974.42319133972*(+S!Fak_1)</f>
        <v>19.744231913397201</v>
      </c>
      <c r="L12" s="288">
        <f>4253.89210900809*(+S!Fak_1)</f>
        <v>42.538921090080905</v>
      </c>
      <c r="M12" s="288">
        <f>1928.03400966409*(+S!Fak_1)</f>
        <v>19.280340096640902</v>
      </c>
      <c r="N12" s="288">
        <f>709.067358483932*(+S!Fak_1)</f>
        <v>7.0906735848393208</v>
      </c>
      <c r="O12" s="288">
        <f>2363.26904988291*(+S!Fak_1)</f>
        <v>23.632690498829103</v>
      </c>
      <c r="P12" s="289">
        <f>12529.6074520537*(+S!Fak_1)</f>
        <v>125.296074520537</v>
      </c>
      <c r="Q12" s="172" t="str">
        <f t="shared" si="0"/>
        <v>km²</v>
      </c>
      <c r="R12" s="160"/>
      <c r="S12" s="161">
        <f t="shared" si="1"/>
        <v>0.57002338080666226</v>
      </c>
      <c r="T12" s="364"/>
      <c r="U12" s="163"/>
      <c r="V12" s="159"/>
      <c r="BL12" s="164">
        <f t="shared" si="2"/>
        <v>12529.6074520537</v>
      </c>
      <c r="BM12" s="164">
        <f t="shared" si="3"/>
        <v>7142.1692000000003</v>
      </c>
      <c r="BN12" s="164">
        <f t="shared" si="4"/>
        <v>5387.4382520537001</v>
      </c>
    </row>
    <row r="13" spans="1:66" s="147" customFormat="1" ht="19.5" customHeight="1" thickTop="1" thickBot="1" x14ac:dyDescent="0.35">
      <c r="B13" s="227"/>
      <c r="C13" s="228"/>
      <c r="D13" s="235"/>
      <c r="E13" s="148"/>
      <c r="F13" s="265"/>
      <c r="I13" s="152" t="s">
        <v>7409</v>
      </c>
      <c r="J13" s="288">
        <f>654.298591734079*(+S!Fak_1)</f>
        <v>6.5429859173407898</v>
      </c>
      <c r="K13" s="288">
        <f>160.659309847192*(+S!Fak_1)</f>
        <v>1.6065930984719199</v>
      </c>
      <c r="L13" s="288">
        <f>1697.39142632228*(+S!Fak_1)</f>
        <v>16.973914263222802</v>
      </c>
      <c r="M13" s="288">
        <f>896.094870680066*(+S!Fak_1)</f>
        <v>8.9609487068006608</v>
      </c>
      <c r="N13" s="288">
        <f>358.613937993305*(+S!Fak_1)</f>
        <v>3.5861393799330501</v>
      </c>
      <c r="O13" s="288">
        <f>1180.85633681498*(+S!Fak_1)</f>
        <v>11.808563368149802</v>
      </c>
      <c r="P13" s="289">
        <f>4947.9144733919*(+S!Fak_1)</f>
        <v>49.479144733919</v>
      </c>
      <c r="Q13" s="172" t="str">
        <f t="shared" si="0"/>
        <v>km²</v>
      </c>
      <c r="R13" s="160"/>
      <c r="S13" s="161">
        <f t="shared" si="1"/>
        <v>0.4923014156973014</v>
      </c>
      <c r="T13" s="364"/>
      <c r="U13" s="163"/>
      <c r="V13" s="159"/>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4">
        <f t="shared" si="2"/>
        <v>4947.9144733919002</v>
      </c>
      <c r="BM13" s="164">
        <f t="shared" si="3"/>
        <v>2435.8652999999999</v>
      </c>
      <c r="BN13" s="164">
        <f t="shared" si="4"/>
        <v>2512.0491733919002</v>
      </c>
    </row>
    <row r="14" spans="1:66" s="147" customFormat="1" ht="19.5" customHeight="1" thickTop="1" x14ac:dyDescent="0.3">
      <c r="B14" s="227"/>
      <c r="C14" s="228"/>
      <c r="D14" s="235"/>
      <c r="E14" s="148"/>
      <c r="F14" s="265"/>
      <c r="I14" s="152" t="s">
        <v>7549</v>
      </c>
      <c r="J14" s="288">
        <f>110.053698469445*(+S!Fak_1)</f>
        <v>1.1005369846944499</v>
      </c>
      <c r="K14" s="288">
        <f>462.051261316192*(+S!Fak_1)</f>
        <v>4.6205126131619201</v>
      </c>
      <c r="L14" s="288">
        <f>628.907981580497*(+S!Fak_1)</f>
        <v>6.2890798158049703</v>
      </c>
      <c r="M14" s="288">
        <f>346.342044148129*(+S!Fak_1)</f>
        <v>3.4634204414812899</v>
      </c>
      <c r="N14" s="288">
        <f>116.842243951559*(+S!Fak_1)</f>
        <v>1.16842243951559</v>
      </c>
      <c r="O14" s="288">
        <f>471.552128792647*(+S!Fak_1)</f>
        <v>4.7155212879264701</v>
      </c>
      <c r="P14" s="290">
        <f>2135.74935825847*(+S!Fak_1)</f>
        <v>21.357493582584699</v>
      </c>
      <c r="Q14" s="172" t="str">
        <f t="shared" si="0"/>
        <v>km²</v>
      </c>
      <c r="R14" s="160"/>
      <c r="S14" s="161">
        <f t="shared" si="1"/>
        <v>0.14734097837051383</v>
      </c>
      <c r="T14" s="364"/>
      <c r="U14" s="163"/>
      <c r="V14" s="159"/>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4">
        <f t="shared" si="2"/>
        <v>2135.7493582584698</v>
      </c>
      <c r="BM14" s="164">
        <f t="shared" si="3"/>
        <v>314.68340000000001</v>
      </c>
      <c r="BN14" s="164">
        <f t="shared" si="4"/>
        <v>1821.0659582584699</v>
      </c>
    </row>
    <row r="15" spans="1:66" s="147" customFormat="1" ht="19.5" customHeight="1" x14ac:dyDescent="0.3">
      <c r="B15" s="227"/>
      <c r="C15" s="228"/>
      <c r="D15" s="235"/>
      <c r="E15" s="148"/>
      <c r="F15" s="265"/>
      <c r="I15" s="152" t="s">
        <v>7519</v>
      </c>
      <c r="J15" s="288">
        <f>115.277454803043*(+S!Fak_1)</f>
        <v>1.1527745480304301</v>
      </c>
      <c r="K15" s="288">
        <f>0.453756618963157*(+S!Fak_1)</f>
        <v>4.5375661896315698E-3</v>
      </c>
      <c r="L15" s="288">
        <f>189.964701975549*(+S!Fak_1)</f>
        <v>1.89964701975549</v>
      </c>
      <c r="M15" s="288">
        <f>198.244740450624*(+S!Fak_1)</f>
        <v>1.9824474045062399</v>
      </c>
      <c r="N15" s="288">
        <f>40.0247560988434*(+S!Fak_1)</f>
        <v>0.400247560988434</v>
      </c>
      <c r="O15" s="288">
        <f>195.070232069641*(+S!Fak_1)</f>
        <v>1.95070232069641</v>
      </c>
      <c r="P15" s="290">
        <f>739.035642016664*(+S!Fak_1)</f>
        <v>7.3903564201666407</v>
      </c>
      <c r="Q15" s="172" t="str">
        <f t="shared" si="0"/>
        <v>km²</v>
      </c>
      <c r="R15" s="160"/>
      <c r="S15" s="161">
        <f t="shared" si="1"/>
        <v>0.14198300330098826</v>
      </c>
      <c r="T15" s="364"/>
      <c r="U15" s="163"/>
      <c r="V15" s="159"/>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4">
        <f t="shared" si="2"/>
        <v>739.03564201666404</v>
      </c>
      <c r="BM15" s="164">
        <f t="shared" si="3"/>
        <v>104.93049999999999</v>
      </c>
      <c r="BN15" s="164">
        <f t="shared" si="4"/>
        <v>634.1051420166641</v>
      </c>
    </row>
    <row r="16" spans="1:66" s="147" customFormat="1" ht="21" customHeight="1" x14ac:dyDescent="0.3">
      <c r="B16" s="227"/>
      <c r="C16" s="228"/>
      <c r="D16" s="235"/>
      <c r="E16" s="148"/>
      <c r="F16" s="265"/>
      <c r="I16" s="152"/>
      <c r="J16" s="168"/>
      <c r="K16" s="168"/>
      <c r="L16" s="168"/>
      <c r="M16" s="168"/>
      <c r="N16" s="168"/>
      <c r="O16" s="168"/>
      <c r="P16" s="170"/>
      <c r="Q16" s="172"/>
      <c r="R16" s="168"/>
    </row>
    <row r="17" spans="2:20" s="147" customFormat="1" ht="42.75" customHeight="1" x14ac:dyDescent="0.3">
      <c r="B17" s="227"/>
      <c r="C17" s="228"/>
      <c r="D17" s="235"/>
      <c r="E17" s="148"/>
      <c r="F17" s="265"/>
      <c r="I17" s="152" t="s">
        <v>7520</v>
      </c>
      <c r="J17" s="371"/>
      <c r="K17" s="371"/>
      <c r="L17" s="371"/>
      <c r="M17" s="371"/>
      <c r="N17" s="371"/>
      <c r="O17" s="371"/>
      <c r="P17" s="371"/>
      <c r="Q17" s="172"/>
      <c r="R17" s="168"/>
    </row>
    <row r="18" spans="2:20" s="147" customFormat="1" ht="42.75" customHeight="1" x14ac:dyDescent="0.3">
      <c r="B18" s="227"/>
      <c r="C18" s="228"/>
      <c r="D18" s="235"/>
      <c r="E18" s="148"/>
      <c r="F18" s="265"/>
      <c r="J18" s="173">
        <f t="shared" ref="J18:P18" si="5">FI_gesamt/EW*10000</f>
        <v>499.60877046942733</v>
      </c>
      <c r="K18" s="173">
        <f t="shared" si="5"/>
        <v>219.94797580981069</v>
      </c>
      <c r="L18" s="173">
        <f t="shared" si="5"/>
        <v>590.14734088949149</v>
      </c>
      <c r="M18" s="173">
        <f t="shared" si="5"/>
        <v>648.97890084552182</v>
      </c>
      <c r="N18" s="173">
        <f t="shared" si="5"/>
        <v>964.68958877158093</v>
      </c>
      <c r="O18" s="173">
        <f t="shared" si="5"/>
        <v>710.4752336194324</v>
      </c>
      <c r="P18" s="173">
        <f t="shared" si="5"/>
        <v>519.03390871927854</v>
      </c>
      <c r="Q18" s="171" t="s">
        <v>7413</v>
      </c>
    </row>
    <row r="19" spans="2:20" s="147" customFormat="1" ht="42.75" customHeight="1" x14ac:dyDescent="0.3">
      <c r="B19" s="227"/>
      <c r="C19" s="228"/>
      <c r="D19" s="235"/>
      <c r="E19" s="148"/>
      <c r="F19" s="265"/>
      <c r="I19" s="152" t="s">
        <v>7550</v>
      </c>
      <c r="J19" s="372"/>
      <c r="K19" s="372"/>
      <c r="L19" s="372"/>
      <c r="M19" s="372"/>
      <c r="N19" s="372"/>
      <c r="O19" s="372"/>
      <c r="P19" s="372"/>
      <c r="Q19" s="171"/>
      <c r="R19" s="168"/>
    </row>
    <row r="20" spans="2:20" s="147" customFormat="1" ht="66.75" customHeight="1" x14ac:dyDescent="0.3">
      <c r="B20" s="227"/>
      <c r="C20" s="228"/>
      <c r="D20" s="235"/>
      <c r="E20" s="148"/>
      <c r="F20" s="265"/>
      <c r="I20" s="245"/>
      <c r="J20" s="174">
        <f t="shared" ref="J20:P20" si="6">100*Fak_Einheit*FI_gesamt/DSR</f>
        <v>17.981088326737353</v>
      </c>
      <c r="K20" s="174">
        <f t="shared" si="6"/>
        <v>58.838189561411831</v>
      </c>
      <c r="L20" s="174">
        <f t="shared" si="6"/>
        <v>18.39930509217006</v>
      </c>
      <c r="M20" s="174">
        <f t="shared" si="6"/>
        <v>18.651880365851444</v>
      </c>
      <c r="N20" s="174">
        <f t="shared" si="6"/>
        <v>16.754186492625685</v>
      </c>
      <c r="O20" s="174">
        <f t="shared" si="6"/>
        <v>17.088693828227683</v>
      </c>
      <c r="P20" s="174">
        <f t="shared" si="6"/>
        <v>0.19518898412094762</v>
      </c>
      <c r="Q20" s="373" t="s">
        <v>7418</v>
      </c>
      <c r="R20" s="373"/>
      <c r="S20" s="373"/>
      <c r="T20" s="266"/>
    </row>
    <row r="21" spans="2:20" ht="51" customHeight="1" x14ac:dyDescent="0.3">
      <c r="G21" s="176"/>
      <c r="H21" s="176"/>
      <c r="I21" s="369" t="s">
        <v>7474</v>
      </c>
      <c r="J21" s="369"/>
      <c r="K21" s="369"/>
      <c r="L21" s="369"/>
      <c r="M21" s="369"/>
      <c r="N21" s="369"/>
      <c r="O21" s="369"/>
      <c r="P21" s="369"/>
      <c r="Q21" s="369"/>
      <c r="R21" s="369"/>
      <c r="S21" s="175"/>
    </row>
    <row r="22" spans="2:20" ht="49.5" hidden="1" customHeight="1" x14ac:dyDescent="0.3">
      <c r="H22" s="177" t="s">
        <v>7522</v>
      </c>
      <c r="I22" s="138"/>
      <c r="J22" s="138">
        <v>1827.5586000000001</v>
      </c>
      <c r="K22" s="138">
        <v>2092.0907000000002</v>
      </c>
      <c r="L22" s="138">
        <v>5411.2803000000004</v>
      </c>
      <c r="M22" s="138">
        <v>2971.5079999999998</v>
      </c>
      <c r="N22" s="138">
        <v>990.70270000000005</v>
      </c>
      <c r="O22" s="138">
        <v>3447.4956999999999</v>
      </c>
      <c r="P22" s="138">
        <v>16740.635999999999</v>
      </c>
      <c r="R22" s="138"/>
    </row>
    <row r="23" spans="2:20" ht="18" hidden="1" x14ac:dyDescent="0.35">
      <c r="B23" s="232"/>
      <c r="C23" s="233"/>
      <c r="D23" s="239"/>
      <c r="E23" s="138"/>
      <c r="H23" s="177" t="s">
        <v>7521</v>
      </c>
      <c r="I23" s="138"/>
      <c r="J23" s="138">
        <f>Fak_Einheit/IF(denom_1="absolut",1,Fak_Einheit*S!VS_gesamt)</f>
        <v>0.01</v>
      </c>
      <c r="K23" s="138">
        <f>Fak_Einheit/IF(denom_1="absolut",1,Fak_Einheit*S!VS_gesamt)</f>
        <v>0.01</v>
      </c>
      <c r="L23" s="138">
        <f>Fak_Einheit/IF(denom_1="absolut",1,Fak_Einheit*S!VS_gesamt)</f>
        <v>0.01</v>
      </c>
      <c r="M23" s="138">
        <f>Fak_Einheit/IF(denom_1="absolut",1,Fak_Einheit*S!VS_gesamt)</f>
        <v>0.01</v>
      </c>
      <c r="N23" s="138">
        <f>Fak_Einheit/IF(denom_1="absolut",1,Fak_Einheit*S!VS_gesamt)</f>
        <v>0.01</v>
      </c>
      <c r="O23" s="138">
        <f>Fak_Einheit/IF(denom_1="absolut",1,Fak_Einheit*S!VS_gesamt)</f>
        <v>0.01</v>
      </c>
      <c r="P23" s="138">
        <f>Fak_Einheit/IF(denom_1="absolut",1,Fak_Einheit*S!VS_gesamt)</f>
        <v>0.01</v>
      </c>
      <c r="R23" s="138"/>
    </row>
    <row r="24" spans="2:20" ht="86.25" customHeight="1" x14ac:dyDescent="0.4">
      <c r="G24" s="144"/>
      <c r="H24" s="210"/>
      <c r="I24" s="210"/>
      <c r="J24" s="278" t="str">
        <f t="shared" ref="J24:M24" si="7">+J9</f>
        <v>Hallein</v>
      </c>
      <c r="K24" s="278" t="str">
        <f t="shared" si="7"/>
        <v>Salzburg(Stadt)</v>
      </c>
      <c r="L24" s="278" t="str">
        <f t="shared" si="7"/>
        <v>Salzburg-Umgebung</v>
      </c>
      <c r="M24" s="278" t="str">
        <f t="shared" si="7"/>
        <v>Sankt Johann im Pongau</v>
      </c>
      <c r="N24" s="278" t="str">
        <f t="shared" ref="N24:O24" si="8">+N9</f>
        <v>Tamsweg</v>
      </c>
      <c r="O24" s="278" t="str">
        <f t="shared" si="8"/>
        <v>Zell am See</v>
      </c>
      <c r="P24" s="279" t="str">
        <f>S!BL</f>
        <v>S</v>
      </c>
      <c r="Q24" s="210"/>
      <c r="R24" s="147"/>
      <c r="S24" s="147"/>
      <c r="T24" s="147"/>
    </row>
    <row r="25" spans="2:20" ht="19.5" customHeight="1" thickBot="1" x14ac:dyDescent="0.35">
      <c r="G25" s="146"/>
      <c r="I25" s="158" t="s">
        <v>7516</v>
      </c>
      <c r="J25" s="280">
        <f>1827.5586*(+S!Fak_2)</f>
        <v>18.275586000000001</v>
      </c>
      <c r="K25" s="280">
        <f>2092.0907*(+S!Fak_2)</f>
        <v>20.920907000000003</v>
      </c>
      <c r="L25" s="280">
        <f>5411.2803*(+S!Fak_2)</f>
        <v>54.112803000000007</v>
      </c>
      <c r="M25" s="280">
        <f>2971.508*(+S!Fak_2)</f>
        <v>29.71508</v>
      </c>
      <c r="N25" s="280">
        <f>990.7027*(+S!Fak_2)</f>
        <v>9.9070270000000011</v>
      </c>
      <c r="O25" s="280">
        <f>3447.4957*(+S!Fak_2)</f>
        <v>34.474957000000003</v>
      </c>
      <c r="P25" s="281">
        <f>16740.636*(+S!Fak_2)</f>
        <v>167.40635999999998</v>
      </c>
      <c r="Q25" s="159" t="str">
        <f t="shared" ref="Q25:Q30" si="9">IF(denom_1="absolut",Einheit,"% VS gesamt")</f>
        <v>km²</v>
      </c>
      <c r="R25" s="160"/>
      <c r="S25" s="161">
        <f>BM10/BL10</f>
        <v>0.57328669483294104</v>
      </c>
      <c r="T25" s="364" t="s">
        <v>7528</v>
      </c>
    </row>
    <row r="26" spans="2:20" ht="19.5" customHeight="1" thickTop="1" thickBot="1" x14ac:dyDescent="0.35">
      <c r="F26" s="138" t="s">
        <v>7411</v>
      </c>
      <c r="G26" s="144"/>
      <c r="I26" s="148" t="s">
        <v>25</v>
      </c>
      <c r="J26" s="282">
        <f>687.2286*(+S!Fak_2)</f>
        <v>6.8722860000000008</v>
      </c>
      <c r="K26" s="282">
        <f>654.9975*(+S!Fak_2)</f>
        <v>6.5499749999999999</v>
      </c>
      <c r="L26" s="282">
        <f>1942.3762*(+S!Fak_2)</f>
        <v>19.423762</v>
      </c>
      <c r="M26" s="282">
        <f>1412.2433*(+S!Fak_2)</f>
        <v>14.122433000000001</v>
      </c>
      <c r="N26" s="282">
        <f>501.2211*(+S!Fak_2)</f>
        <v>5.0122109999999997</v>
      </c>
      <c r="O26" s="282">
        <f>1544.9209*(+S!Fak_2)</f>
        <v>15.449209000000002</v>
      </c>
      <c r="P26" s="283">
        <f>6742.9876*(+S!Fak_2)</f>
        <v>67.429876000000007</v>
      </c>
      <c r="Q26" s="159" t="str">
        <f t="shared" si="9"/>
        <v>km²</v>
      </c>
      <c r="R26" s="160"/>
      <c r="S26" s="161">
        <f t="shared" ref="S26:S30" si="10">BM11/BL11</f>
        <v>0.76201833279932307</v>
      </c>
      <c r="T26" s="364"/>
    </row>
    <row r="27" spans="2:20" ht="19.5" customHeight="1" thickTop="1" thickBot="1" x14ac:dyDescent="0.35">
      <c r="G27" s="222"/>
      <c r="I27" s="148" t="s">
        <v>7410</v>
      </c>
      <c r="J27" s="282">
        <f>778.576*(+S!Fak_2)</f>
        <v>7.7857600000000007</v>
      </c>
      <c r="K27" s="282">
        <f>1288.6332*(+S!Fak_2)</f>
        <v>12.886331999999999</v>
      </c>
      <c r="L27" s="282">
        <f>2411.081*(+S!Fak_2)</f>
        <v>24.110810000000001</v>
      </c>
      <c r="M27" s="282">
        <f>1057.1249*(+S!Fak_2)</f>
        <v>10.571249</v>
      </c>
      <c r="N27" s="282">
        <f>324.3781*(+S!Fak_2)</f>
        <v>3.2437810000000002</v>
      </c>
      <c r="O27" s="282">
        <f>1282.376*(+S!Fak_2)</f>
        <v>12.82376</v>
      </c>
      <c r="P27" s="283">
        <f>7142.1692*(+S!Fak_2)</f>
        <v>71.421692000000007</v>
      </c>
      <c r="Q27" s="159" t="str">
        <f t="shared" si="9"/>
        <v>km²</v>
      </c>
      <c r="R27" s="160"/>
      <c r="S27" s="161">
        <f t="shared" si="10"/>
        <v>0.57002338080666226</v>
      </c>
      <c r="T27" s="364"/>
    </row>
    <row r="28" spans="2:20" ht="19.5" customHeight="1" thickTop="1" thickBot="1" x14ac:dyDescent="0.35">
      <c r="G28" s="222"/>
      <c r="I28" s="148" t="s">
        <v>7409</v>
      </c>
      <c r="J28" s="282">
        <f>328.4676*(+S!Fak_2)</f>
        <v>3.2846760000000002</v>
      </c>
      <c r="K28" s="282">
        <f>70.2334*(+S!Fak_2)</f>
        <v>0.70233400000000001</v>
      </c>
      <c r="L28" s="282">
        <f>900.1974*(+S!Fak_2)</f>
        <v>9.0019740000000006</v>
      </c>
      <c r="M28" s="282">
        <f>435.3714*(+S!Fak_2)</f>
        <v>4.3537140000000001</v>
      </c>
      <c r="N28" s="282">
        <f>146.8695*(+S!Fak_2)</f>
        <v>1.4686949999999999</v>
      </c>
      <c r="O28" s="282">
        <f>554.726*(+S!Fak_2)</f>
        <v>5.5472600000000005</v>
      </c>
      <c r="P28" s="283">
        <f>2435.8653*(+S!Fak_2)</f>
        <v>24.358653</v>
      </c>
      <c r="Q28" s="159" t="str">
        <f t="shared" si="9"/>
        <v>km²</v>
      </c>
      <c r="R28" s="160"/>
      <c r="S28" s="161">
        <f t="shared" si="10"/>
        <v>0.4923014156973014</v>
      </c>
      <c r="T28" s="364"/>
    </row>
    <row r="29" spans="2:20" ht="19.5" customHeight="1" thickTop="1" x14ac:dyDescent="0.3">
      <c r="G29" s="222"/>
      <c r="I29" s="148" t="s">
        <v>7549</v>
      </c>
      <c r="J29" s="282">
        <f>22.0399*(+S!Fak_2)</f>
        <v>0.22039900000000001</v>
      </c>
      <c r="K29" s="282">
        <f>78.2266*(+S!Fak_2)</f>
        <v>0.78226600000000002</v>
      </c>
      <c r="L29" s="282">
        <f>102.2248*(+S!Fak_2)</f>
        <v>1.022248</v>
      </c>
      <c r="M29" s="282">
        <f>51.1061*(+S!Fak_2)</f>
        <v>0.51106099999999999</v>
      </c>
      <c r="N29" s="282">
        <f>10.8089*(+S!Fak_2)</f>
        <v>0.10808899999999999</v>
      </c>
      <c r="O29" s="282">
        <f>50.2771*(+S!Fak_2)</f>
        <v>0.50277099999999997</v>
      </c>
      <c r="P29" s="204">
        <f>314.6834*(+S!Fak_2)</f>
        <v>3.1468340000000001</v>
      </c>
      <c r="Q29" s="159" t="str">
        <f t="shared" si="9"/>
        <v>km²</v>
      </c>
      <c r="R29" s="160"/>
      <c r="S29" s="161">
        <f t="shared" si="10"/>
        <v>0.14734097837051383</v>
      </c>
      <c r="T29" s="364"/>
    </row>
    <row r="30" spans="2:20" ht="19.5" customHeight="1" x14ac:dyDescent="0.3">
      <c r="G30" s="222"/>
      <c r="I30" s="148" t="s">
        <v>7519</v>
      </c>
      <c r="J30" s="282">
        <f>11.2465*(+S!Fak_2)</f>
        <v>0.112465</v>
      </c>
      <c r="K30" s="282">
        <f>0*(+S!Fak_2)</f>
        <v>0</v>
      </c>
      <c r="L30" s="282">
        <f>55.4009*(+S!Fak_2)</f>
        <v>0.55400899999999997</v>
      </c>
      <c r="M30" s="282">
        <f>15.6623*(+S!Fak_2)</f>
        <v>0.15662300000000001</v>
      </c>
      <c r="N30" s="282">
        <f>7.4251*(+S!Fak_2)</f>
        <v>7.4250999999999998E-2</v>
      </c>
      <c r="O30" s="282">
        <f>15.1957*(+S!Fak_2)</f>
        <v>0.15195700000000001</v>
      </c>
      <c r="P30" s="204">
        <f>104.9305*(+S!Fak_2)</f>
        <v>1.0493049999999999</v>
      </c>
      <c r="Q30" s="159" t="str">
        <f t="shared" si="9"/>
        <v>km²</v>
      </c>
      <c r="R30" s="160"/>
      <c r="S30" s="161">
        <f t="shared" si="10"/>
        <v>0.14198300330098826</v>
      </c>
      <c r="T30" s="364"/>
    </row>
    <row r="31" spans="2:20" ht="19.5" customHeight="1" x14ac:dyDescent="0.3">
      <c r="G31" s="222"/>
      <c r="I31" s="148"/>
      <c r="J31" s="284"/>
      <c r="K31" s="284"/>
      <c r="L31" s="284"/>
      <c r="M31" s="284"/>
      <c r="N31" s="284"/>
      <c r="O31" s="284"/>
      <c r="P31" s="284"/>
      <c r="Q31" s="159"/>
      <c r="R31" s="160"/>
      <c r="S31" s="189"/>
      <c r="T31" s="147"/>
    </row>
    <row r="32" spans="2:20" ht="19.5" customHeight="1" x14ac:dyDescent="0.3">
      <c r="G32" s="144"/>
      <c r="I32" s="148" t="s">
        <v>7514</v>
      </c>
      <c r="J32" s="282">
        <f t="shared" ref="J32:P32" si="11">+VS_gesamt*10000/EW</f>
        <v>299.25146141376433</v>
      </c>
      <c r="K32" s="282">
        <f t="shared" si="11"/>
        <v>134.68597382364115</v>
      </c>
      <c r="L32" s="282">
        <f t="shared" si="11"/>
        <v>347.5609243832414</v>
      </c>
      <c r="M32" s="282">
        <f t="shared" si="11"/>
        <v>363.68296085966756</v>
      </c>
      <c r="N32" s="282">
        <f t="shared" si="11"/>
        <v>491.444367280123</v>
      </c>
      <c r="O32" s="282">
        <f t="shared" si="11"/>
        <v>388.90595176319295</v>
      </c>
      <c r="P32" s="282">
        <f t="shared" si="11"/>
        <v>297.55523403589723</v>
      </c>
      <c r="Q32" s="224" t="s">
        <v>7513</v>
      </c>
      <c r="R32" s="147"/>
      <c r="S32" s="147"/>
      <c r="T32" s="147"/>
    </row>
    <row r="33" spans="7:35" ht="19.5" customHeight="1" x14ac:dyDescent="0.3">
      <c r="G33" s="144"/>
      <c r="I33" s="148" t="s">
        <v>7472</v>
      </c>
      <c r="J33" s="285">
        <f>100*Fak_Einheit*VS_gesamt/S!DSR</f>
        <v>10.770161129337906</v>
      </c>
      <c r="K33" s="285">
        <f>100*Fak_Einheit*VS_gesamt/S!DSR</f>
        <v>36.029787634650617</v>
      </c>
      <c r="L33" s="285">
        <f>100*Fak_Einheit*VS_gesamt/S!DSR</f>
        <v>10.836072693651916</v>
      </c>
      <c r="M33" s="285">
        <f>100*Fak_Einheit*VS_gesamt/S!DSR</f>
        <v>10.45237536723527</v>
      </c>
      <c r="N33" s="285">
        <f>100*Fak_Einheit*VS_gesamt/S!DSR</f>
        <v>8.5351295131590774</v>
      </c>
      <c r="O33" s="285">
        <f>100*Fak_Einheit*VS_gesamt/S!DSR</f>
        <v>9.354153984791223</v>
      </c>
      <c r="P33" s="285">
        <f>100*Fak_Einheit*VS_gesamt/S!DSR</f>
        <v>0.11189924757449733</v>
      </c>
      <c r="Q33" s="210" t="s">
        <v>7418</v>
      </c>
      <c r="R33" s="147"/>
      <c r="S33" s="147"/>
      <c r="T33" s="147"/>
    </row>
    <row r="34" spans="7:35" ht="19.5" customHeight="1" x14ac:dyDescent="0.3">
      <c r="G34" s="144"/>
      <c r="I34" s="148"/>
      <c r="J34" s="285"/>
      <c r="K34" s="285"/>
      <c r="L34" s="285"/>
      <c r="M34" s="285"/>
      <c r="N34" s="285"/>
      <c r="O34" s="285"/>
      <c r="P34" s="285"/>
      <c r="Q34" s="210"/>
      <c r="R34" s="147"/>
      <c r="S34" s="147"/>
      <c r="T34" s="147"/>
    </row>
    <row r="35" spans="7:35" ht="19.5" customHeight="1" x14ac:dyDescent="0.3">
      <c r="G35" s="144"/>
      <c r="I35" s="369" t="s">
        <v>7415</v>
      </c>
      <c r="J35" s="369"/>
      <c r="K35" s="369"/>
      <c r="L35" s="369"/>
      <c r="M35" s="369"/>
      <c r="N35" s="369"/>
      <c r="O35" s="369"/>
      <c r="P35" s="369"/>
      <c r="Q35" s="369"/>
      <c r="R35" s="369"/>
      <c r="S35" s="175"/>
    </row>
    <row r="36" spans="7:35" ht="19.5" customHeight="1" x14ac:dyDescent="0.3">
      <c r="G36" s="144"/>
      <c r="I36" s="148"/>
      <c r="J36" s="285"/>
      <c r="K36" s="285"/>
      <c r="L36" s="285"/>
      <c r="M36" s="285"/>
      <c r="N36" s="285"/>
      <c r="O36" s="285"/>
      <c r="P36" s="285"/>
      <c r="Q36" s="210"/>
      <c r="R36" s="147"/>
      <c r="S36" s="147"/>
      <c r="T36" s="147"/>
    </row>
    <row r="37" spans="7:35" ht="19.5" customHeight="1" x14ac:dyDescent="0.3">
      <c r="G37" s="144"/>
      <c r="I37" s="148"/>
      <c r="J37" s="285"/>
      <c r="K37" s="285"/>
      <c r="L37" s="285"/>
      <c r="M37" s="285"/>
      <c r="N37" s="285"/>
      <c r="O37" s="285"/>
      <c r="P37" s="285"/>
      <c r="Q37" s="210"/>
      <c r="R37" s="147"/>
      <c r="S37" s="147"/>
      <c r="T37" s="147"/>
    </row>
    <row r="38" spans="7:35" ht="90.75" customHeight="1" x14ac:dyDescent="0.4">
      <c r="G38" s="144"/>
      <c r="I38" s="148"/>
      <c r="J38" s="338" t="str">
        <f>J24</f>
        <v>Hallein</v>
      </c>
      <c r="K38" s="338" t="str">
        <f t="shared" ref="K38:O38" si="12">K24</f>
        <v>Salzburg(Stadt)</v>
      </c>
      <c r="L38" s="338" t="str">
        <f t="shared" si="12"/>
        <v>Salzburg-Umgebung</v>
      </c>
      <c r="M38" s="338" t="str">
        <f t="shared" si="12"/>
        <v>Sankt Johann im Pongau</v>
      </c>
      <c r="N38" s="338" t="str">
        <f t="shared" si="12"/>
        <v>Tamsweg</v>
      </c>
      <c r="O38" s="338" t="str">
        <f t="shared" si="12"/>
        <v>Zell am See</v>
      </c>
      <c r="P38" s="277" t="str">
        <f>S!BL</f>
        <v>S</v>
      </c>
      <c r="Q38" s="339"/>
      <c r="R38" s="339"/>
      <c r="S38" s="339"/>
      <c r="T38" s="339"/>
      <c r="U38" s="339"/>
      <c r="V38" s="339"/>
      <c r="W38" s="339"/>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36"/>
      <c r="R39" s="336"/>
      <c r="S39" s="336"/>
      <c r="T39" s="336"/>
      <c r="U39" s="336"/>
      <c r="V39" s="336"/>
      <c r="W39" s="336"/>
      <c r="X39" s="336"/>
      <c r="Y39" s="336"/>
      <c r="Z39" s="336"/>
      <c r="AA39" s="336"/>
      <c r="AB39" s="336"/>
      <c r="AC39" s="336"/>
      <c r="AD39" s="336"/>
      <c r="AE39" s="336"/>
      <c r="AF39" s="336"/>
      <c r="AG39" s="336"/>
      <c r="AH39" s="336"/>
    </row>
    <row r="40" spans="7:35" ht="19.5" customHeight="1" x14ac:dyDescent="0.3">
      <c r="G40" s="144"/>
      <c r="I40" s="148"/>
      <c r="J40" s="191">
        <f>Fak_1*1420.973197</f>
        <v>14.20973197</v>
      </c>
      <c r="K40" s="191">
        <f>Fak_1*1999.317587</f>
        <v>19.993175870000002</v>
      </c>
      <c r="L40" s="191">
        <f>Fak_1*4557.944009</f>
        <v>45.579440089999999</v>
      </c>
      <c r="M40" s="191">
        <f>Fak_1*2122.014752</f>
        <v>21.220147520000001</v>
      </c>
      <c r="N40" s="191">
        <f>Fak_1*808.261283</f>
        <v>8.0826128300000004</v>
      </c>
      <c r="O40" s="191">
        <f>Fak_1*2597.356518</f>
        <v>25.973565180000001</v>
      </c>
      <c r="P40" s="191">
        <f>Fak_1*13505.867346</f>
        <v>135.05867346000002</v>
      </c>
      <c r="Q40" s="210"/>
      <c r="R40" s="147"/>
      <c r="S40" s="147"/>
      <c r="T40" s="147"/>
    </row>
    <row r="41" spans="7:35" ht="19.5" customHeight="1" x14ac:dyDescent="0.3">
      <c r="G41" s="144"/>
      <c r="I41" s="148"/>
      <c r="J41" s="378" t="s">
        <v>7548</v>
      </c>
      <c r="K41" s="378"/>
      <c r="L41" s="378"/>
      <c r="M41" s="378"/>
      <c r="N41" s="378"/>
      <c r="O41" s="378"/>
      <c r="P41" s="378"/>
      <c r="Q41" s="336"/>
      <c r="R41" s="336"/>
      <c r="S41" s="336"/>
      <c r="T41" s="336"/>
      <c r="U41" s="336"/>
      <c r="V41" s="336"/>
      <c r="W41" s="336"/>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384"/>
      <c r="P42" s="384"/>
      <c r="Q42" s="210"/>
      <c r="R42" s="147"/>
      <c r="S42" s="147"/>
      <c r="T42" s="147"/>
    </row>
    <row r="43" spans="7:35" ht="19.5" customHeight="1" x14ac:dyDescent="0.3">
      <c r="G43" s="144"/>
      <c r="I43" s="307" t="s">
        <v>7546</v>
      </c>
      <c r="J43" s="191">
        <f t="shared" ref="J43:P43" si="13">100*J44/Baulandwidmung</f>
        <v>16.601040505058872</v>
      </c>
      <c r="K43" s="191">
        <f t="shared" si="13"/>
        <v>8.4269747385561313</v>
      </c>
      <c r="L43" s="191">
        <f t="shared" si="13"/>
        <v>14.627560884546181</v>
      </c>
      <c r="M43" s="191">
        <f t="shared" si="13"/>
        <v>17.329622739587816</v>
      </c>
      <c r="N43" s="191">
        <f t="shared" si="13"/>
        <v>18.307365218680157</v>
      </c>
      <c r="O43" s="191">
        <f t="shared" si="13"/>
        <v>16.886414358615976</v>
      </c>
      <c r="P43" s="191">
        <f t="shared" si="13"/>
        <v>14.996469216764952</v>
      </c>
      <c r="Q43" s="210"/>
      <c r="R43" s="147"/>
      <c r="S43" s="147"/>
      <c r="T43" s="147"/>
    </row>
    <row r="44" spans="7:35" ht="19.5" customHeight="1" x14ac:dyDescent="0.3">
      <c r="G44" s="144"/>
      <c r="I44" s="152" t="str">
        <f>"in " &amp; Einheit</f>
        <v>in km²</v>
      </c>
      <c r="J44" s="191">
        <f>Fak_1*235.896336</f>
        <v>2.3589633600000002</v>
      </c>
      <c r="K44" s="191">
        <f>Fak_1*168.481988</f>
        <v>1.68481988</v>
      </c>
      <c r="L44" s="191">
        <f>Fak_1*666.716035</f>
        <v>6.6671603500000005</v>
      </c>
      <c r="M44" s="191">
        <f>Fak_1*367.737151</f>
        <v>3.67737151</v>
      </c>
      <c r="N44" s="191">
        <f>Fak_1*147.971345</f>
        <v>1.4797134500000002</v>
      </c>
      <c r="O44" s="191">
        <f>Fak_1*438.600384</f>
        <v>4.3860038399999999</v>
      </c>
      <c r="P44" s="191">
        <f>Fak_1*2025.403239</f>
        <v>20.254032389999999</v>
      </c>
      <c r="Q44" s="210"/>
      <c r="R44" s="147"/>
      <c r="S44" s="147"/>
      <c r="T44" s="147"/>
    </row>
    <row r="45" spans="7:35" ht="19.5" customHeight="1" x14ac:dyDescent="0.3">
      <c r="G45" s="144"/>
      <c r="I45" s="148"/>
      <c r="J45" s="378" t="s">
        <v>7476</v>
      </c>
      <c r="K45" s="378"/>
      <c r="L45" s="378"/>
      <c r="M45" s="378"/>
      <c r="N45" s="378"/>
      <c r="O45" s="378"/>
      <c r="P45" s="378"/>
      <c r="Q45" s="336"/>
      <c r="R45" s="336"/>
      <c r="S45" s="336"/>
      <c r="T45" s="336"/>
      <c r="U45" s="336"/>
      <c r="V45" s="336"/>
      <c r="W45" s="336"/>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384"/>
      <c r="P46" s="384"/>
      <c r="Q46" s="210"/>
      <c r="R46" s="147"/>
      <c r="S46" s="147"/>
      <c r="T46" s="147"/>
    </row>
    <row r="47" spans="7:35" ht="19.5" customHeight="1" x14ac:dyDescent="0.3">
      <c r="G47" s="144"/>
      <c r="I47" s="307" t="s">
        <v>7546</v>
      </c>
      <c r="J47" s="191">
        <f t="shared" ref="J47:P47" si="14">100*J48/Baulandwidmung</f>
        <v>8.4476107116888848</v>
      </c>
      <c r="K47" s="191">
        <f t="shared" si="14"/>
        <v>1.2440864903970856</v>
      </c>
      <c r="L47" s="191">
        <f t="shared" si="14"/>
        <v>6.6696791009220151</v>
      </c>
      <c r="M47" s="191">
        <f t="shared" si="14"/>
        <v>9.140773588740819</v>
      </c>
      <c r="N47" s="191">
        <f t="shared" si="14"/>
        <v>12.272507305041851</v>
      </c>
      <c r="O47" s="191">
        <f t="shared" si="14"/>
        <v>9.0118519878910206</v>
      </c>
      <c r="P47" s="191">
        <f t="shared" si="14"/>
        <v>7.2275563722984595</v>
      </c>
      <c r="Q47" s="210"/>
      <c r="R47" s="147"/>
      <c r="S47" s="147"/>
      <c r="T47" s="147"/>
    </row>
    <row r="48" spans="7:35" ht="19.5" customHeight="1" x14ac:dyDescent="0.3">
      <c r="G48" s="144"/>
      <c r="I48" s="152" t="str">
        <f>"in " &amp; Einheit</f>
        <v>in km²</v>
      </c>
      <c r="J48" s="191">
        <f>Fak_1*120.038284</f>
        <v>1.2003828400000001</v>
      </c>
      <c r="K48" s="191">
        <f>Fak_1*24.87324</f>
        <v>0.24873239999999999</v>
      </c>
      <c r="L48" s="191">
        <f>Fak_1*304.000239</f>
        <v>3.0400023900000002</v>
      </c>
      <c r="M48" s="191">
        <f>Fak_1*193.968564</f>
        <v>1.93968564</v>
      </c>
      <c r="N48" s="191">
        <f>Fak_1*99.193925</f>
        <v>0.99193924999999994</v>
      </c>
      <c r="O48" s="191">
        <f>Fak_1*234.069925</f>
        <v>2.3406992500000001</v>
      </c>
      <c r="P48" s="191">
        <f>Fak_1*976.144176</f>
        <v>9.7614417600000003</v>
      </c>
      <c r="Q48" s="210"/>
      <c r="R48" s="147"/>
      <c r="S48" s="147"/>
      <c r="T48" s="147"/>
    </row>
    <row r="49" spans="1:66" ht="19.5" customHeight="1" x14ac:dyDescent="0.3">
      <c r="G49" s="144"/>
      <c r="I49" s="148"/>
      <c r="J49" s="378" t="s">
        <v>7420</v>
      </c>
      <c r="K49" s="378"/>
      <c r="L49" s="378"/>
      <c r="M49" s="378"/>
      <c r="N49" s="378"/>
      <c r="O49" s="378"/>
      <c r="P49" s="378"/>
      <c r="Q49" s="336"/>
      <c r="R49" s="336"/>
      <c r="S49" s="336"/>
      <c r="T49" s="336"/>
      <c r="U49" s="336"/>
      <c r="V49" s="336"/>
      <c r="W49" s="336"/>
      <c r="X49" s="336"/>
      <c r="Y49" s="336"/>
      <c r="Z49" s="336"/>
      <c r="AA49" s="336"/>
      <c r="AB49" s="336"/>
      <c r="AC49" s="336"/>
      <c r="AD49" s="336"/>
      <c r="AE49" s="336"/>
      <c r="AF49" s="336"/>
      <c r="AG49" s="336"/>
      <c r="AH49" s="336"/>
    </row>
    <row r="50" spans="1:66" ht="19.5" customHeight="1" x14ac:dyDescent="0.3">
      <c r="G50" s="144"/>
      <c r="I50" s="307"/>
      <c r="J50" s="384"/>
      <c r="K50" s="384"/>
      <c r="L50" s="384"/>
      <c r="M50" s="384"/>
      <c r="N50" s="384"/>
      <c r="O50" s="384"/>
      <c r="P50" s="384"/>
      <c r="Q50" s="210"/>
      <c r="R50" s="147"/>
      <c r="S50" s="147"/>
      <c r="T50" s="147"/>
    </row>
    <row r="51" spans="1:66" ht="19.5" customHeight="1" x14ac:dyDescent="0.3">
      <c r="G51" s="144"/>
      <c r="I51" s="307" t="s">
        <v>7546</v>
      </c>
      <c r="J51" s="191">
        <f t="shared" ref="J51:P51" si="15">100*J52/Baulandwidmung</f>
        <v>32.527031894465772</v>
      </c>
      <c r="K51" s="191">
        <f t="shared" si="15"/>
        <v>30.831952262519657</v>
      </c>
      <c r="L51" s="191">
        <f t="shared" si="15"/>
        <v>29.562928577870558</v>
      </c>
      <c r="M51" s="191">
        <f t="shared" si="15"/>
        <v>33.234386204681762</v>
      </c>
      <c r="N51" s="191">
        <f t="shared" si="15"/>
        <v>29.534115022060259</v>
      </c>
      <c r="O51" s="191">
        <f t="shared" si="15"/>
        <v>32.025170639281491</v>
      </c>
      <c r="P51" s="191">
        <f t="shared" si="15"/>
        <v>31.111293531580934</v>
      </c>
      <c r="Q51" s="210"/>
      <c r="R51" s="147"/>
      <c r="S51" s="147"/>
      <c r="T51" s="147"/>
    </row>
    <row r="52" spans="1:66" ht="19.5" customHeight="1" x14ac:dyDescent="0.3">
      <c r="G52" s="144"/>
      <c r="I52" s="152" t="str">
        <f>"in " &amp; Einheit</f>
        <v>in km²</v>
      </c>
      <c r="J52" s="191">
        <f>Fak_1*462.200405</f>
        <v>4.6220040500000001</v>
      </c>
      <c r="K52" s="191">
        <f>Fak_1*616.428644</f>
        <v>6.1642864399999997</v>
      </c>
      <c r="L52" s="191">
        <f>Fak_1*1347.461732</f>
        <v>13.47461732</v>
      </c>
      <c r="M52" s="191">
        <f>Fak_1*705.238578</f>
        <v>7.0523857799999998</v>
      </c>
      <c r="N52" s="191">
        <f>Fak_1*238.712817</f>
        <v>2.38712817</v>
      </c>
      <c r="O52" s="191">
        <f>Fak_1*831.807857</f>
        <v>8.3180785700000008</v>
      </c>
      <c r="P52" s="191">
        <f>Fak_1*4201.850034</f>
        <v>42.018500340000003</v>
      </c>
      <c r="Q52" s="210"/>
      <c r="R52" s="147"/>
      <c r="S52" s="147"/>
      <c r="T52" s="147"/>
    </row>
    <row r="53" spans="1:66" ht="19.5" customHeight="1" x14ac:dyDescent="0.3">
      <c r="G53" s="144"/>
      <c r="I53" s="148"/>
      <c r="J53" s="285"/>
      <c r="K53" s="285"/>
      <c r="L53" s="285"/>
      <c r="M53" s="285"/>
      <c r="N53" s="285"/>
      <c r="O53" s="285"/>
      <c r="P53" s="285"/>
      <c r="Q53" s="210"/>
      <c r="R53" s="147"/>
      <c r="S53" s="147"/>
      <c r="T53" s="147"/>
    </row>
    <row r="54" spans="1:66" s="144" customFormat="1" ht="74.25" customHeight="1" x14ac:dyDescent="0.6">
      <c r="B54" s="227"/>
      <c r="C54" s="228"/>
      <c r="D54" s="229"/>
      <c r="E54" s="244" t="s">
        <v>7408</v>
      </c>
      <c r="F54" s="188"/>
      <c r="G54" s="187"/>
      <c r="H54" s="187"/>
    </row>
    <row r="55" spans="1:66"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"&amp;S!Einheit, IF(Versatz = 2, "in m² pro Einwohner:in", "in Prozent des Dauersiedlungsraums"))</f>
        <v>Flächeninanspruchnahme in km²</v>
      </c>
      <c r="J55" s="369"/>
      <c r="K55" s="369"/>
      <c r="L55" s="369"/>
      <c r="M55" s="369"/>
      <c r="N55" s="369"/>
      <c r="O55" s="369"/>
      <c r="P55" s="369"/>
      <c r="Q55" s="369"/>
      <c r="R55" s="369"/>
    </row>
    <row r="56" spans="1:66" x14ac:dyDescent="0.3">
      <c r="F56" s="181"/>
      <c r="G56" s="137"/>
      <c r="H56" s="178"/>
      <c r="I56" s="180"/>
      <c r="J56" s="137"/>
      <c r="K56" s="137"/>
      <c r="L56" s="137"/>
      <c r="M56" s="137"/>
      <c r="N56" s="137"/>
      <c r="O56" s="137"/>
      <c r="P56" s="137"/>
      <c r="Q56" s="137"/>
      <c r="R56" s="137"/>
      <c r="S56" s="136"/>
    </row>
    <row r="57" spans="1:66" hidden="1" x14ac:dyDescent="0.3">
      <c r="F57" s="137"/>
      <c r="G57" s="137"/>
      <c r="H57" s="178" t="s">
        <v>7532</v>
      </c>
      <c r="I57" s="180"/>
      <c r="J57" s="137">
        <f t="shared" ref="J57:M57" si="16">IF(Versatz = 1, Fak_Einheit, IF(Versatz = 2, 10000/J59, 100*Fak_Einheit/J60))</f>
        <v>0.01</v>
      </c>
      <c r="K57" s="137">
        <f t="shared" si="16"/>
        <v>0.01</v>
      </c>
      <c r="L57" s="137">
        <f t="shared" si="16"/>
        <v>0.01</v>
      </c>
      <c r="M57" s="137">
        <f t="shared" si="16"/>
        <v>0.01</v>
      </c>
      <c r="N57" s="137">
        <f t="shared" ref="N57:P57" si="17">IF(Versatz = 1, Fak_Einheit, IF(Versatz = 2, 10000/N59, 100*Fak_Einheit/N60))</f>
        <v>0.01</v>
      </c>
      <c r="O57" s="137">
        <f t="shared" si="17"/>
        <v>0.01</v>
      </c>
      <c r="P57" s="137">
        <f t="shared" si="17"/>
        <v>0.01</v>
      </c>
      <c r="Q57" s="137"/>
      <c r="R57" s="137"/>
      <c r="S57" s="136"/>
    </row>
    <row r="58" spans="1:66" hidden="1" x14ac:dyDescent="0.3">
      <c r="F58" s="137"/>
      <c r="G58" s="137"/>
      <c r="H58" s="178" t="s">
        <v>7531</v>
      </c>
      <c r="I58" s="180"/>
      <c r="J58" s="137">
        <v>1</v>
      </c>
      <c r="K58" s="137">
        <v>1</v>
      </c>
      <c r="L58" s="137">
        <v>1</v>
      </c>
      <c r="M58" s="137">
        <v>1</v>
      </c>
      <c r="N58" s="137">
        <v>1</v>
      </c>
      <c r="O58" s="137">
        <v>1</v>
      </c>
      <c r="P58" s="137">
        <v>1</v>
      </c>
      <c r="Q58" s="137"/>
      <c r="R58" s="137"/>
      <c r="S58" s="136"/>
    </row>
    <row r="59" spans="1:66" x14ac:dyDescent="0.3">
      <c r="F59" s="149"/>
      <c r="G59" s="149"/>
      <c r="H59" s="192" t="s">
        <v>159</v>
      </c>
      <c r="I59" s="154"/>
      <c r="J59" s="193">
        <v>61071</v>
      </c>
      <c r="K59" s="193">
        <v>155331</v>
      </c>
      <c r="L59" s="193">
        <v>155693</v>
      </c>
      <c r="M59" s="193">
        <v>81706</v>
      </c>
      <c r="N59" s="193">
        <v>20159</v>
      </c>
      <c r="O59" s="193">
        <v>88646</v>
      </c>
      <c r="P59" s="193">
        <v>562606</v>
      </c>
      <c r="Q59" s="194" t="s">
        <v>163</v>
      </c>
      <c r="R59" s="194"/>
      <c r="S59" s="195"/>
      <c r="T59" s="147"/>
      <c r="U59" s="147"/>
    </row>
    <row r="60" spans="1:66" x14ac:dyDescent="0.3">
      <c r="F60" s="150"/>
      <c r="G60" s="150"/>
      <c r="H60" s="192" t="s">
        <v>171</v>
      </c>
      <c r="I60" s="154"/>
      <c r="J60" s="193">
        <f>16968.7210623222*(+S!Fak_Einheit)</f>
        <v>169.68721062322203</v>
      </c>
      <c r="K60" s="193">
        <f>5806.5585099036*(+S!Fak_Einheit)</f>
        <v>58.065585099035999</v>
      </c>
      <c r="L60" s="193">
        <f>49937.652256339*(+S!Fak_Einheit)</f>
        <v>499.37652256339004</v>
      </c>
      <c r="M60" s="193">
        <f>28429.02111337*(+S!Fak_Einheit)</f>
        <v>284.29021113369998</v>
      </c>
      <c r="N60" s="193">
        <f>11607.3540357247*(+S!Fak_Einheit)</f>
        <v>116.073540357247</v>
      </c>
      <c r="O60" s="193">
        <f>36855.2378505339*(+S!Fak_Einheit)</f>
        <v>368.55237850533899</v>
      </c>
      <c r="P60" s="193">
        <v>149604.54482819341</v>
      </c>
      <c r="Q60" s="194" t="str">
        <f t="shared" ref="Q60" si="18">Einheit</f>
        <v>km²</v>
      </c>
      <c r="R60" s="194"/>
      <c r="S60" s="195"/>
      <c r="T60" s="147"/>
      <c r="U60" s="147"/>
    </row>
    <row r="61" spans="1:66" x14ac:dyDescent="0.3">
      <c r="F61" s="150"/>
      <c r="G61" s="150"/>
      <c r="H61" s="192"/>
      <c r="I61" s="154"/>
      <c r="J61" s="193"/>
      <c r="K61" s="193"/>
      <c r="L61" s="193"/>
      <c r="M61" s="193"/>
      <c r="N61" s="193"/>
      <c r="O61" s="193"/>
      <c r="P61" s="193"/>
      <c r="Q61" s="194"/>
      <c r="R61" s="194"/>
      <c r="S61" s="195"/>
      <c r="T61" s="147"/>
      <c r="U61" s="147"/>
    </row>
    <row r="62" spans="1:66" s="144" customFormat="1" ht="112.5" customHeight="1" x14ac:dyDescent="0.4">
      <c r="B62" s="227"/>
      <c r="C62" s="228"/>
      <c r="D62" s="229"/>
      <c r="E62" s="131"/>
      <c r="F62" s="210"/>
      <c r="G62" s="196"/>
      <c r="H62" s="210"/>
      <c r="I62" s="148"/>
      <c r="J62" s="278" t="str">
        <f t="shared" ref="J62:P62" si="19">+J24</f>
        <v>Hallein</v>
      </c>
      <c r="K62" s="278" t="str">
        <f t="shared" si="19"/>
        <v>Salzburg(Stadt)</v>
      </c>
      <c r="L62" s="278" t="str">
        <f t="shared" si="19"/>
        <v>Salzburg-Umgebung</v>
      </c>
      <c r="M62" s="278" t="str">
        <f t="shared" si="19"/>
        <v>Sankt Johann im Pongau</v>
      </c>
      <c r="N62" s="278" t="str">
        <f t="shared" si="19"/>
        <v>Tamsweg</v>
      </c>
      <c r="O62" s="278" t="str">
        <f t="shared" si="19"/>
        <v>Zell am See</v>
      </c>
      <c r="P62" s="279" t="str">
        <f t="shared" si="19"/>
        <v>S</v>
      </c>
      <c r="Q62" s="211"/>
      <c r="R62" s="210"/>
      <c r="S62" s="210"/>
      <c r="T62" s="210"/>
      <c r="U62" s="210"/>
    </row>
    <row r="63" spans="1:66" s="144" customFormat="1" ht="24" customHeight="1" x14ac:dyDescent="0.25">
      <c r="B63" s="227"/>
      <c r="C63" s="228"/>
      <c r="D63" s="229"/>
      <c r="E63" s="131"/>
      <c r="F63" s="198" t="s">
        <v>25</v>
      </c>
      <c r="G63" s="196">
        <v>101</v>
      </c>
      <c r="H63" s="148" t="str">
        <f>+VLOOKUP($G63,Konstanten!$A$2:$B$15,2,FALSE)</f>
        <v>Autobahn u. Schnellstraße</v>
      </c>
      <c r="I63" s="148"/>
      <c r="J63" s="267">
        <f>Fak_3*103.528757319784</f>
        <v>1.0352875731978401</v>
      </c>
      <c r="K63" s="267">
        <f>Fak_3*41.6110763235039</f>
        <v>0.41611076323503904</v>
      </c>
      <c r="L63" s="267">
        <f>Fak_3*198.594025373912</f>
        <v>1.98594025373912</v>
      </c>
      <c r="M63" s="267">
        <f>Fak_3*232.953593800437</f>
        <v>2.3295359380043701</v>
      </c>
      <c r="N63" s="267">
        <f>Fak_3*89.3712832091673</f>
        <v>0.89371283209167307</v>
      </c>
      <c r="O63" s="267">
        <f>Fak_3*0</f>
        <v>0</v>
      </c>
      <c r="P63" s="267">
        <f>Fak_3*666.058736026804</f>
        <v>6.6605873602680399</v>
      </c>
      <c r="Q63" s="213"/>
      <c r="R63" s="220">
        <f t="shared" ref="R63:R76" si="20">+BA63/AZ63</f>
        <v>0.62529156358129656</v>
      </c>
      <c r="S63" s="367" t="s">
        <v>7527</v>
      </c>
      <c r="U63" s="210"/>
      <c r="AZ63" s="144">
        <v>110.40250823890199</v>
      </c>
      <c r="BA63" s="144">
        <v>69.033756999999994</v>
      </c>
      <c r="BB63" s="144">
        <f>+AZ63-BA63</f>
        <v>41.368751238901993</v>
      </c>
      <c r="BM63" s="214"/>
      <c r="BN63" s="214"/>
    </row>
    <row r="64" spans="1:66" s="144" customFormat="1" ht="24" customHeight="1" x14ac:dyDescent="0.25">
      <c r="B64" s="227"/>
      <c r="C64" s="228"/>
      <c r="D64" s="229"/>
      <c r="E64" s="131"/>
      <c r="F64" s="198"/>
      <c r="G64" s="196">
        <v>102</v>
      </c>
      <c r="H64" s="148" t="str">
        <f>+VLOOKUP($G64,Konstanten!$A$2:$B$15,2,FALSE)</f>
        <v>Landesstraße B + L</v>
      </c>
      <c r="I64" s="148"/>
      <c r="J64" s="267">
        <f>Fak_3*167.838399401272</f>
        <v>1.6783839940127201</v>
      </c>
      <c r="K64" s="267">
        <f>Fak_3*82.3677831126057</f>
        <v>0.82367783112605697</v>
      </c>
      <c r="L64" s="267">
        <f>Fak_3*534.576485510614</f>
        <v>5.3457648551061405</v>
      </c>
      <c r="M64" s="267">
        <f>Fak_3*394.411085794759</f>
        <v>3.9441108579475901</v>
      </c>
      <c r="N64" s="267">
        <f>Fak_3*223.897058802139</f>
        <v>2.2389705880213899</v>
      </c>
      <c r="O64" s="267">
        <f>Fak_3*476.401189988771</f>
        <v>4.7640118998877101</v>
      </c>
      <c r="P64" s="267">
        <f>Fak_3*1879.49200261016</f>
        <v>18.7949200261016</v>
      </c>
      <c r="Q64" s="213"/>
      <c r="R64" s="220">
        <f t="shared" si="20"/>
        <v>0.74842676287368548</v>
      </c>
      <c r="S64" s="367"/>
      <c r="U64" s="210"/>
      <c r="AZ64" s="144">
        <v>429.83434045676199</v>
      </c>
      <c r="BA64" s="144">
        <v>321.699524</v>
      </c>
      <c r="BB64" s="144">
        <f t="shared" ref="BB64:BB76" si="21">+AZ64-BA64</f>
        <v>108.134816456762</v>
      </c>
      <c r="BM64" s="214"/>
      <c r="BN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Fak_3*541.348922911239</f>
        <v>5.4134892291123906</v>
      </c>
      <c r="K65" s="267">
        <f>Fak_3*579.121149752445</f>
        <v>5.7912114975244506</v>
      </c>
      <c r="L65" s="267">
        <f>Fak_3*1519.51128487176</f>
        <v>15.195112848717599</v>
      </c>
      <c r="M65" s="267">
        <f>Fak_3*1059.76543937988</f>
        <v>10.5976543937988</v>
      </c>
      <c r="N65" s="267">
        <f>Fak_3*382.013827741736</f>
        <v>3.8201382774173602</v>
      </c>
      <c r="O65" s="267">
        <f>Fak_3*1413.22289495142</f>
        <v>14.1322289495142</v>
      </c>
      <c r="P65" s="267">
        <f>Fak_3*5494.98351960848</f>
        <v>54.949835196084798</v>
      </c>
      <c r="Q65" s="213"/>
      <c r="R65" s="220">
        <f t="shared" si="20"/>
        <v>0.77800703868448506</v>
      </c>
      <c r="S65" s="367"/>
      <c r="U65" s="210"/>
      <c r="AZ65" s="144">
        <v>1051.88642686803</v>
      </c>
      <c r="BA65" s="144">
        <v>818.37504400000012</v>
      </c>
      <c r="BB65" s="144">
        <f t="shared" si="21"/>
        <v>233.51138286802984</v>
      </c>
      <c r="BM65" s="214"/>
      <c r="BN65" s="214"/>
    </row>
    <row r="66" spans="2:128" s="144" customFormat="1" ht="24" customHeight="1" x14ac:dyDescent="0.25">
      <c r="B66" s="227"/>
      <c r="C66" s="228"/>
      <c r="D66" s="229"/>
      <c r="E66" s="131"/>
      <c r="F66" s="198"/>
      <c r="G66" s="196">
        <v>104</v>
      </c>
      <c r="H66" s="148" t="str">
        <f>+VLOOKUP($G66,Konstanten!$A$2:$B$15,2,FALSE)</f>
        <v>Schiene</v>
      </c>
      <c r="I66" s="148"/>
      <c r="J66" s="267">
        <f>Fak_3*57.8931638200171</f>
        <v>0.57893163820017102</v>
      </c>
      <c r="K66" s="267">
        <f>Fak_3*115.786374740754</f>
        <v>1.1578637474075399</v>
      </c>
      <c r="L66" s="267">
        <f>Fak_3*165.342979868065</f>
        <v>1.6534297986806499</v>
      </c>
      <c r="M66" s="267">
        <f>Fak_3*246.70122333044</f>
        <v>2.4670122333044002</v>
      </c>
      <c r="N66" s="267">
        <f>Fak_3*24.8872757239497</f>
        <v>0.24887275723949701</v>
      </c>
      <c r="O66" s="267">
        <f>Fak_3*197.706923442457</f>
        <v>1.9770692344245699</v>
      </c>
      <c r="P66" s="267">
        <f>Fak_3*808.317940925682</f>
        <v>8.0831794092568199</v>
      </c>
      <c r="Q66" s="213"/>
      <c r="R66" s="220">
        <f t="shared" si="20"/>
        <v>0.50588581842325953</v>
      </c>
      <c r="S66" s="367"/>
      <c r="U66" s="210"/>
      <c r="AZ66" s="144">
        <v>127.56757285891301</v>
      </c>
      <c r="BA66" s="144">
        <v>64.534626000000003</v>
      </c>
      <c r="BB66" s="144">
        <f t="shared" si="21"/>
        <v>63.032946858913007</v>
      </c>
      <c r="BM66" s="214"/>
      <c r="BN66" s="214"/>
    </row>
    <row r="67" spans="2:128" s="144" customFormat="1" ht="24" customHeight="1" x14ac:dyDescent="0.25">
      <c r="B67" s="227"/>
      <c r="C67" s="228"/>
      <c r="D67" s="229"/>
      <c r="E67" s="131"/>
      <c r="F67" s="200"/>
      <c r="G67" s="215"/>
      <c r="H67" s="216"/>
      <c r="I67" s="217" t="s">
        <v>7535</v>
      </c>
      <c r="J67" s="268">
        <f>Fak_3*870.609243452313</f>
        <v>8.7060924345231303</v>
      </c>
      <c r="K67" s="268">
        <f>Fak_3*818.886383929309</f>
        <v>8.1888638392930897</v>
      </c>
      <c r="L67" s="268">
        <f>Fak_3*2418.02477562435</f>
        <v>24.180247756243499</v>
      </c>
      <c r="M67" s="268">
        <f>Fak_3*1933.83134230552</f>
        <v>19.338313423055201</v>
      </c>
      <c r="N67" s="268">
        <f>Fak_3*720.169445476991</f>
        <v>7.2016944547699095</v>
      </c>
      <c r="O67" s="268">
        <f>Fak_3*2087.33100838264</f>
        <v>20.8733100838264</v>
      </c>
      <c r="P67" s="268">
        <f>Fak_3*8848.85219917112</f>
        <v>88.48852199171121</v>
      </c>
      <c r="Q67" s="213"/>
      <c r="R67" s="220">
        <f t="shared" si="20"/>
        <v>0.7406232068794526</v>
      </c>
      <c r="S67" s="367"/>
      <c r="U67" s="210"/>
      <c r="AZ67" s="144">
        <v>1719.6908484226101</v>
      </c>
      <c r="BA67" s="144">
        <v>1273.642951</v>
      </c>
      <c r="BB67" s="144">
        <f t="shared" si="21"/>
        <v>446.04789742261005</v>
      </c>
      <c r="BM67" s="214"/>
      <c r="BN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Fak_3*692.439760923982</f>
        <v>6.9243976092398203</v>
      </c>
      <c r="K68" s="267">
        <f>Fak_3*1381.10385010298</f>
        <v>13.811038501029801</v>
      </c>
      <c r="L68" s="267">
        <f>Fak_3*2414.92827807025</f>
        <v>24.149282780702503</v>
      </c>
      <c r="M68" s="267">
        <f>Fak_3*1020.24973869999</f>
        <v>10.2024973869999</v>
      </c>
      <c r="N68" s="267">
        <f>Fak_3*337.399147941767</f>
        <v>3.3739914794176702</v>
      </c>
      <c r="O68" s="267">
        <f>Fak_3*1419.04910667438</f>
        <v>14.190491066743801</v>
      </c>
      <c r="P68" s="267">
        <f>Fak_3*7265.16988241334</f>
        <v>72.651698824133405</v>
      </c>
      <c r="Q68" s="213"/>
      <c r="R68" s="220">
        <f t="shared" si="20"/>
        <v>0.39295521959753704</v>
      </c>
      <c r="S68" s="367"/>
      <c r="U68" s="210"/>
      <c r="AZ68" s="144">
        <v>1112.6431516746302</v>
      </c>
      <c r="BA68" s="144">
        <v>437.21893399999999</v>
      </c>
      <c r="BB68" s="144">
        <f t="shared" si="21"/>
        <v>675.4242176746302</v>
      </c>
      <c r="BM68" s="214"/>
      <c r="BN68" s="214"/>
    </row>
    <row r="69" spans="2:128" s="144" customFormat="1" ht="24" customHeight="1" x14ac:dyDescent="0.25">
      <c r="B69" s="227"/>
      <c r="C69" s="228"/>
      <c r="D69" s="229"/>
      <c r="E69" s="131"/>
      <c r="F69" s="198"/>
      <c r="G69" s="197">
        <v>212</v>
      </c>
      <c r="H69" s="148" t="str">
        <f>+VLOOKUP($G69,Konstanten!$A$2:$B$15,2,FALSE)</f>
        <v>gemischte bauliche Nutzung</v>
      </c>
      <c r="I69" s="148"/>
      <c r="J69" s="267">
        <f>Fak_3*218.625566104306</f>
        <v>2.1862556610430599</v>
      </c>
      <c r="K69" s="267">
        <f>Fak_3*167.247632053205</f>
        <v>1.6724763205320501</v>
      </c>
      <c r="L69" s="267">
        <f>Fak_3*653.298948931745</f>
        <v>6.5329894893174503</v>
      </c>
      <c r="M69" s="267">
        <f>Fak_3*413.860188260749</f>
        <v>4.1386018826074897</v>
      </c>
      <c r="N69" s="267">
        <f>Fak_3*212.300138805331</f>
        <v>2.1230013880533098</v>
      </c>
      <c r="O69" s="267">
        <f>Fak_3*404.483437567687</f>
        <v>4.0448343756768699</v>
      </c>
      <c r="P69" s="267">
        <f>Fak_3*2069.81591172302</f>
        <v>20.698159117230198</v>
      </c>
      <c r="Q69" s="213"/>
      <c r="R69" s="220">
        <f t="shared" si="20"/>
        <v>0.47014924161630484</v>
      </c>
      <c r="S69" s="367"/>
      <c r="U69" s="210"/>
      <c r="AZ69" s="144">
        <v>1091.9388516614299</v>
      </c>
      <c r="BA69" s="144">
        <v>513.37422300000003</v>
      </c>
      <c r="BB69" s="144">
        <f t="shared" si="21"/>
        <v>578.56462866142988</v>
      </c>
      <c r="BM69" s="214"/>
      <c r="BN69" s="214"/>
    </row>
    <row r="70" spans="2:128" s="144" customFormat="1" ht="24" customHeight="1" x14ac:dyDescent="0.25">
      <c r="B70" s="227"/>
      <c r="C70" s="228"/>
      <c r="D70" s="229"/>
      <c r="E70" s="131"/>
      <c r="F70" s="198"/>
      <c r="G70" s="197">
        <v>213</v>
      </c>
      <c r="H70" s="148" t="str">
        <f>+VLOOKUP($G70,Konstanten!$A$2:$B$15,2,FALSE)</f>
        <v>betriebliche Nutzung</v>
      </c>
      <c r="I70" s="148"/>
      <c r="J70" s="267">
        <f>Fak_3*312.664659412721</f>
        <v>3.1266465941272101</v>
      </c>
      <c r="K70" s="267">
        <f>Fak_3*380.387701147309</f>
        <v>3.80387701147309</v>
      </c>
      <c r="L70" s="267">
        <f>Fak_3*803.342967392214</f>
        <v>8.0334296739221394</v>
      </c>
      <c r="M70" s="267">
        <f>Fak_3*322.457725261002</f>
        <v>3.22457725261002</v>
      </c>
      <c r="N70" s="267">
        <f>Fak_3*112.855902040917</f>
        <v>1.12855902040917</v>
      </c>
      <c r="O70" s="267">
        <f>Fak_3*407.298225146037</f>
        <v>4.0729822514603704</v>
      </c>
      <c r="P70" s="267">
        <f>Fak_3*2339.0071804002</f>
        <v>23.390071804002002</v>
      </c>
      <c r="Q70" s="213"/>
      <c r="R70" s="220">
        <f t="shared" si="20"/>
        <v>0.67934740484148592</v>
      </c>
      <c r="S70" s="367"/>
      <c r="U70" s="210"/>
      <c r="AZ70" s="144">
        <v>435.91739350075102</v>
      </c>
      <c r="BA70" s="144">
        <v>296.13935000000004</v>
      </c>
      <c r="BB70" s="144">
        <f t="shared" si="21"/>
        <v>139.77804350075098</v>
      </c>
      <c r="BM70" s="214"/>
      <c r="BN70" s="214"/>
    </row>
    <row r="71" spans="2:128" s="144" customFormat="1" ht="24" customHeight="1" x14ac:dyDescent="0.25">
      <c r="B71" s="227"/>
      <c r="C71" s="228"/>
      <c r="D71" s="229"/>
      <c r="E71" s="131"/>
      <c r="F71" s="198"/>
      <c r="G71" s="197">
        <v>214</v>
      </c>
      <c r="H71" s="148" t="str">
        <f>+VLOOKUP($G71,Konstanten!$A$2:$B$15,2,FALSE)</f>
        <v>sonstige bauliche Nutzung</v>
      </c>
      <c r="I71" s="148"/>
      <c r="J71" s="267">
        <f>Fak_3*77.2049263123821</f>
        <v>0.77204926312382105</v>
      </c>
      <c r="K71" s="267">
        <f>Fak_3*45.7051637608278</f>
        <v>0.45705163760827805</v>
      </c>
      <c r="L71" s="267">
        <f>Fak_3*382.373574830047</f>
        <v>3.8237357483004701</v>
      </c>
      <c r="M71" s="267">
        <f>Fak_3*171.478536521979</f>
        <v>1.7147853652197902</v>
      </c>
      <c r="N71" s="267">
        <f>Fak_3*46.5121696959173</f>
        <v>0.46512169695917299</v>
      </c>
      <c r="O71" s="267">
        <f>Fak_3*132.45582433736</f>
        <v>1.3245582433736001</v>
      </c>
      <c r="P71" s="267">
        <f>Fak_3*855.730195458513</f>
        <v>8.5573019545851299</v>
      </c>
      <c r="Q71" s="213"/>
      <c r="R71" s="220">
        <f t="shared" si="20"/>
        <v>0.49709310254569294</v>
      </c>
      <c r="S71" s="367"/>
      <c r="U71" s="210"/>
      <c r="AZ71" s="144">
        <v>153.25834860683301</v>
      </c>
      <c r="BA71" s="144">
        <v>76.183667999999997</v>
      </c>
      <c r="BB71" s="144">
        <f t="shared" si="21"/>
        <v>77.074680606833013</v>
      </c>
      <c r="BM71" s="214"/>
      <c r="BN71" s="214"/>
    </row>
    <row r="72" spans="2:128" s="144" customFormat="1" ht="24" customHeight="1" x14ac:dyDescent="0.25">
      <c r="B72" s="227"/>
      <c r="C72" s="228"/>
      <c r="D72" s="229"/>
      <c r="E72" s="131"/>
      <c r="F72" s="200"/>
      <c r="G72" s="215"/>
      <c r="H72" s="216"/>
      <c r="I72" s="217" t="s">
        <v>7536</v>
      </c>
      <c r="J72" s="268">
        <f>Fak_3*1300.93491275339</f>
        <v>13.009349127533902</v>
      </c>
      <c r="K72" s="268">
        <f>Fak_3*1974.44434706432</f>
        <v>19.744443470643201</v>
      </c>
      <c r="L72" s="268">
        <f>Fak_3*4253.94376922426</f>
        <v>42.539437692242601</v>
      </c>
      <c r="M72" s="268">
        <f>Fak_3*1928.04618874372</f>
        <v>19.280461887437202</v>
      </c>
      <c r="N72" s="268">
        <f>Fak_3*709.067358483932</f>
        <v>7.0906735848393208</v>
      </c>
      <c r="O72" s="268">
        <f>Fak_3*2363.28659372546</f>
        <v>23.6328659372546</v>
      </c>
      <c r="P72" s="268">
        <f>Fak_3*12529.7231699951</f>
        <v>125.29723169995101</v>
      </c>
      <c r="Q72" s="213"/>
      <c r="R72" s="220">
        <f t="shared" si="20"/>
        <v>0.47352572969419021</v>
      </c>
      <c r="S72" s="367"/>
      <c r="U72" s="210"/>
      <c r="AZ72" s="144">
        <v>2793.75774544365</v>
      </c>
      <c r="BA72" s="144">
        <v>1322.9161750000001</v>
      </c>
      <c r="BB72" s="144">
        <f t="shared" si="21"/>
        <v>1470.84157044365</v>
      </c>
      <c r="BM72" s="214"/>
      <c r="BN72" s="214"/>
    </row>
    <row r="73" spans="2:128" s="144" customFormat="1" ht="24" customHeight="1" x14ac:dyDescent="0.25">
      <c r="B73" s="227"/>
      <c r="C73" s="228"/>
      <c r="D73" s="229"/>
      <c r="E73" s="131"/>
      <c r="F73" s="200" t="s">
        <v>7409</v>
      </c>
      <c r="G73" s="215"/>
      <c r="H73" s="216"/>
      <c r="I73" s="217" t="s">
        <v>7537</v>
      </c>
      <c r="J73" s="268">
        <f>Fak_3*654.298591734079</f>
        <v>6.5429859173407898</v>
      </c>
      <c r="K73" s="268">
        <f>Fak_3*160.659309847192</f>
        <v>1.6065930984719199</v>
      </c>
      <c r="L73" s="268">
        <f>Fak_3*1697.39142632228</f>
        <v>16.973914263222802</v>
      </c>
      <c r="M73" s="268">
        <f>Fak_3*896.094870680066</f>
        <v>8.9609487068006608</v>
      </c>
      <c r="N73" s="268">
        <f>Fak_3*358.613937993305</f>
        <v>3.5861393799330501</v>
      </c>
      <c r="O73" s="268">
        <f>Fak_3*1180.85633681498</f>
        <v>11.808563368149802</v>
      </c>
      <c r="P73" s="268">
        <f>Fak_3*4947.9144733919</f>
        <v>49.479144733919</v>
      </c>
      <c r="Q73" s="213"/>
      <c r="R73" s="220">
        <f t="shared" si="20"/>
        <v>0.44779624681110691</v>
      </c>
      <c r="S73" s="367"/>
      <c r="U73" s="210"/>
      <c r="AZ73" s="144">
        <v>659.18180668565299</v>
      </c>
      <c r="BA73" s="144">
        <v>295.17913900000002</v>
      </c>
      <c r="BB73" s="144">
        <f t="shared" si="21"/>
        <v>364.00266768565297</v>
      </c>
      <c r="BM73" s="214"/>
      <c r="BN73" s="214"/>
      <c r="DV73" s="330"/>
      <c r="DW73" s="330"/>
      <c r="DX73" s="330"/>
    </row>
    <row r="74" spans="2:128" s="144" customFormat="1" ht="24" customHeight="1" x14ac:dyDescent="0.25">
      <c r="B74" s="227"/>
      <c r="C74" s="228"/>
      <c r="D74" s="229"/>
      <c r="E74" s="131"/>
      <c r="F74" s="321" t="s">
        <v>7549</v>
      </c>
      <c r="G74" s="199"/>
      <c r="H74" s="200"/>
      <c r="I74" s="217" t="s">
        <v>7538</v>
      </c>
      <c r="J74" s="268">
        <f>Fak_3*110.053698469445</f>
        <v>1.1005369846944499</v>
      </c>
      <c r="K74" s="268">
        <f>Fak_3*462.051261316192</f>
        <v>4.6205126131619201</v>
      </c>
      <c r="L74" s="268">
        <f>Fak_3*628.907981580497</f>
        <v>6.2890798158049703</v>
      </c>
      <c r="M74" s="268">
        <f>Fak_3*346.342044148129</f>
        <v>3.4634204414812899</v>
      </c>
      <c r="N74" s="268">
        <f>Fak_3*116.842243951559</f>
        <v>1.16842243951559</v>
      </c>
      <c r="O74" s="268">
        <f>Fak_3*471.552128792647</f>
        <v>4.7155212879264701</v>
      </c>
      <c r="P74" s="268">
        <f>Fak_3*2135.74935825847</f>
        <v>21.357493582584699</v>
      </c>
      <c r="Q74" s="213"/>
      <c r="R74" s="220">
        <f t="shared" si="20"/>
        <v>0.16709269428718873</v>
      </c>
      <c r="S74" s="367"/>
      <c r="U74" s="210"/>
      <c r="AZ74" s="144">
        <v>330.24510877272303</v>
      </c>
      <c r="BA74" s="144">
        <v>55.181545</v>
      </c>
      <c r="BB74" s="144">
        <f t="shared" si="21"/>
        <v>275.063563772723</v>
      </c>
      <c r="BM74" s="214"/>
      <c r="BN74" s="214"/>
      <c r="DV74" s="330"/>
      <c r="DW74" s="330"/>
      <c r="DX74" s="330"/>
    </row>
    <row r="75" spans="2:128" s="144" customFormat="1" ht="24" customHeight="1" x14ac:dyDescent="0.25">
      <c r="B75" s="227"/>
      <c r="C75" s="228"/>
      <c r="D75" s="229"/>
      <c r="E75" s="131"/>
      <c r="F75" s="322" t="s">
        <v>7519</v>
      </c>
      <c r="G75" s="199"/>
      <c r="H75" s="200"/>
      <c r="I75" s="217" t="s">
        <v>7539</v>
      </c>
      <c r="J75" s="268">
        <f>Fak_3*115.277454803043</f>
        <v>1.1527745480304301</v>
      </c>
      <c r="K75" s="268">
        <f>Fak_3*0.453756618963157</f>
        <v>4.5375661896315698E-3</v>
      </c>
      <c r="L75" s="268">
        <f>Fak_3*189.964701975549</f>
        <v>1.89964701975549</v>
      </c>
      <c r="M75" s="268">
        <f>Fak_3*198.244740450624</f>
        <v>1.9824474045062399</v>
      </c>
      <c r="N75" s="268">
        <f>Fak_3*40.0247560988434</f>
        <v>0.400247560988434</v>
      </c>
      <c r="O75" s="268">
        <f>Fak_3*195.070232069641</f>
        <v>1.95070232069641</v>
      </c>
      <c r="P75" s="268">
        <f>Fak_3*739.035642016663</f>
        <v>7.3903564201666301</v>
      </c>
      <c r="Q75" s="213"/>
      <c r="R75" s="220">
        <f t="shared" si="20"/>
        <v>0.11640789345535361</v>
      </c>
      <c r="S75" s="367"/>
      <c r="U75" s="210"/>
      <c r="AZ75" s="144">
        <v>145.07992111786899</v>
      </c>
      <c r="BA75" s="144">
        <v>16.888448</v>
      </c>
      <c r="BB75" s="144">
        <f t="shared" si="21"/>
        <v>128.19147311786898</v>
      </c>
      <c r="BM75" s="214"/>
      <c r="BN75" s="214"/>
      <c r="DV75" s="330"/>
      <c r="DW75" s="330"/>
      <c r="DX75" s="330"/>
    </row>
    <row r="76" spans="2:128" s="208" customFormat="1" ht="24" customHeight="1" x14ac:dyDescent="0.25">
      <c r="B76" s="240"/>
      <c r="C76" s="230"/>
      <c r="D76" s="241"/>
      <c r="E76" s="183"/>
      <c r="F76" s="202" t="s">
        <v>7416</v>
      </c>
      <c r="G76" s="203"/>
      <c r="H76" s="201"/>
      <c r="I76" s="204" t="s">
        <v>7533</v>
      </c>
      <c r="J76" s="269">
        <f t="shared" ref="J76:P76" si="22">+SUM(J75,J74,J73,J72,J67)</f>
        <v>30.511739012122703</v>
      </c>
      <c r="K76" s="269">
        <f t="shared" si="22"/>
        <v>34.164950587759762</v>
      </c>
      <c r="L76" s="269">
        <f t="shared" si="22"/>
        <v>91.882326547269358</v>
      </c>
      <c r="M76" s="269">
        <f t="shared" si="22"/>
        <v>53.025591863280596</v>
      </c>
      <c r="N76" s="269">
        <f t="shared" si="22"/>
        <v>19.447177420046305</v>
      </c>
      <c r="O76" s="269">
        <f t="shared" si="22"/>
        <v>62.98096299785368</v>
      </c>
      <c r="P76" s="269">
        <f t="shared" si="22"/>
        <v>292.01274842833254</v>
      </c>
      <c r="Q76" s="206"/>
      <c r="R76" s="220">
        <f t="shared" si="20"/>
        <v>0.52475772773011986</v>
      </c>
      <c r="S76" s="367"/>
      <c r="U76" s="202"/>
      <c r="AZ76" s="208">
        <v>5647.9554304425055</v>
      </c>
      <c r="BA76" s="208">
        <v>2963.808258</v>
      </c>
      <c r="BB76" s="144">
        <f t="shared" si="21"/>
        <v>2684.1471724425055</v>
      </c>
      <c r="BM76" s="209"/>
      <c r="BN76" s="209"/>
    </row>
    <row r="77" spans="2:128" ht="66" customHeight="1" x14ac:dyDescent="0.4">
      <c r="F77" s="365"/>
      <c r="G77" s="365"/>
      <c r="H77" s="365"/>
      <c r="R77" s="138"/>
    </row>
    <row r="78" spans="2:128" ht="22.5" x14ac:dyDescent="0.3">
      <c r="I78" s="369" t="str">
        <f xml:space="preserve"> "Versiegelung " &amp; IF(Versatz = 1, "in "&amp;S!Einheit, IF(Versatz = 2, "in m² pro Einwohner:in", "in Prozent des Dauersiedlungsraums"))</f>
        <v>Versiegelung in km²</v>
      </c>
      <c r="J78" s="369"/>
      <c r="K78" s="369"/>
      <c r="L78" s="369"/>
      <c r="M78" s="369"/>
      <c r="N78" s="369"/>
      <c r="O78" s="369"/>
      <c r="P78" s="369"/>
      <c r="Q78" s="369"/>
      <c r="R78" s="369"/>
    </row>
    <row r="79" spans="2:128" ht="114" customHeight="1" x14ac:dyDescent="0.4">
      <c r="B79" s="247"/>
      <c r="C79" s="233"/>
      <c r="D79" s="248"/>
      <c r="E79" s="249"/>
      <c r="F79" s="147"/>
      <c r="G79" s="250"/>
      <c r="H79" s="147"/>
      <c r="I79" s="152"/>
      <c r="J79" s="278" t="str">
        <f t="shared" ref="J79:P79" si="23">+J24</f>
        <v>Hallein</v>
      </c>
      <c r="K79" s="278" t="str">
        <f t="shared" si="23"/>
        <v>Salzburg(Stadt)</v>
      </c>
      <c r="L79" s="278" t="str">
        <f t="shared" si="23"/>
        <v>Salzburg-Umgebung</v>
      </c>
      <c r="M79" s="278" t="str">
        <f t="shared" si="23"/>
        <v>Sankt Johann im Pongau</v>
      </c>
      <c r="N79" s="278" t="str">
        <f t="shared" si="23"/>
        <v>Tamsweg</v>
      </c>
      <c r="O79" s="278" t="str">
        <f t="shared" si="23"/>
        <v>Zell am See</v>
      </c>
      <c r="P79" s="277" t="str">
        <f t="shared" si="23"/>
        <v>S</v>
      </c>
      <c r="Q79" s="252"/>
      <c r="R79" s="151"/>
      <c r="S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Fak_3*64.2437</f>
        <v>0.64243700000000004</v>
      </c>
      <c r="K80" s="267">
        <f>Fak_3*28.4214</f>
        <v>0.28421399999999997</v>
      </c>
      <c r="L80" s="267">
        <f>Fak_3*133.1376</f>
        <v>1.3313759999999999</v>
      </c>
      <c r="M80" s="267">
        <f>Fak_3*147.8913</f>
        <v>1.4789130000000001</v>
      </c>
      <c r="N80" s="267">
        <f>Fak_3*57.7759</f>
        <v>0.57775900000000002</v>
      </c>
      <c r="O80" s="267">
        <f>Fak_3*0</f>
        <v>0</v>
      </c>
      <c r="P80" s="267">
        <f>Fak_3*431.4699</f>
        <v>4.3146990000000001</v>
      </c>
      <c r="Q80" s="213"/>
      <c r="R80" s="219"/>
      <c r="S80" s="210"/>
    </row>
    <row r="81" spans="2:19" s="144" customFormat="1" ht="24" customHeight="1" x14ac:dyDescent="0.25">
      <c r="B81" s="227"/>
      <c r="C81" s="228"/>
      <c r="D81" s="229"/>
      <c r="E81" s="131"/>
      <c r="F81" s="198"/>
      <c r="G81" s="196">
        <v>102</v>
      </c>
      <c r="H81" s="148" t="str">
        <f>+VLOOKUP($G81,Konstanten!$A$2:$B$15,2,FALSE)</f>
        <v>Landesstraße B + L</v>
      </c>
      <c r="I81" s="148"/>
      <c r="J81" s="267">
        <f>Fak_3*122.6298</f>
        <v>1.2262980000000001</v>
      </c>
      <c r="K81" s="267">
        <f>Fak_3*70.035</f>
        <v>0.70035000000000003</v>
      </c>
      <c r="L81" s="267">
        <f>Fak_3*399.74</f>
        <v>3.9974000000000003</v>
      </c>
      <c r="M81" s="267">
        <f>Fak_3*272.7137</f>
        <v>2.7271370000000004</v>
      </c>
      <c r="N81" s="267">
        <f>Fak_3*142.421</f>
        <v>1.42421</v>
      </c>
      <c r="O81" s="267">
        <f>Fak_3*328.233</f>
        <v>3.28233</v>
      </c>
      <c r="P81" s="267">
        <f>Fak_3*1335.7725</f>
        <v>13.357725</v>
      </c>
      <c r="Q81" s="213"/>
      <c r="R81" s="219"/>
      <c r="S81" s="210"/>
    </row>
    <row r="82" spans="2:19" s="144" customFormat="1" ht="24" customHeight="1" x14ac:dyDescent="0.25">
      <c r="B82" s="227"/>
      <c r="C82" s="228"/>
      <c r="D82" s="229"/>
      <c r="E82" s="131"/>
      <c r="F82" s="198"/>
      <c r="G82" s="196">
        <v>103</v>
      </c>
      <c r="H82" s="148" t="str">
        <f>+VLOOKUP($G82,Konstanten!$A$2:$B$15,2,FALSE)</f>
        <v>Gemeinde- und sonstige Straßen</v>
      </c>
      <c r="I82" s="148"/>
      <c r="J82" s="267">
        <f>Fak_3*463.3853</f>
        <v>4.6338530000000002</v>
      </c>
      <c r="K82" s="267">
        <f>Fak_3*459.3356</f>
        <v>4.593356</v>
      </c>
      <c r="L82" s="267">
        <f>Fak_3*1329.6717</f>
        <v>13.296717000000001</v>
      </c>
      <c r="M82" s="267">
        <f>Fak_3*877.6185</f>
        <v>8.7761849999999999</v>
      </c>
      <c r="N82" s="267">
        <f>Fak_3*290.2896</f>
        <v>2.9028960000000001</v>
      </c>
      <c r="O82" s="267">
        <f>Fak_3*1126.5084</f>
        <v>11.265084</v>
      </c>
      <c r="P82" s="267">
        <f>Fak_3*4546.8091</f>
        <v>45.468091000000008</v>
      </c>
      <c r="Q82" s="213"/>
      <c r="R82" s="219"/>
      <c r="S82" s="210"/>
    </row>
    <row r="83" spans="2:19" s="144" customFormat="1" ht="24" customHeight="1" x14ac:dyDescent="0.25">
      <c r="B83" s="227"/>
      <c r="C83" s="228"/>
      <c r="D83" s="229"/>
      <c r="E83" s="131"/>
      <c r="F83" s="198"/>
      <c r="G83" s="196">
        <v>104</v>
      </c>
      <c r="H83" s="148" t="str">
        <f>+VLOOKUP($G83,Konstanten!$A$2:$B$15,2,FALSE)</f>
        <v>Schiene</v>
      </c>
      <c r="I83" s="148"/>
      <c r="J83" s="267">
        <f>Fak_3*36.9698</f>
        <v>0.36969800000000003</v>
      </c>
      <c r="K83" s="267">
        <f>Fak_3*97.2055</f>
        <v>0.972055</v>
      </c>
      <c r="L83" s="267">
        <f>Fak_3*79.8269</f>
        <v>0.79826900000000001</v>
      </c>
      <c r="M83" s="267">
        <f>Fak_3*114.0198</f>
        <v>1.140198</v>
      </c>
      <c r="N83" s="267">
        <f>Fak_3*10.7346</f>
        <v>0.10734600000000001</v>
      </c>
      <c r="O83" s="267">
        <f>Fak_3*90.1795</f>
        <v>0.90179500000000001</v>
      </c>
      <c r="P83" s="267">
        <f>Fak_3*428.9361</f>
        <v>4.2893610000000004</v>
      </c>
      <c r="Q83" s="213"/>
      <c r="R83" s="219"/>
      <c r="S83" s="210"/>
    </row>
    <row r="84" spans="2:19" s="144" customFormat="1" ht="24" customHeight="1" x14ac:dyDescent="0.25">
      <c r="B84" s="227"/>
      <c r="C84" s="228"/>
      <c r="D84" s="229"/>
      <c r="E84" s="131"/>
      <c r="F84" s="200"/>
      <c r="G84" s="215"/>
      <c r="H84" s="216"/>
      <c r="I84" s="217" t="s">
        <v>7535</v>
      </c>
      <c r="J84" s="268">
        <f>Fak_3*687.2286</f>
        <v>6.8722860000000008</v>
      </c>
      <c r="K84" s="268">
        <f>Fak_3*654.9975</f>
        <v>6.5499749999999999</v>
      </c>
      <c r="L84" s="268">
        <f>Fak_3*1942.3762</f>
        <v>19.423762</v>
      </c>
      <c r="M84" s="268">
        <f>Fak_3*1412.2433</f>
        <v>14.122433000000001</v>
      </c>
      <c r="N84" s="268">
        <f>Fak_3*501.2211</f>
        <v>5.0122109999999997</v>
      </c>
      <c r="O84" s="268">
        <f>Fak_3*1544.9209</f>
        <v>15.449209000000002</v>
      </c>
      <c r="P84" s="268">
        <f>Fak_3*6742.9876</f>
        <v>67.429876000000007</v>
      </c>
      <c r="Q84" s="213"/>
      <c r="R84" s="219"/>
      <c r="S84" s="210"/>
    </row>
    <row r="85" spans="2:19" s="144" customFormat="1" ht="24" customHeight="1" x14ac:dyDescent="0.25">
      <c r="B85" s="227"/>
      <c r="C85" s="228"/>
      <c r="D85" s="229"/>
      <c r="E85" s="131"/>
      <c r="F85" s="198" t="s">
        <v>7410</v>
      </c>
      <c r="G85" s="197">
        <v>211</v>
      </c>
      <c r="H85" s="148" t="str">
        <f>+VLOOKUP($G85,Konstanten!$A$2:$B$15,2,FALSE)</f>
        <v>Wohnnutzung</v>
      </c>
      <c r="I85" s="148"/>
      <c r="J85" s="267">
        <f>Fak_3*353.7283</f>
        <v>3.537283</v>
      </c>
      <c r="K85" s="267">
        <f>Fak_3*794.5896</f>
        <v>7.9458960000000003</v>
      </c>
      <c r="L85" s="267">
        <f>Fak_3*1166.995</f>
        <v>11.669949999999998</v>
      </c>
      <c r="M85" s="267">
        <f>Fak_3*467.2099</f>
        <v>4.6720990000000002</v>
      </c>
      <c r="N85" s="267">
        <f>Fak_3*113.9247</f>
        <v>1.1392470000000001</v>
      </c>
      <c r="O85" s="267">
        <f>Fak_3*675.4707</f>
        <v>6.7547069999999998</v>
      </c>
      <c r="P85" s="267">
        <f>Fak_3*3571.9182</f>
        <v>35.719182000000004</v>
      </c>
      <c r="Q85" s="213"/>
      <c r="R85" s="219"/>
      <c r="S85" s="210"/>
    </row>
    <row r="86" spans="2:19" s="144" customFormat="1" ht="24" customHeight="1" x14ac:dyDescent="0.25">
      <c r="B86" s="227"/>
      <c r="C86" s="228"/>
      <c r="D86" s="229"/>
      <c r="E86" s="131"/>
      <c r="F86" s="198"/>
      <c r="G86" s="197">
        <v>212</v>
      </c>
      <c r="H86" s="148" t="str">
        <f>+VLOOKUP($G86,Konstanten!$A$2:$B$15,2,FALSE)</f>
        <v>gemischte bauliche Nutzung</v>
      </c>
      <c r="I86" s="148"/>
      <c r="J86" s="267">
        <f>Fak_3*138.1012</f>
        <v>1.3810120000000001</v>
      </c>
      <c r="K86" s="267">
        <f>Fak_3*133.491</f>
        <v>1.3349100000000003</v>
      </c>
      <c r="L86" s="267">
        <f>Fak_3*409.1883</f>
        <v>4.0918830000000002</v>
      </c>
      <c r="M86" s="267">
        <f>Fak_3*251.0575</f>
        <v>2.5105750000000002</v>
      </c>
      <c r="N86" s="267">
        <f>Fak_3*106.6653</f>
        <v>1.0666530000000001</v>
      </c>
      <c r="O86" s="267">
        <f>Fak_3*238.9982</f>
        <v>2.3899819999999998</v>
      </c>
      <c r="P86" s="267">
        <f>Fak_3*1277.5015</f>
        <v>12.775015000000002</v>
      </c>
      <c r="Q86" s="213"/>
      <c r="R86" s="219"/>
      <c r="S86" s="210"/>
    </row>
    <row r="87" spans="2:19" s="144" customFormat="1" ht="24" customHeight="1" x14ac:dyDescent="0.25">
      <c r="B87" s="227"/>
      <c r="C87" s="228"/>
      <c r="D87" s="229"/>
      <c r="E87" s="131"/>
      <c r="F87" s="198"/>
      <c r="G87" s="197">
        <v>213</v>
      </c>
      <c r="H87" s="148" t="str">
        <f>+VLOOKUP($G87,Konstanten!$A$2:$B$15,2,FALSE)</f>
        <v>betriebliche Nutzung</v>
      </c>
      <c r="I87" s="148"/>
      <c r="J87" s="267">
        <f>Fak_3*238.6249</f>
        <v>2.3862489999999998</v>
      </c>
      <c r="K87" s="267">
        <f>Fak_3*327.5256</f>
        <v>3.2752560000000002</v>
      </c>
      <c r="L87" s="267">
        <f>Fak_3*633.7288</f>
        <v>6.337288</v>
      </c>
      <c r="M87" s="267">
        <f>Fak_3*244.965</f>
        <v>2.4496500000000001</v>
      </c>
      <c r="N87" s="267">
        <f>Fak_3*80.9222</f>
        <v>0.80922200000000011</v>
      </c>
      <c r="O87" s="267">
        <f>Fak_3*291.1412</f>
        <v>2.9114120000000003</v>
      </c>
      <c r="P87" s="267">
        <f>Fak_3*1816.9077</f>
        <v>18.169077000000001</v>
      </c>
      <c r="Q87" s="213"/>
      <c r="R87" s="219"/>
      <c r="S87" s="210"/>
    </row>
    <row r="88" spans="2:19" s="144" customFormat="1" ht="24" customHeight="1" x14ac:dyDescent="0.25">
      <c r="B88" s="227"/>
      <c r="C88" s="228"/>
      <c r="D88" s="229"/>
      <c r="E88" s="131"/>
      <c r="F88" s="198"/>
      <c r="G88" s="197">
        <v>214</v>
      </c>
      <c r="H88" s="148" t="str">
        <f>+VLOOKUP($G88,Konstanten!$A$2:$B$15,2,FALSE)</f>
        <v>sonstige bauliche Nutzung</v>
      </c>
      <c r="I88" s="148"/>
      <c r="J88" s="267">
        <f>Fak_3*48.1216</f>
        <v>0.48121600000000003</v>
      </c>
      <c r="K88" s="267">
        <f>Fak_3*33.027</f>
        <v>0.33027000000000001</v>
      </c>
      <c r="L88" s="267">
        <f>Fak_3*201.1689</f>
        <v>2.0116890000000001</v>
      </c>
      <c r="M88" s="267">
        <f>Fak_3*93.8925</f>
        <v>0.93892500000000001</v>
      </c>
      <c r="N88" s="267">
        <f>Fak_3*22.8659</f>
        <v>0.228659</v>
      </c>
      <c r="O88" s="267">
        <f>Fak_3*76.7659</f>
        <v>0.76765900000000009</v>
      </c>
      <c r="P88" s="267">
        <f>Fak_3*475.8418</f>
        <v>4.7584179999999998</v>
      </c>
      <c r="Q88" s="213"/>
      <c r="R88" s="219"/>
      <c r="S88" s="210"/>
    </row>
    <row r="89" spans="2:19" s="144" customFormat="1" ht="24" customHeight="1" x14ac:dyDescent="0.25">
      <c r="B89" s="227"/>
      <c r="C89" s="228"/>
      <c r="D89" s="229"/>
      <c r="E89" s="131"/>
      <c r="F89" s="200"/>
      <c r="G89" s="215"/>
      <c r="H89" s="216"/>
      <c r="I89" s="217" t="s">
        <v>7536</v>
      </c>
      <c r="J89" s="268">
        <f>Fak_3*778.576</f>
        <v>7.7857600000000007</v>
      </c>
      <c r="K89" s="268">
        <f>Fak_3*1288.6332</f>
        <v>12.886331999999999</v>
      </c>
      <c r="L89" s="268">
        <f>Fak_3*2411.081</f>
        <v>24.110810000000001</v>
      </c>
      <c r="M89" s="268">
        <f>Fak_3*1057.1249</f>
        <v>10.571249</v>
      </c>
      <c r="N89" s="268">
        <f>Fak_3*324.3781</f>
        <v>3.2437810000000002</v>
      </c>
      <c r="O89" s="268">
        <f>Fak_3*1282.376</f>
        <v>12.82376</v>
      </c>
      <c r="P89" s="268">
        <f>Fak_3*7142.1692</f>
        <v>71.421692000000007</v>
      </c>
      <c r="Q89" s="213"/>
      <c r="R89" s="219"/>
      <c r="S89" s="210"/>
    </row>
    <row r="90" spans="2:19" s="144" customFormat="1" ht="24" customHeight="1" x14ac:dyDescent="0.25">
      <c r="B90" s="227"/>
      <c r="C90" s="228"/>
      <c r="D90" s="229"/>
      <c r="E90" s="131"/>
      <c r="F90" s="200" t="s">
        <v>7409</v>
      </c>
      <c r="G90" s="215"/>
      <c r="H90" s="216"/>
      <c r="I90" s="217" t="s">
        <v>7537</v>
      </c>
      <c r="J90" s="268">
        <f>Fak_3*328.4676</f>
        <v>3.2846760000000002</v>
      </c>
      <c r="K90" s="268">
        <f>Fak_3*70.2334</f>
        <v>0.70233400000000001</v>
      </c>
      <c r="L90" s="268">
        <f>Fak_3*900.1974</f>
        <v>9.0019740000000006</v>
      </c>
      <c r="M90" s="268">
        <f>Fak_3*435.3714</f>
        <v>4.3537140000000001</v>
      </c>
      <c r="N90" s="268">
        <f>Fak_3*146.8695</f>
        <v>1.4686949999999999</v>
      </c>
      <c r="O90" s="268">
        <f>Fak_3*554.726</f>
        <v>5.5472600000000005</v>
      </c>
      <c r="P90" s="268">
        <f>Fak_3*2435.8653</f>
        <v>24.358653</v>
      </c>
      <c r="Q90" s="213"/>
      <c r="R90" s="219"/>
      <c r="S90" s="210"/>
    </row>
    <row r="91" spans="2:19" s="144" customFormat="1" ht="24" customHeight="1" x14ac:dyDescent="0.25">
      <c r="B91" s="227"/>
      <c r="C91" s="228"/>
      <c r="D91" s="229"/>
      <c r="E91" s="131"/>
      <c r="F91" s="321" t="s">
        <v>7549</v>
      </c>
      <c r="G91" s="199"/>
      <c r="H91" s="200"/>
      <c r="I91" s="217" t="s">
        <v>7538</v>
      </c>
      <c r="J91" s="268">
        <f>Fak_3*22.0399</f>
        <v>0.22039900000000001</v>
      </c>
      <c r="K91" s="268">
        <f>Fak_3*78.2266</f>
        <v>0.78226600000000002</v>
      </c>
      <c r="L91" s="268">
        <f>Fak_3*102.2248</f>
        <v>1.022248</v>
      </c>
      <c r="M91" s="268">
        <f>Fak_3*51.1061</f>
        <v>0.51106099999999999</v>
      </c>
      <c r="N91" s="268">
        <f>Fak_3*10.8089</f>
        <v>0.10808899999999999</v>
      </c>
      <c r="O91" s="268">
        <f>Fak_3*50.2771</f>
        <v>0.50277099999999997</v>
      </c>
      <c r="P91" s="268">
        <f>Fak_3*314.6834</f>
        <v>3.1468340000000001</v>
      </c>
      <c r="Q91" s="213"/>
      <c r="R91" s="219"/>
      <c r="S91" s="210"/>
    </row>
    <row r="92" spans="2:19" s="144" customFormat="1" ht="24" customHeight="1" x14ac:dyDescent="0.25">
      <c r="B92" s="227"/>
      <c r="C92" s="228"/>
      <c r="D92" s="229"/>
      <c r="E92" s="131"/>
      <c r="F92" s="322" t="s">
        <v>7519</v>
      </c>
      <c r="G92" s="199"/>
      <c r="H92" s="200"/>
      <c r="I92" s="217" t="s">
        <v>7539</v>
      </c>
      <c r="J92" s="268">
        <f>Fak_3*11.2465</f>
        <v>0.112465</v>
      </c>
      <c r="K92" s="268">
        <f>Fak_3*0</f>
        <v>0</v>
      </c>
      <c r="L92" s="268">
        <f>Fak_3*55.4009</f>
        <v>0.55400899999999997</v>
      </c>
      <c r="M92" s="268">
        <f>Fak_3*15.6623</f>
        <v>0.15662300000000001</v>
      </c>
      <c r="N92" s="268">
        <f>Fak_3*7.4251</f>
        <v>7.4250999999999998E-2</v>
      </c>
      <c r="O92" s="268">
        <f>Fak_3*15.1957</f>
        <v>0.15195700000000001</v>
      </c>
      <c r="P92" s="268">
        <f>Fak_3*104.9305</f>
        <v>1.0493049999999999</v>
      </c>
      <c r="Q92" s="213"/>
      <c r="R92" s="219"/>
      <c r="S92" s="210"/>
    </row>
    <row r="93" spans="2:19" s="208" customFormat="1" ht="24" customHeight="1" x14ac:dyDescent="0.25">
      <c r="B93" s="240"/>
      <c r="C93" s="230"/>
      <c r="D93" s="241"/>
      <c r="E93" s="183"/>
      <c r="F93" s="202" t="s">
        <v>7597</v>
      </c>
      <c r="G93" s="203"/>
      <c r="H93" s="201"/>
      <c r="I93" s="204" t="s">
        <v>7533</v>
      </c>
      <c r="J93" s="269">
        <f t="shared" ref="J93:P93" si="24">+SUM(J84,J89,J90,J91,J92)</f>
        <v>18.275586000000004</v>
      </c>
      <c r="K93" s="269">
        <f t="shared" si="24"/>
        <v>20.920907</v>
      </c>
      <c r="L93" s="269">
        <f t="shared" si="24"/>
        <v>54.112803</v>
      </c>
      <c r="M93" s="269">
        <f t="shared" si="24"/>
        <v>29.715080000000004</v>
      </c>
      <c r="N93" s="269">
        <f t="shared" si="24"/>
        <v>9.9070269999999994</v>
      </c>
      <c r="O93" s="269">
        <f t="shared" si="24"/>
        <v>34.474957000000011</v>
      </c>
      <c r="P93" s="269">
        <f t="shared" si="24"/>
        <v>167.40636000000003</v>
      </c>
      <c r="Q93" s="206"/>
      <c r="R93" s="207"/>
      <c r="S93" s="202"/>
    </row>
  </sheetData>
  <mergeCells count="22">
    <mergeCell ref="F77:H77"/>
    <mergeCell ref="I78:R78"/>
    <mergeCell ref="J19:P19"/>
    <mergeCell ref="Q20:S20"/>
    <mergeCell ref="I21:R21"/>
    <mergeCell ref="J42:P42"/>
    <mergeCell ref="J46:P46"/>
    <mergeCell ref="J50:P50"/>
    <mergeCell ref="J39:P39"/>
    <mergeCell ref="J41:P41"/>
    <mergeCell ref="J45:P45"/>
    <mergeCell ref="J49:P49"/>
    <mergeCell ref="T25:T30"/>
    <mergeCell ref="I55:R55"/>
    <mergeCell ref="S63:S76"/>
    <mergeCell ref="B1:D1"/>
    <mergeCell ref="E1:O4"/>
    <mergeCell ref="I6:R6"/>
    <mergeCell ref="S8:S9"/>
    <mergeCell ref="T10:T15"/>
    <mergeCell ref="J17:P17"/>
    <mergeCell ref="I35:R35"/>
  </mergeCells>
  <conditionalFormatting sqref="A8:R8 A23:XFD23 J22:O22">
    <cfRule type="expression" dxfId="59" priority="12">
      <formula>$A$12=2</formula>
    </cfRule>
  </conditionalFormatting>
  <conditionalFormatting sqref="A8:R8 A23:XFD23">
    <cfRule type="expression" dxfId="58" priority="9">
      <formula>$A$12=1</formula>
    </cfRule>
  </conditionalFormatting>
  <conditionalFormatting sqref="J39">
    <cfRule type="expression" dxfId="57" priority="4">
      <formula>$C$8 = "relativ"</formula>
    </cfRule>
  </conditionalFormatting>
  <conditionalFormatting sqref="J41">
    <cfRule type="expression" dxfId="56" priority="3">
      <formula>$C$8 = "relativ"</formula>
    </cfRule>
  </conditionalFormatting>
  <conditionalFormatting sqref="J45">
    <cfRule type="expression" dxfId="55" priority="2">
      <formula>$C$8 = "relativ"</formula>
    </cfRule>
  </conditionalFormatting>
  <conditionalFormatting sqref="J49">
    <cfRule type="expression" dxfId="54" priority="1">
      <formula>$C$8 = "relativ"</formula>
    </cfRule>
  </conditionalFormatting>
  <conditionalFormatting sqref="J10:P15 J25:P30">
    <cfRule type="expression" dxfId="53" priority="10">
      <formula>$C$6 = "relativ"</formula>
    </cfRule>
  </conditionalFormatting>
  <conditionalFormatting sqref="J22:P22">
    <cfRule type="expression" dxfId="52" priority="8">
      <formula>$A$12=1</formula>
    </cfRule>
  </conditionalFormatting>
  <conditionalFormatting sqref="J31:P31">
    <cfRule type="expression" dxfId="51" priority="11">
      <formula>$A$12=2</formula>
    </cfRule>
  </conditionalFormatting>
  <conditionalFormatting sqref="P22">
    <cfRule type="expression" dxfId="50" priority="7">
      <formula>$A$12=2</formula>
    </cfRule>
  </conditionalFormatting>
  <conditionalFormatting sqref="R10:R15">
    <cfRule type="dataBar" priority="14">
      <dataBar showValue="0">
        <cfvo type="num" val="0"/>
        <cfvo type="num" val="1"/>
        <color theme="0" tint="-0.499984740745262"/>
      </dataBar>
      <extLst>
        <ext xmlns:x14="http://schemas.microsoft.com/office/spreadsheetml/2009/9/main" uri="{B025F937-C7B1-47D3-B67F-A62EFF666E3E}">
          <x14:id>{51F7F80C-77EB-43F5-BA24-10DFC2F9B3CE}</x14:id>
        </ext>
      </extLst>
    </cfRule>
  </conditionalFormatting>
  <conditionalFormatting sqref="R25:R31">
    <cfRule type="dataBar" priority="13">
      <dataBar showValue="0">
        <cfvo type="num" val="0"/>
        <cfvo type="num" val="1"/>
        <color theme="0" tint="-0.499984740745262"/>
      </dataBar>
      <extLst>
        <ext xmlns:x14="http://schemas.microsoft.com/office/spreadsheetml/2009/9/main" uri="{B025F937-C7B1-47D3-B67F-A62EFF666E3E}">
          <x14:id>{C1B39D4E-8957-45B7-AE59-60FF9C5DAA41}</x14:id>
        </ext>
      </extLst>
    </cfRule>
  </conditionalFormatting>
  <conditionalFormatting sqref="T8:XFD8">
    <cfRule type="expression" dxfId="49" priority="5">
      <formula>$A$12=2</formula>
    </cfRule>
    <cfRule type="expression" dxfId="48" priority="6">
      <formula>$A$12=1</formula>
    </cfRule>
  </conditionalFormatting>
  <dataValidations count="3">
    <dataValidation type="list" allowBlank="1" showInputMessage="1" showErrorMessage="1" sqref="C6:D6" xr:uid="{00000000-0002-0000-0A00-000000000000}">
      <formula1>"absolut,relativ"</formula1>
    </dataValidation>
    <dataValidation type="list" allowBlank="1" showInputMessage="1" showErrorMessage="1" sqref="C55:E55" xr:uid="{00000000-0002-0000-0A00-000001000000}">
      <formula1>"absolut, Bevölkerung, Dauersiedlungsraum"</formula1>
    </dataValidation>
    <dataValidation type="list" allowBlank="1" showInputMessage="1" showErrorMessage="1" sqref="C3 D5" xr:uid="{00000000-0002-0000-0A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51F7F80C-77EB-43F5-BA24-10DFC2F9B3CE}">
            <x14:dataBar minLength="0" maxLength="100" gradient="0">
              <x14:cfvo type="num">
                <xm:f>0</xm:f>
              </x14:cfvo>
              <x14:cfvo type="num">
                <xm:f>1</xm:f>
              </x14:cfvo>
              <x14:negativeFillColor rgb="FFFF0000"/>
              <x14:axisColor rgb="FF000000"/>
            </x14:dataBar>
          </x14:cfRule>
          <xm:sqref>R10:R15</xm:sqref>
        </x14:conditionalFormatting>
        <x14:conditionalFormatting xmlns:xm="http://schemas.microsoft.com/office/excel/2006/main">
          <x14:cfRule type="dataBar" id="{C1B39D4E-8957-45B7-AE59-60FF9C5DAA41}">
            <x14:dataBar minLength="0" maxLength="100" gradient="0">
              <x14:cfvo type="num">
                <xm:f>0</xm:f>
              </x14:cfvo>
              <x14:cfvo type="num">
                <xm:f>1</xm:f>
              </x14:cfvo>
              <x14:negativeFillColor rgb="FFFF0000"/>
              <x14:axisColor rgb="FF000000"/>
            </x14:dataBar>
          </x14:cfRule>
          <xm:sqref>R25:R31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A00-00001F000000}">
          <x14:colorSeries theme="0" tint="-0.34998626667073579"/>
          <x14:colorNegative rgb="FFD00000"/>
          <x14:colorAxis rgb="FF000000"/>
          <x14:colorMarkers rgb="FFD00000"/>
          <x14:colorFirst rgb="FFD00000"/>
          <x14:colorLast rgb="FFD00000"/>
          <x14:colorHigh rgb="FFD00000"/>
          <x14:colorLow rgb="FFD00000"/>
          <x14:sparklines>
            <x14:sparkline>
              <xm:f>S!J18:P18</xm:f>
              <xm:sqref>J17</xm:sqref>
            </x14:sparkline>
          </x14:sparklines>
        </x14:sparklineGroup>
        <x14:sparklineGroup manualMin="0" type="column" displayEmptyCellsAs="gap" minAxisType="custom" xr2:uid="{00000000-0003-0000-0A00-00001E000000}">
          <x14:colorSeries theme="0" tint="-0.34998626667073579"/>
          <x14:colorNegative rgb="FFD00000"/>
          <x14:colorAxis rgb="FF000000"/>
          <x14:colorMarkers rgb="FFD00000"/>
          <x14:colorFirst rgb="FFD00000"/>
          <x14:colorLast rgb="FFD00000"/>
          <x14:colorHigh rgb="FFD00000"/>
          <x14:colorLow rgb="FFD00000"/>
          <x14:sparklines>
            <x14:sparkline>
              <xm:f>S!J20:P20</xm:f>
              <xm:sqref>J19</xm:sqref>
            </x14:sparkline>
          </x14:sparklines>
        </x14:sparklineGroup>
        <x14:sparklineGroup type="column" displayEmptyCellsAs="gap" xr2:uid="{00000000-0003-0000-0A00-00001D000000}">
          <x14:colorSeries rgb="FF376092"/>
          <x14:colorNegative rgb="FFD00000"/>
          <x14:colorAxis rgb="FF000000"/>
          <x14:colorMarkers rgb="FFD00000"/>
          <x14:colorFirst rgb="FFD00000"/>
          <x14:colorLast rgb="FFD00000"/>
          <x14:colorHigh rgb="FFD00000"/>
          <x14:colorLow rgb="FFD00000"/>
          <x14:sparklines>
            <x14:sparkline>
              <xm:f>S!J43:P43</xm:f>
              <xm:sqref>J42</xm:sqref>
            </x14:sparkline>
          </x14:sparklines>
        </x14:sparklineGroup>
        <x14:sparklineGroup type="column" displayEmptyCellsAs="gap" xr2:uid="{00000000-0003-0000-0A00-00001C000000}">
          <x14:colorSeries rgb="FF376092"/>
          <x14:colorNegative rgb="FFD00000"/>
          <x14:colorAxis rgb="FF000000"/>
          <x14:colorMarkers rgb="FFD00000"/>
          <x14:colorFirst rgb="FFD00000"/>
          <x14:colorLast rgb="FFD00000"/>
          <x14:colorHigh rgb="FFD00000"/>
          <x14:colorLow rgb="FFD00000"/>
          <x14:sparklines>
            <x14:sparkline>
              <xm:f>S!J47:P47</xm:f>
              <xm:sqref>J46</xm:sqref>
            </x14:sparkline>
          </x14:sparklines>
        </x14:sparklineGroup>
        <x14:sparklineGroup type="column" displayEmptyCellsAs="gap" xr2:uid="{00000000-0003-0000-0A00-00001B000000}">
          <x14:colorSeries rgb="FF376092"/>
          <x14:colorNegative rgb="FFD00000"/>
          <x14:colorAxis rgb="FF000000"/>
          <x14:colorMarkers rgb="FFD00000"/>
          <x14:colorFirst rgb="FFD00000"/>
          <x14:colorLast rgb="FFD00000"/>
          <x14:colorHigh rgb="FFD00000"/>
          <x14:colorLow rgb="FFD00000"/>
          <x14:sparklines>
            <x14:sparkline>
              <xm:f>S!J51:P51</xm:f>
              <xm:sqref>J50</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tabColor rgb="FFFFFF00"/>
    <pageSetUpPr fitToPage="1"/>
  </sheetPr>
  <dimension ref="A1:DX93"/>
  <sheetViews>
    <sheetView zoomScale="85" zoomScaleNormal="85" workbookViewId="0">
      <pane xSplit="4" ySplit="4" topLeftCell="E5" activePane="bottomRight" state="frozen"/>
      <selection activeCell="E5" sqref="E5"/>
      <selection pane="topRight" activeCell="E5" sqref="E5"/>
      <selection pane="bottomLeft" activeCell="E5" sqref="E5"/>
      <selection pane="bottomRight" activeCell="I15" sqref="I1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23" width="15.42578125" style="138" customWidth="1"/>
    <col min="24" max="24" width="27.42578125" style="138" bestFit="1" customWidth="1"/>
    <col min="25" max="25" width="30" style="186" bestFit="1" customWidth="1"/>
    <col min="26" max="26" width="9.5703125" style="138" customWidth="1"/>
    <col min="27" max="27" width="15.5703125" style="138" customWidth="1"/>
    <col min="28" max="28" width="14.140625" style="138" customWidth="1"/>
    <col min="29" max="70" width="11.42578125" style="138" customWidth="1"/>
    <col min="71" max="71" width="12.28515625" style="138" bestFit="1" customWidth="1"/>
    <col min="72" max="72" width="13.140625" style="138" bestFit="1" customWidth="1"/>
    <col min="73" max="73" width="12.85546875" style="138" bestFit="1" customWidth="1"/>
    <col min="74" max="16384" width="11.42578125" style="138"/>
  </cols>
  <sheetData>
    <row r="1" spans="1:73" s="239" customFormat="1" ht="53.25" customHeight="1" x14ac:dyDescent="0.3">
      <c r="A1" s="133" t="s">
        <v>150</v>
      </c>
      <c r="B1" s="366" t="s">
        <v>7540</v>
      </c>
      <c r="C1" s="366"/>
      <c r="D1" s="366"/>
      <c r="E1" s="381" t="str">
        <f xml:space="preserve"> VLOOKUP(BL,Konstanten!$E$38:$F$46,2,FALSE) &amp;"-Ergebnisse: Indikatoren zu Flächeninanspruchnahme und Versiegelung mit Stand 2022 (Baseline)"</f>
        <v>Steiermark-Ergebnisse: Indikatoren zu Flächeninanspruchnahme und Versiegelung mit Stand 2022 (Baseline)</v>
      </c>
      <c r="F1" s="381"/>
      <c r="G1" s="381"/>
      <c r="H1" s="381"/>
      <c r="I1" s="381"/>
      <c r="J1" s="381"/>
      <c r="K1" s="381"/>
      <c r="L1" s="381"/>
      <c r="M1" s="381"/>
      <c r="N1" s="381"/>
      <c r="O1" s="381"/>
      <c r="P1" s="381"/>
      <c r="Q1" s="381"/>
      <c r="R1" s="381"/>
      <c r="S1" s="380"/>
      <c r="T1" s="380"/>
      <c r="U1" s="380"/>
      <c r="V1" s="380"/>
      <c r="W1" s="256"/>
      <c r="X1" s="256"/>
      <c r="Y1" s="257"/>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row>
    <row r="2" spans="1:73" s="239" customFormat="1" ht="15" customHeight="1" x14ac:dyDescent="0.3">
      <c r="A2" s="133"/>
      <c r="B2" s="243"/>
      <c r="C2" s="243"/>
      <c r="D2" s="243"/>
      <c r="E2" s="381"/>
      <c r="F2" s="381"/>
      <c r="G2" s="381"/>
      <c r="H2" s="381"/>
      <c r="I2" s="381"/>
      <c r="J2" s="381"/>
      <c r="K2" s="381"/>
      <c r="L2" s="381"/>
      <c r="M2" s="381"/>
      <c r="N2" s="381"/>
      <c r="O2" s="381"/>
      <c r="P2" s="381"/>
      <c r="Q2" s="381"/>
      <c r="R2" s="381"/>
      <c r="S2" s="380"/>
      <c r="T2" s="380"/>
      <c r="U2" s="380"/>
      <c r="V2" s="380"/>
      <c r="W2" s="256"/>
      <c r="X2" s="256"/>
      <c r="Y2" s="257"/>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row>
    <row r="3" spans="1:73"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380"/>
      <c r="U3" s="380"/>
      <c r="V3" s="380"/>
      <c r="W3" s="256"/>
      <c r="X3" s="256"/>
      <c r="Y3" s="257"/>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row>
    <row r="4" spans="1:73" s="239" customFormat="1" ht="22.5" customHeight="1" x14ac:dyDescent="0.3">
      <c r="A4" s="131"/>
      <c r="B4" s="227"/>
      <c r="C4" s="228"/>
      <c r="D4" s="229"/>
      <c r="E4" s="381"/>
      <c r="F4" s="381"/>
      <c r="G4" s="381"/>
      <c r="H4" s="381"/>
      <c r="I4" s="381"/>
      <c r="J4" s="381"/>
      <c r="K4" s="381"/>
      <c r="L4" s="381"/>
      <c r="M4" s="381"/>
      <c r="N4" s="381"/>
      <c r="O4" s="381"/>
      <c r="P4" s="381"/>
      <c r="Q4" s="381"/>
      <c r="R4" s="381"/>
      <c r="S4" s="380"/>
      <c r="T4" s="380"/>
      <c r="U4" s="380"/>
      <c r="V4" s="380"/>
      <c r="Y4" s="261"/>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row>
    <row r="5" spans="1:73" ht="52.5" customHeight="1" x14ac:dyDescent="0.3">
      <c r="A5" s="133">
        <f>+IF(Einheit = "ha", 1, 0.01)</f>
        <v>0.01</v>
      </c>
      <c r="C5" s="227"/>
      <c r="D5" s="231"/>
      <c r="E5" s="226" t="s">
        <v>7530</v>
      </c>
      <c r="F5" s="140"/>
      <c r="G5" s="140"/>
      <c r="H5" s="140"/>
      <c r="I5" s="140"/>
      <c r="J5" s="1"/>
      <c r="K5" s="1"/>
      <c r="L5" s="1"/>
      <c r="M5" s="1"/>
      <c r="N5" s="1"/>
      <c r="O5" s="1"/>
      <c r="P5" s="1"/>
      <c r="Q5" s="1"/>
      <c r="R5" s="1"/>
      <c r="S5" s="1"/>
      <c r="T5" s="1"/>
      <c r="U5" s="1"/>
      <c r="V5" s="1"/>
      <c r="W5" s="140"/>
      <c r="X5" s="140"/>
      <c r="Y5" s="140"/>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row>
    <row r="6" spans="1:73"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368"/>
      <c r="X6" s="368"/>
      <c r="Y6" s="368"/>
      <c r="Z6" s="146"/>
      <c r="AA6" s="138"/>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row>
    <row r="7" spans="1:73" s="144" customFormat="1" ht="34.5" hidden="1" customHeight="1" x14ac:dyDescent="0.3">
      <c r="A7" s="133"/>
      <c r="B7" s="227"/>
      <c r="C7" s="230"/>
      <c r="D7" s="231"/>
      <c r="E7" s="139"/>
      <c r="F7" s="141"/>
      <c r="G7" s="141"/>
      <c r="H7" s="141"/>
      <c r="I7" s="142"/>
      <c r="J7" s="131">
        <f>Fak_Einheit/IF(denom_1="absolut",1,Fak_Einheit*St!FI_gesamt)</f>
        <v>0.01</v>
      </c>
      <c r="K7" s="131">
        <f>Fak_Einheit/IF(denom_1="absolut",1,Fak_Einheit*St!FI_gesamt)</f>
        <v>0.01</v>
      </c>
      <c r="L7" s="131">
        <f>Fak_Einheit/IF(denom_1="absolut",1,Fak_Einheit*St!FI_gesamt)</f>
        <v>0.01</v>
      </c>
      <c r="M7" s="131">
        <f>Fak_Einheit/IF(denom_1="absolut",1,Fak_Einheit*St!FI_gesamt)</f>
        <v>0.01</v>
      </c>
      <c r="N7" s="131">
        <f>Fak_Einheit/IF(denom_1="absolut",1,Fak_Einheit*St!FI_gesamt)</f>
        <v>0.01</v>
      </c>
      <c r="O7" s="131">
        <f>Fak_Einheit/IF(denom_1="absolut",1,Fak_Einheit*St!FI_gesamt)</f>
        <v>0.01</v>
      </c>
      <c r="P7" s="131">
        <f>Fak_Einheit/IF(denom_1="absolut",1,Fak_Einheit*St!FI_gesamt)</f>
        <v>0.01</v>
      </c>
      <c r="Q7" s="131">
        <f>Fak_Einheit/IF(denom_1="absolut",1,Fak_Einheit*St!FI_gesamt)</f>
        <v>0.01</v>
      </c>
      <c r="R7" s="131">
        <f>Fak_Einheit/IF(denom_1="absolut",1,Fak_Einheit*St!FI_gesamt)</f>
        <v>0.01</v>
      </c>
      <c r="S7" s="131">
        <f>Fak_Einheit/IF(denom_1="absolut",1,Fak_Einheit*St!FI_gesamt)</f>
        <v>0.01</v>
      </c>
      <c r="T7" s="131">
        <f>Fak_Einheit/IF(denom_1="absolut",1,Fak_Einheit*St!FI_gesamt)</f>
        <v>0.01</v>
      </c>
      <c r="U7" s="131">
        <f>Fak_Einheit/IF(denom_1="absolut",1,Fak_Einheit*St!FI_gesamt)</f>
        <v>0.01</v>
      </c>
      <c r="V7" s="131">
        <f>Fak_Einheit/IF(denom_1="absolut",1,Fak_Einheit*St!FI_gesamt)</f>
        <v>0.01</v>
      </c>
      <c r="W7" s="131">
        <f>Fak_Einheit/IF(denom_1="absolut",1,Fak_Einheit*St!FI_gesamt)</f>
        <v>0.01</v>
      </c>
      <c r="X7" s="143"/>
      <c r="Y7" s="145"/>
      <c r="Z7" s="146"/>
      <c r="AA7" s="138"/>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row>
    <row r="8" spans="1:73" s="270" customFormat="1" ht="16.5" hidden="1" x14ac:dyDescent="0.25">
      <c r="B8" s="271"/>
      <c r="C8" s="272"/>
      <c r="D8" s="271"/>
      <c r="H8" s="273" t="s">
        <v>7523</v>
      </c>
      <c r="J8" s="4">
        <v>7808.0246345760397</v>
      </c>
      <c r="K8" s="4">
        <v>6592.4723762499698</v>
      </c>
      <c r="L8" s="4">
        <v>7447.1812199243604</v>
      </c>
      <c r="M8" s="4">
        <v>13013.4387897304</v>
      </c>
      <c r="N8" s="4">
        <v>10738.838398091901</v>
      </c>
      <c r="O8" s="4">
        <v>8878.5529596597808</v>
      </c>
      <c r="P8" s="4">
        <v>4998.8298763594103</v>
      </c>
      <c r="Q8" s="4">
        <v>7911.4614867963801</v>
      </c>
      <c r="R8" s="4">
        <v>3484.0961436825401</v>
      </c>
      <c r="S8" s="4">
        <v>6525.2777832483898</v>
      </c>
      <c r="T8" s="4">
        <v>10337.039437415</v>
      </c>
      <c r="U8" s="4">
        <v>4639.3893977897396</v>
      </c>
      <c r="V8" s="4">
        <v>8393.2139644093604</v>
      </c>
      <c r="W8" s="4">
        <v>100767.81646793327</v>
      </c>
      <c r="Z8" s="382"/>
    </row>
    <row r="9" spans="1:73" s="274" customFormat="1" ht="93" customHeight="1" x14ac:dyDescent="0.4">
      <c r="B9" s="272"/>
      <c r="C9" s="272"/>
      <c r="D9" s="272"/>
      <c r="F9" s="275"/>
      <c r="G9" s="275"/>
      <c r="H9" s="275"/>
      <c r="I9" s="275"/>
      <c r="J9" s="278" t="s">
        <v>111</v>
      </c>
      <c r="K9" s="278" t="s">
        <v>102</v>
      </c>
      <c r="L9" s="278" t="s">
        <v>100</v>
      </c>
      <c r="M9" s="278" t="s">
        <v>103</v>
      </c>
      <c r="N9" s="278" t="s">
        <v>112</v>
      </c>
      <c r="O9" s="278" t="s">
        <v>104</v>
      </c>
      <c r="P9" s="278" t="s">
        <v>105</v>
      </c>
      <c r="Q9" s="278" t="s">
        <v>106</v>
      </c>
      <c r="R9" s="278" t="s">
        <v>107</v>
      </c>
      <c r="S9" s="278" t="s">
        <v>110</v>
      </c>
      <c r="T9" s="278" t="s">
        <v>113</v>
      </c>
      <c r="U9" s="278" t="s">
        <v>108</v>
      </c>
      <c r="V9" s="278" t="s">
        <v>109</v>
      </c>
      <c r="W9" s="279" t="str">
        <f>St!BL</f>
        <v>St</v>
      </c>
      <c r="Z9" s="382"/>
      <c r="AA9" s="276"/>
      <c r="AB9" s="276"/>
      <c r="BS9" s="274" t="s">
        <v>7524</v>
      </c>
      <c r="BT9" s="274" t="s">
        <v>7525</v>
      </c>
      <c r="BU9" s="274" t="s">
        <v>7526</v>
      </c>
    </row>
    <row r="10" spans="1:73" s="156" customFormat="1" ht="19.5" customHeight="1" thickBot="1" x14ac:dyDescent="0.45">
      <c r="B10" s="236"/>
      <c r="C10" s="237"/>
      <c r="D10" s="238"/>
      <c r="F10" s="265"/>
      <c r="G10" s="157"/>
      <c r="I10" s="192" t="s">
        <v>7515</v>
      </c>
      <c r="J10" s="286">
        <f>7808.02463457604*(+St!Fak_1)</f>
        <v>78.080246345760401</v>
      </c>
      <c r="K10" s="286">
        <f>6592.47237624997*(+St!Fak_1)</f>
        <v>65.924723762499696</v>
      </c>
      <c r="L10" s="286">
        <f>7447.18121992436*(+St!Fak_1)</f>
        <v>74.471812199243601</v>
      </c>
      <c r="M10" s="286">
        <f>13013.4387897304*(+St!Fak_1)</f>
        <v>130.13438789730401</v>
      </c>
      <c r="N10" s="286">
        <f>10738.8383980919*(+St!Fak_1)</f>
        <v>107.388383980919</v>
      </c>
      <c r="O10" s="286">
        <f>8878.55295965978*(+St!Fak_1)</f>
        <v>88.785529596597812</v>
      </c>
      <c r="P10" s="286">
        <f>4998.82987635941*(+St!Fak_1)</f>
        <v>49.988298763594102</v>
      </c>
      <c r="Q10" s="286">
        <f>7911.46148679638*(+St!Fak_1)</f>
        <v>79.114614867963809</v>
      </c>
      <c r="R10" s="286">
        <f>3484.09614368254*(+St!Fak_1)</f>
        <v>34.840961436825403</v>
      </c>
      <c r="S10" s="286">
        <f>6525.27778324839*(+St!Fak_1)</f>
        <v>65.252777832483901</v>
      </c>
      <c r="T10" s="286">
        <f>10337.039437415*(+St!Fak_1)</f>
        <v>103.37039437415001</v>
      </c>
      <c r="U10" s="286">
        <f>4639.38939778974*(+St!Fak_1)</f>
        <v>46.393893977897399</v>
      </c>
      <c r="V10" s="286">
        <f>8393.21396440936*(+St!Fak_1)</f>
        <v>83.93213964409361</v>
      </c>
      <c r="W10" s="287">
        <f>100767.816467933*(+St!Fak_1)</f>
        <v>1007.6781646793299</v>
      </c>
      <c r="X10" s="172" t="str">
        <f t="shared" ref="X10:X15" si="0">IF(denom_1="absolut",Einheit,"% FI gesamt")</f>
        <v>km²</v>
      </c>
      <c r="Y10" s="160"/>
      <c r="Z10" s="161">
        <f>+BT10/BS10</f>
        <v>0.46790580616584404</v>
      </c>
      <c r="AA10" s="364" t="s">
        <v>7527</v>
      </c>
      <c r="AB10" s="163"/>
      <c r="AC10" s="159"/>
      <c r="BS10" s="164">
        <f>W10/$W$7</f>
        <v>100767.81646793299</v>
      </c>
      <c r="BT10" s="164">
        <f>+W25/$W$23</f>
        <v>47149.846400000002</v>
      </c>
      <c r="BU10" s="164">
        <f>+BS10-BT10</f>
        <v>53617.970067932991</v>
      </c>
    </row>
    <row r="11" spans="1:73" s="147" customFormat="1" ht="19.5" customHeight="1" thickTop="1" thickBot="1" x14ac:dyDescent="0.35">
      <c r="B11" s="227"/>
      <c r="C11" s="228"/>
      <c r="D11" s="235"/>
      <c r="E11" s="148"/>
      <c r="F11" s="265"/>
      <c r="I11" s="152" t="s">
        <v>25</v>
      </c>
      <c r="J11" s="288">
        <f>2286.77308339777*(+St!Fak_1)</f>
        <v>22.867730833977699</v>
      </c>
      <c r="K11" s="288">
        <f>1741.53464725107*(+St!Fak_1)</f>
        <v>17.415346472510702</v>
      </c>
      <c r="L11" s="288">
        <f>1232.98320581298*(+St!Fak_1)</f>
        <v>12.329832058129801</v>
      </c>
      <c r="M11" s="288">
        <f>3109.80569309973*(+St!Fak_1)</f>
        <v>31.098056930997302</v>
      </c>
      <c r="N11" s="288">
        <f>3122.53052909418*(+St!Fak_1)</f>
        <v>31.225305290941801</v>
      </c>
      <c r="O11" s="288">
        <f>2366.90981711964*(+St!Fak_1)</f>
        <v>23.669098171196403</v>
      </c>
      <c r="P11" s="288">
        <f>1350.6571404266*(+St!Fak_1)</f>
        <v>13.506571404266001</v>
      </c>
      <c r="Q11" s="288">
        <f>2590.42703689557*(+St!Fak_1)</f>
        <v>25.9042703689557</v>
      </c>
      <c r="R11" s="288">
        <f>1173.26017888539*(+St!Fak_1)</f>
        <v>11.732601788853898</v>
      </c>
      <c r="S11" s="288">
        <f>2050.66985085772*(+St!Fak_1)</f>
        <v>20.506698508577202</v>
      </c>
      <c r="T11" s="288">
        <f>2853.01626511953*(+St!Fak_1)</f>
        <v>28.530162651195301</v>
      </c>
      <c r="U11" s="288">
        <f>1204.86040318458*(+St!Fak_1)</f>
        <v>12.0486040318458</v>
      </c>
      <c r="V11" s="288">
        <f>2334.62349077332*(+St!Fak_1)</f>
        <v>23.346234907733201</v>
      </c>
      <c r="W11" s="289">
        <f>27418.0513419181*(+St!Fak_1)</f>
        <v>274.18051341918101</v>
      </c>
      <c r="X11" s="172" t="str">
        <f t="shared" si="0"/>
        <v>km²</v>
      </c>
      <c r="Y11" s="160"/>
      <c r="Z11" s="161">
        <f t="shared" ref="Z11:Z15" si="1">+BT11/BS11</f>
        <v>0.70219582930626745</v>
      </c>
      <c r="AA11" s="364"/>
      <c r="AB11" s="163"/>
      <c r="AC11" s="159"/>
      <c r="BS11" s="164">
        <f t="shared" ref="BS11:BS15" si="2">W11/$W$7</f>
        <v>27418.051341918101</v>
      </c>
      <c r="BT11" s="164">
        <f t="shared" ref="BT11:BT15" si="3">+W26/$W$23</f>
        <v>19252.8413</v>
      </c>
      <c r="BU11" s="164">
        <f t="shared" ref="BU11:BU15" si="4">+BS11-BT11</f>
        <v>8165.2100419181006</v>
      </c>
    </row>
    <row r="12" spans="1:73" s="147" customFormat="1" ht="19.5" customHeight="1" thickTop="1" thickBot="1" x14ac:dyDescent="0.35">
      <c r="A12" s="167"/>
      <c r="B12" s="227"/>
      <c r="C12" s="228"/>
      <c r="D12" s="235"/>
      <c r="E12" s="148"/>
      <c r="F12" s="265"/>
      <c r="I12" s="152" t="s">
        <v>7410</v>
      </c>
      <c r="J12" s="288">
        <f>3705.50799134566*(+St!Fak_1)</f>
        <v>37.055079913456602</v>
      </c>
      <c r="K12" s="288">
        <f>3168.27661826875*(+St!Fak_1)</f>
        <v>31.682766182687502</v>
      </c>
      <c r="L12" s="288">
        <f>5468.10691568759*(+St!Fak_1)</f>
        <v>54.6810691568759</v>
      </c>
      <c r="M12" s="288">
        <f>7187.64905517047*(+St!Fak_1)</f>
        <v>71.876490551704705</v>
      </c>
      <c r="N12" s="288">
        <f>4517.49870527665*(+St!Fak_1)</f>
        <v>45.174987052766504</v>
      </c>
      <c r="O12" s="288">
        <f>4177.97170818281*(+St!Fak_1)</f>
        <v>41.779717081828103</v>
      </c>
      <c r="P12" s="288">
        <f>2163.4207618318*(+St!Fak_1)</f>
        <v>21.634207618318001</v>
      </c>
      <c r="Q12" s="288">
        <f>3191.92296722557*(+St!Fak_1)</f>
        <v>31.919229672255703</v>
      </c>
      <c r="R12" s="288">
        <f>1197.53769585181*(+St!Fak_1)</f>
        <v>11.975376958518099</v>
      </c>
      <c r="S12" s="288">
        <f>2831.38361579978*(+St!Fak_1)</f>
        <v>28.313836157997798</v>
      </c>
      <c r="T12" s="288">
        <f>4408.70389049521*(+St!Fak_1)</f>
        <v>44.087038904952095</v>
      </c>
      <c r="U12" s="288">
        <f>2103.16740057687*(+St!Fak_1)</f>
        <v>21.0316740057687</v>
      </c>
      <c r="V12" s="288">
        <f>3624.71062054535*(+St!Fak_1)</f>
        <v>36.247106205453505</v>
      </c>
      <c r="W12" s="289">
        <f>47745.8579462583*(+St!Fak_1)</f>
        <v>477.45857946258303</v>
      </c>
      <c r="X12" s="172" t="str">
        <f t="shared" si="0"/>
        <v>km²</v>
      </c>
      <c r="Y12" s="160"/>
      <c r="Z12" s="161">
        <f t="shared" si="1"/>
        <v>0.40898563435554103</v>
      </c>
      <c r="AA12" s="364"/>
      <c r="AB12" s="163"/>
      <c r="AC12" s="159"/>
      <c r="BS12" s="164">
        <f t="shared" si="2"/>
        <v>47745.8579462583</v>
      </c>
      <c r="BT12" s="164">
        <f t="shared" si="3"/>
        <v>19527.37</v>
      </c>
      <c r="BU12" s="164">
        <f t="shared" si="4"/>
        <v>28218.487946258301</v>
      </c>
    </row>
    <row r="13" spans="1:73" s="147" customFormat="1" ht="19.5" customHeight="1" thickTop="1" thickBot="1" x14ac:dyDescent="0.35">
      <c r="B13" s="227"/>
      <c r="C13" s="228"/>
      <c r="D13" s="235"/>
      <c r="E13" s="148"/>
      <c r="F13" s="265"/>
      <c r="I13" s="152" t="s">
        <v>7409</v>
      </c>
      <c r="J13" s="288">
        <f>1172.85091522232*(+St!Fak_1)</f>
        <v>11.7285091522232</v>
      </c>
      <c r="K13" s="288">
        <f>1364.47448394793*(+St!Fak_1)</f>
        <v>13.6447448394793</v>
      </c>
      <c r="L13" s="288">
        <f>249.908499737014*(+St!Fak_1)</f>
        <v>2.4990849973701401</v>
      </c>
      <c r="M13" s="288">
        <f>1912.93408774444*(+St!Fak_1)</f>
        <v>19.129340877444399</v>
      </c>
      <c r="N13" s="288">
        <f>2421.87852678012*(+St!Fak_1)</f>
        <v>24.218785267801199</v>
      </c>
      <c r="O13" s="288">
        <f>1710.78168524023*(+St!Fak_1)</f>
        <v>17.107816852402301</v>
      </c>
      <c r="P13" s="288">
        <f>484.732462174714*(+St!Fak_1)</f>
        <v>4.8473246217471404</v>
      </c>
      <c r="Q13" s="288">
        <f>1420.05603748341*(+St!Fak_1)</f>
        <v>14.200560374834099</v>
      </c>
      <c r="R13" s="288">
        <f>761.774990080763*(+St!Fak_1)</f>
        <v>7.6177499008076301</v>
      </c>
      <c r="S13" s="288">
        <f>983.15835524767*(+St!Fak_1)</f>
        <v>9.8315835524766992</v>
      </c>
      <c r="T13" s="288">
        <f>2491.42221619197*(+St!Fak_1)</f>
        <v>24.914222161919703</v>
      </c>
      <c r="U13" s="288">
        <f>898.631896791855*(+St!Fak_1)</f>
        <v>8.9863189679185496</v>
      </c>
      <c r="V13" s="288">
        <f>1921.78958909062*(+St!Fak_1)</f>
        <v>19.217895890906199</v>
      </c>
      <c r="W13" s="289">
        <f>17794.3937457331*(+St!Fak_1)</f>
        <v>177.943937457331</v>
      </c>
      <c r="X13" s="172" t="str">
        <f t="shared" si="0"/>
        <v>km²</v>
      </c>
      <c r="Y13" s="160"/>
      <c r="Z13" s="161">
        <f t="shared" si="1"/>
        <v>0.40346778331358191</v>
      </c>
      <c r="AA13" s="364"/>
      <c r="AB13" s="163"/>
      <c r="AC13" s="159"/>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4">
        <f t="shared" si="2"/>
        <v>17794.393745733101</v>
      </c>
      <c r="BT13" s="164">
        <f t="shared" si="3"/>
        <v>7179.4646000000002</v>
      </c>
      <c r="BU13" s="164">
        <f t="shared" si="4"/>
        <v>10614.929145733102</v>
      </c>
    </row>
    <row r="14" spans="1:73" s="147" customFormat="1" ht="19.5" customHeight="1" thickTop="1" x14ac:dyDescent="0.3">
      <c r="B14" s="227"/>
      <c r="C14" s="228"/>
      <c r="D14" s="235"/>
      <c r="E14" s="148"/>
      <c r="F14" s="265"/>
      <c r="I14" s="152" t="s">
        <v>7549</v>
      </c>
      <c r="J14" s="288">
        <f>411.150446984265*(+St!Fak_1)</f>
        <v>4.1115044698426502</v>
      </c>
      <c r="K14" s="288">
        <f>236.297469381719*(+St!Fak_1)</f>
        <v>2.3629746938171898</v>
      </c>
      <c r="L14" s="288">
        <f>483.840334648651*(+St!Fak_1)</f>
        <v>4.8384033464865102</v>
      </c>
      <c r="M14" s="288">
        <f>540.000457930787*(+St!Fak_1)</f>
        <v>5.4000045793078701</v>
      </c>
      <c r="N14" s="288">
        <f>501.898525350351*(+St!Fak_1)</f>
        <v>5.0189852535035104</v>
      </c>
      <c r="O14" s="288">
        <f>391.046480239984*(+St!Fak_1)</f>
        <v>3.9104648023998405</v>
      </c>
      <c r="P14" s="288">
        <f>319.958912908689*(+St!Fak_1)</f>
        <v>3.1995891290868901</v>
      </c>
      <c r="Q14" s="288">
        <f>437.497363253835*(+St!Fak_1)</f>
        <v>4.3749736325383495</v>
      </c>
      <c r="R14" s="288">
        <f>248.263398227851*(+St!Fak_1)</f>
        <v>2.4826339822785104</v>
      </c>
      <c r="S14" s="288">
        <f>398.200256985773*(+St!Fak_1)</f>
        <v>3.9820025698577304</v>
      </c>
      <c r="T14" s="288">
        <f>399.126771219564*(+St!Fak_1)</f>
        <v>3.9912677121956399</v>
      </c>
      <c r="U14" s="288">
        <f>209.089987739347*(+St!Fak_1)</f>
        <v>2.0908998773934702</v>
      </c>
      <c r="V14" s="288">
        <f>358.666549196502*(+St!Fak_1)</f>
        <v>3.5866654919650198</v>
      </c>
      <c r="W14" s="290">
        <f>4935.03695406732*(+St!Fak_1)</f>
        <v>49.350369540673199</v>
      </c>
      <c r="X14" s="172" t="str">
        <f t="shared" si="0"/>
        <v>km²</v>
      </c>
      <c r="Y14" s="160"/>
      <c r="Z14" s="161">
        <f t="shared" si="1"/>
        <v>0.16560100919334508</v>
      </c>
      <c r="AA14" s="364"/>
      <c r="AB14" s="163"/>
      <c r="AC14" s="159"/>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4">
        <f t="shared" si="2"/>
        <v>4935.03695406732</v>
      </c>
      <c r="BT14" s="164">
        <f t="shared" si="3"/>
        <v>817.24709999999993</v>
      </c>
      <c r="BU14" s="164">
        <f t="shared" si="4"/>
        <v>4117.7898540673204</v>
      </c>
    </row>
    <row r="15" spans="1:73" s="147" customFormat="1" ht="19.5" customHeight="1" x14ac:dyDescent="0.3">
      <c r="B15" s="227"/>
      <c r="C15" s="228"/>
      <c r="D15" s="235"/>
      <c r="E15" s="148"/>
      <c r="F15" s="265"/>
      <c r="I15" s="152" t="s">
        <v>7519</v>
      </c>
      <c r="J15" s="288">
        <f>231.742197626021*(+St!Fak_1)</f>
        <v>2.31742197626021</v>
      </c>
      <c r="K15" s="288">
        <f>81.8891574004917*(+St!Fak_1)</f>
        <v>0.81889157400491697</v>
      </c>
      <c r="L15" s="288">
        <f>12.3422640381279*(+St!Fak_1)</f>
        <v>0.12342264038127899</v>
      </c>
      <c r="M15" s="288">
        <f>263.049495785027*(+St!Fak_1)</f>
        <v>2.6304949578502699</v>
      </c>
      <c r="N15" s="288">
        <f>175.032111590597*(+St!Fak_1)</f>
        <v>1.7503211159059699</v>
      </c>
      <c r="O15" s="288">
        <f>231.843268877126*(+St!Fak_1)</f>
        <v>2.3184326887712601</v>
      </c>
      <c r="P15" s="288">
        <f>680.060599017602*(+St!Fak_1)</f>
        <v>6.8006059901760203</v>
      </c>
      <c r="Q15" s="288">
        <f>271.558081937993*(+St!Fak_1)</f>
        <v>2.7155808193799298</v>
      </c>
      <c r="R15" s="288">
        <f>103.25988063673*(+St!Fak_1)</f>
        <v>1.0325988063672999</v>
      </c>
      <c r="S15" s="288">
        <f>261.865704357446*(+St!Fak_1)</f>
        <v>2.6186570435744603</v>
      </c>
      <c r="T15" s="288">
        <f>184.77029438875*(+St!Fak_1)</f>
        <v>1.8477029438874999</v>
      </c>
      <c r="U15" s="288">
        <f>223.63970949709*(+St!Fak_1)</f>
        <v>2.2363970949709002</v>
      </c>
      <c r="V15" s="288">
        <f>153.423714803562*(+St!Fak_1)</f>
        <v>1.5342371480356201</v>
      </c>
      <c r="W15" s="290">
        <f>2874.47647995656*(+St!Fak_1)</f>
        <v>28.744764799565601</v>
      </c>
      <c r="X15" s="172" t="str">
        <f t="shared" si="0"/>
        <v>km²</v>
      </c>
      <c r="Y15" s="160"/>
      <c r="Z15" s="161">
        <f t="shared" si="1"/>
        <v>0.12973611111461791</v>
      </c>
      <c r="AA15" s="364"/>
      <c r="AB15" s="163"/>
      <c r="AC15" s="159"/>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4">
        <f t="shared" si="2"/>
        <v>2874.4764799565601</v>
      </c>
      <c r="BT15" s="164">
        <f t="shared" si="3"/>
        <v>372.92340000000002</v>
      </c>
      <c r="BU15" s="164">
        <f t="shared" si="4"/>
        <v>2501.5530799565599</v>
      </c>
    </row>
    <row r="16" spans="1:73" s="147" customFormat="1" ht="21" customHeight="1" x14ac:dyDescent="0.3">
      <c r="B16" s="227"/>
      <c r="C16" s="228"/>
      <c r="D16" s="235"/>
      <c r="E16" s="148"/>
      <c r="F16" s="265"/>
      <c r="I16" s="152"/>
      <c r="J16" s="168"/>
      <c r="K16" s="168"/>
      <c r="L16" s="168"/>
      <c r="M16" s="168"/>
      <c r="N16" s="168"/>
      <c r="O16" s="168"/>
      <c r="P16" s="168"/>
      <c r="Q16" s="168"/>
      <c r="R16" s="168"/>
      <c r="S16" s="168"/>
      <c r="T16" s="168"/>
      <c r="U16" s="168"/>
      <c r="V16" s="168"/>
      <c r="W16" s="170"/>
      <c r="X16" s="172"/>
      <c r="Y16" s="168"/>
    </row>
    <row r="17" spans="2:27"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371"/>
      <c r="V17" s="371"/>
      <c r="W17" s="371"/>
      <c r="X17" s="172"/>
      <c r="Y17" s="168"/>
    </row>
    <row r="18" spans="2:27" s="147" customFormat="1" ht="42.75" customHeight="1" x14ac:dyDescent="0.3">
      <c r="B18" s="227"/>
      <c r="C18" s="228"/>
      <c r="D18" s="235"/>
      <c r="E18" s="148"/>
      <c r="F18" s="265"/>
      <c r="J18" s="173">
        <f t="shared" ref="J18:W18" si="5">FI_gesamt/EW*10000</f>
        <v>794.77460094216735</v>
      </c>
      <c r="K18" s="173">
        <f t="shared" si="5"/>
        <v>1080.0780471271476</v>
      </c>
      <c r="L18" s="173">
        <f t="shared" si="5"/>
        <v>254.49137887176161</v>
      </c>
      <c r="M18" s="173">
        <f t="shared" si="5"/>
        <v>811.25095315377894</v>
      </c>
      <c r="N18" s="173">
        <f t="shared" si="5"/>
        <v>1181.0785269116955</v>
      </c>
      <c r="O18" s="173">
        <f t="shared" si="5"/>
        <v>1030.0542908126667</v>
      </c>
      <c r="P18" s="173">
        <f t="shared" si="5"/>
        <v>845.3822658773588</v>
      </c>
      <c r="Q18" s="173">
        <f t="shared" si="5"/>
        <v>993.78983366156842</v>
      </c>
      <c r="R18" s="173">
        <f t="shared" si="5"/>
        <v>1278.4735592552986</v>
      </c>
      <c r="S18" s="173">
        <f t="shared" si="5"/>
        <v>915.89273398110595</v>
      </c>
      <c r="T18" s="173">
        <f t="shared" si="5"/>
        <v>1235.0697091157283</v>
      </c>
      <c r="U18" s="173">
        <f t="shared" si="5"/>
        <v>908.98908634372526</v>
      </c>
      <c r="V18" s="173">
        <f t="shared" si="5"/>
        <v>917.1909042082134</v>
      </c>
      <c r="W18" s="173">
        <f t="shared" si="5"/>
        <v>804.26248775209683</v>
      </c>
      <c r="X18" s="171" t="s">
        <v>7413</v>
      </c>
    </row>
    <row r="19" spans="2:27" s="147" customFormat="1" ht="42.75" customHeight="1" x14ac:dyDescent="0.3">
      <c r="B19" s="227"/>
      <c r="C19" s="228"/>
      <c r="D19" s="235"/>
      <c r="E19" s="148"/>
      <c r="F19" s="265"/>
      <c r="I19" s="152" t="s">
        <v>7550</v>
      </c>
      <c r="J19" s="372"/>
      <c r="K19" s="372"/>
      <c r="L19" s="372"/>
      <c r="M19" s="372"/>
      <c r="N19" s="372"/>
      <c r="O19" s="372"/>
      <c r="P19" s="372"/>
      <c r="Q19" s="372"/>
      <c r="R19" s="372"/>
      <c r="S19" s="372"/>
      <c r="T19" s="372"/>
      <c r="U19" s="372"/>
      <c r="V19" s="372"/>
      <c r="W19" s="372"/>
      <c r="X19" s="171"/>
      <c r="Y19" s="168"/>
    </row>
    <row r="20" spans="2:27" s="147" customFormat="1" ht="66.75" customHeight="1" x14ac:dyDescent="0.3">
      <c r="B20" s="227"/>
      <c r="C20" s="228"/>
      <c r="D20" s="235"/>
      <c r="E20" s="148"/>
      <c r="F20" s="265"/>
      <c r="I20" s="245"/>
      <c r="J20" s="174">
        <f t="shared" ref="J20:W20" si="6">100*Fak_Einheit*FI_gesamt/DSR</f>
        <v>23.932151850309012</v>
      </c>
      <c r="K20" s="174">
        <f t="shared" si="6"/>
        <v>18.553102631017335</v>
      </c>
      <c r="L20" s="174">
        <f t="shared" si="6"/>
        <v>70.889243747516872</v>
      </c>
      <c r="M20" s="174">
        <f t="shared" si="6"/>
        <v>24.929087696946052</v>
      </c>
      <c r="N20" s="174">
        <f t="shared" si="6"/>
        <v>15.366072673770903</v>
      </c>
      <c r="O20" s="174">
        <f t="shared" si="6"/>
        <v>18.022788112468088</v>
      </c>
      <c r="P20" s="174">
        <f t="shared" si="6"/>
        <v>28.577874442389081</v>
      </c>
      <c r="Q20" s="174">
        <f t="shared" si="6"/>
        <v>17.820903301443725</v>
      </c>
      <c r="R20" s="174">
        <f t="shared" si="6"/>
        <v>12.270402269571676</v>
      </c>
      <c r="S20" s="174">
        <f t="shared" si="6"/>
        <v>17.339169242247678</v>
      </c>
      <c r="T20" s="174">
        <f t="shared" si="6"/>
        <v>15.220507023577712</v>
      </c>
      <c r="U20" s="174">
        <f t="shared" si="6"/>
        <v>18.996884889123869</v>
      </c>
      <c r="V20" s="174">
        <f t="shared" si="6"/>
        <v>15.929923033764348</v>
      </c>
      <c r="W20" s="174">
        <f t="shared" si="6"/>
        <v>0.19268942075658602</v>
      </c>
      <c r="X20" s="373" t="s">
        <v>7418</v>
      </c>
      <c r="Y20" s="373"/>
      <c r="Z20" s="373"/>
      <c r="AA20" s="266"/>
    </row>
    <row r="21" spans="2:27" ht="51" customHeight="1" x14ac:dyDescent="0.3">
      <c r="G21" s="176"/>
      <c r="H21" s="176"/>
      <c r="I21" s="369" t="s">
        <v>7474</v>
      </c>
      <c r="J21" s="369"/>
      <c r="K21" s="369"/>
      <c r="L21" s="369"/>
      <c r="M21" s="369"/>
      <c r="N21" s="369"/>
      <c r="O21" s="369"/>
      <c r="P21" s="369"/>
      <c r="Q21" s="369"/>
      <c r="R21" s="369"/>
      <c r="S21" s="369"/>
      <c r="T21" s="369"/>
      <c r="U21" s="369"/>
      <c r="V21" s="369"/>
      <c r="W21" s="369"/>
      <c r="X21" s="369"/>
      <c r="Y21" s="369"/>
      <c r="Z21" s="175"/>
    </row>
    <row r="22" spans="2:27" ht="49.5" hidden="1" customHeight="1" x14ac:dyDescent="0.3">
      <c r="H22" s="177" t="s">
        <v>7522</v>
      </c>
      <c r="I22" s="138"/>
      <c r="J22" s="362">
        <v>3866.6003000000001</v>
      </c>
      <c r="K22" s="362">
        <v>2978.98</v>
      </c>
      <c r="L22" s="362">
        <v>3791.7102</v>
      </c>
      <c r="M22" s="362">
        <v>5739.1441000000004</v>
      </c>
      <c r="N22" s="362">
        <v>4944.0994000000001</v>
      </c>
      <c r="O22" s="362">
        <v>3991.3249000000001</v>
      </c>
      <c r="P22" s="362">
        <v>2232.6343000000002</v>
      </c>
      <c r="Q22" s="362">
        <v>3836.2667999999999</v>
      </c>
      <c r="R22" s="362">
        <v>1661.5483999999999</v>
      </c>
      <c r="S22" s="362">
        <v>3155.3525</v>
      </c>
      <c r="T22" s="362">
        <v>4752.3788999999997</v>
      </c>
      <c r="U22" s="362">
        <v>2078.1363999999999</v>
      </c>
      <c r="V22" s="362">
        <v>4121.6701999999996</v>
      </c>
      <c r="W22" s="362">
        <v>47149.846400000002</v>
      </c>
      <c r="Y22" s="138"/>
    </row>
    <row r="23" spans="2:27" ht="18" hidden="1" x14ac:dyDescent="0.35">
      <c r="B23" s="232"/>
      <c r="C23" s="233"/>
      <c r="D23" s="239"/>
      <c r="E23" s="138"/>
      <c r="H23" s="177" t="s">
        <v>7521</v>
      </c>
      <c r="I23" s="138"/>
      <c r="J23" s="138">
        <f>Fak_Einheit/IF(denom_1="absolut",1,Fak_Einheit*St!VS_gesamt)</f>
        <v>0.01</v>
      </c>
      <c r="K23" s="138">
        <f>Fak_Einheit/IF(denom_1="absolut",1,Fak_Einheit*St!VS_gesamt)</f>
        <v>0.01</v>
      </c>
      <c r="L23" s="138">
        <f>Fak_Einheit/IF(denom_1="absolut",1,Fak_Einheit*St!VS_gesamt)</f>
        <v>0.01</v>
      </c>
      <c r="M23" s="138">
        <f>Fak_Einheit/IF(denom_1="absolut",1,Fak_Einheit*St!VS_gesamt)</f>
        <v>0.01</v>
      </c>
      <c r="N23" s="138">
        <f>Fak_Einheit/IF(denom_1="absolut",1,Fak_Einheit*St!VS_gesamt)</f>
        <v>0.01</v>
      </c>
      <c r="O23" s="138">
        <f>Fak_Einheit/IF(denom_1="absolut",1,Fak_Einheit*St!VS_gesamt)</f>
        <v>0.01</v>
      </c>
      <c r="P23" s="138">
        <f>Fak_Einheit/IF(denom_1="absolut",1,Fak_Einheit*St!VS_gesamt)</f>
        <v>0.01</v>
      </c>
      <c r="Q23" s="138">
        <f>Fak_Einheit/IF(denom_1="absolut",1,Fak_Einheit*St!VS_gesamt)</f>
        <v>0.01</v>
      </c>
      <c r="R23" s="138">
        <f>Fak_Einheit/IF(denom_1="absolut",1,Fak_Einheit*St!VS_gesamt)</f>
        <v>0.01</v>
      </c>
      <c r="S23" s="138">
        <f>Fak_Einheit/IF(denom_1="absolut",1,Fak_Einheit*St!VS_gesamt)</f>
        <v>0.01</v>
      </c>
      <c r="T23" s="138">
        <f>Fak_Einheit/IF(denom_1="absolut",1,Fak_Einheit*St!VS_gesamt)</f>
        <v>0.01</v>
      </c>
      <c r="U23" s="138">
        <f>Fak_Einheit/IF(denom_1="absolut",1,Fak_Einheit*St!VS_gesamt)</f>
        <v>0.01</v>
      </c>
      <c r="V23" s="138">
        <f>Fak_Einheit/IF(denom_1="absolut",1,Fak_Einheit*St!VS_gesamt)</f>
        <v>0.01</v>
      </c>
      <c r="W23" s="138">
        <f>Fak_Einheit/IF(denom_1="absolut",1,Fak_Einheit*St!VS_gesamt)</f>
        <v>0.01</v>
      </c>
      <c r="Y23" s="138"/>
    </row>
    <row r="24" spans="2:27" ht="86.25" customHeight="1" x14ac:dyDescent="0.4">
      <c r="G24" s="144"/>
      <c r="H24" s="210"/>
      <c r="I24" s="210"/>
      <c r="J24" s="278" t="str">
        <f t="shared" ref="J24:V24" si="7">+J9</f>
        <v>Bruck-Mürzzuschlag</v>
      </c>
      <c r="K24" s="278" t="str">
        <f t="shared" si="7"/>
        <v>Deutschlandsberg</v>
      </c>
      <c r="L24" s="278" t="str">
        <f t="shared" si="7"/>
        <v>Graz(Stadt)</v>
      </c>
      <c r="M24" s="278" t="str">
        <f t="shared" si="7"/>
        <v>Graz-Umgebung</v>
      </c>
      <c r="N24" s="278" t="str">
        <f t="shared" si="7"/>
        <v>Hartberg-Fürstenfeld</v>
      </c>
      <c r="O24" s="278" t="str">
        <f t="shared" si="7"/>
        <v>Leibnitz</v>
      </c>
      <c r="P24" s="278" t="str">
        <f t="shared" si="7"/>
        <v>Leoben</v>
      </c>
      <c r="Q24" s="278" t="str">
        <f t="shared" si="7"/>
        <v>Liezen</v>
      </c>
      <c r="R24" s="278" t="str">
        <f t="shared" si="7"/>
        <v>Murau</v>
      </c>
      <c r="S24" s="278" t="str">
        <f t="shared" si="7"/>
        <v>Murtal</v>
      </c>
      <c r="T24" s="278" t="str">
        <f t="shared" si="7"/>
        <v>Südoststeiermark</v>
      </c>
      <c r="U24" s="278" t="str">
        <f t="shared" si="7"/>
        <v>Voitsberg</v>
      </c>
      <c r="V24" s="278" t="str">
        <f t="shared" si="7"/>
        <v>Weiz</v>
      </c>
      <c r="W24" s="279" t="str">
        <f>St!BL</f>
        <v>St</v>
      </c>
      <c r="X24" s="210"/>
      <c r="Y24" s="147"/>
      <c r="Z24" s="147"/>
      <c r="AA24" s="147"/>
    </row>
    <row r="25" spans="2:27" ht="19.5" customHeight="1" thickBot="1" x14ac:dyDescent="0.35">
      <c r="G25" s="146"/>
      <c r="I25" s="158" t="s">
        <v>7516</v>
      </c>
      <c r="J25" s="280">
        <f>3866.6003*(+St!Fak_2)</f>
        <v>38.666003000000003</v>
      </c>
      <c r="K25" s="280">
        <f>2978.98*(+St!Fak_2)</f>
        <v>29.7898</v>
      </c>
      <c r="L25" s="280">
        <f>3791.7102*(+St!Fak_2)</f>
        <v>37.917102</v>
      </c>
      <c r="M25" s="280">
        <f>5739.1441*(+St!Fak_2)</f>
        <v>57.391441000000007</v>
      </c>
      <c r="N25" s="280">
        <f>4944.0994*(+St!Fak_2)</f>
        <v>49.440994000000003</v>
      </c>
      <c r="O25" s="280">
        <f>3991.3249*(+St!Fak_2)</f>
        <v>39.913249</v>
      </c>
      <c r="P25" s="280">
        <f>2232.6343*(+St!Fak_2)</f>
        <v>22.326343000000001</v>
      </c>
      <c r="Q25" s="280">
        <f>3836.2668*(+St!Fak_2)</f>
        <v>38.362667999999999</v>
      </c>
      <c r="R25" s="280">
        <f>1661.5484*(+St!Fak_2)</f>
        <v>16.615483999999999</v>
      </c>
      <c r="S25" s="280">
        <f>3155.3525*(+St!Fak_2)</f>
        <v>31.553525</v>
      </c>
      <c r="T25" s="280">
        <f>4752.3789*(+St!Fak_2)</f>
        <v>47.523789000000001</v>
      </c>
      <c r="U25" s="280">
        <f>2078.1364*(+St!Fak_2)</f>
        <v>20.781364</v>
      </c>
      <c r="V25" s="280">
        <f>4121.6702*(+St!Fak_2)</f>
        <v>41.216701999999998</v>
      </c>
      <c r="W25" s="281">
        <f>47149.8464*(+St!Fak_2)</f>
        <v>471.49846400000001</v>
      </c>
      <c r="X25" s="159" t="str">
        <f t="shared" ref="X25:X30" si="8">IF(denom_1="absolut",Einheit,"% VS gesamt")</f>
        <v>km²</v>
      </c>
      <c r="Y25" s="160"/>
      <c r="Z25" s="161">
        <f>BT10/BS10</f>
        <v>0.46790580616584404</v>
      </c>
      <c r="AA25" s="364" t="s">
        <v>7528</v>
      </c>
    </row>
    <row r="26" spans="2:27" ht="19.5" customHeight="1" thickTop="1" thickBot="1" x14ac:dyDescent="0.35">
      <c r="F26" s="138" t="s">
        <v>7411</v>
      </c>
      <c r="G26" s="144"/>
      <c r="I26" s="148" t="s">
        <v>25</v>
      </c>
      <c r="J26" s="282">
        <f>1643.3655*(+St!Fak_2)</f>
        <v>16.433655000000002</v>
      </c>
      <c r="K26" s="282">
        <f>1226.3748*(+St!Fak_2)</f>
        <v>12.263748000000001</v>
      </c>
      <c r="L26" s="282">
        <f>1059.0844*(+St!Fak_2)</f>
        <v>10.590844000000001</v>
      </c>
      <c r="M26" s="282">
        <f>2173.6076*(+St!Fak_2)</f>
        <v>21.736075999999997</v>
      </c>
      <c r="N26" s="282">
        <f>2112.058*(+St!Fak_2)</f>
        <v>21.12058</v>
      </c>
      <c r="O26" s="282">
        <f>1620.0013*(+St!Fak_2)</f>
        <v>16.200012999999998</v>
      </c>
      <c r="P26" s="282">
        <f>921.1902*(+St!Fak_2)</f>
        <v>9.2119020000000003</v>
      </c>
      <c r="Q26" s="282">
        <f>1772.5043*(+St!Fak_2)</f>
        <v>17.725042999999999</v>
      </c>
      <c r="R26" s="282">
        <f>814.2962*(+St!Fak_2)</f>
        <v>8.1429620000000007</v>
      </c>
      <c r="S26" s="282">
        <f>1336.8541*(+St!Fak_2)</f>
        <v>13.368541</v>
      </c>
      <c r="T26" s="282">
        <f>1955.901*(+St!Fak_2)</f>
        <v>19.559010000000001</v>
      </c>
      <c r="U26" s="282">
        <f>902.6248*(+St!Fak_2)</f>
        <v>9.0262480000000007</v>
      </c>
      <c r="V26" s="282">
        <f>1714.9791*(+St!Fak_2)</f>
        <v>17.149791</v>
      </c>
      <c r="W26" s="283">
        <f>19252.8413*(+St!Fak_2)</f>
        <v>192.528413</v>
      </c>
      <c r="X26" s="159" t="str">
        <f t="shared" si="8"/>
        <v>km²</v>
      </c>
      <c r="Y26" s="160"/>
      <c r="Z26" s="161">
        <f t="shared" ref="Z26:Z30" si="9">BT11/BS11</f>
        <v>0.70219582930626745</v>
      </c>
      <c r="AA26" s="364"/>
    </row>
    <row r="27" spans="2:27" ht="19.5" customHeight="1" thickTop="1" thickBot="1" x14ac:dyDescent="0.35">
      <c r="G27" s="222"/>
      <c r="I27" s="148" t="s">
        <v>7410</v>
      </c>
      <c r="J27" s="282">
        <f>1665.5225*(+St!Fak_2)</f>
        <v>16.655225000000002</v>
      </c>
      <c r="K27" s="282">
        <f>1197.4667*(+St!Fak_2)</f>
        <v>11.974667</v>
      </c>
      <c r="L27" s="282">
        <f>2525.6204*(+St!Fak_2)</f>
        <v>25.256203999999997</v>
      </c>
      <c r="M27" s="282">
        <f>2697.8116*(+St!Fak_2)</f>
        <v>26.978116</v>
      </c>
      <c r="N27" s="282">
        <f>1733.9085*(+St!Fak_2)</f>
        <v>17.339085000000001</v>
      </c>
      <c r="O27" s="282">
        <f>1638.6954*(+St!Fak_2)</f>
        <v>16.386953999999999</v>
      </c>
      <c r="P27" s="282">
        <f>1006.7727*(+St!Fak_2)</f>
        <v>10.067727</v>
      </c>
      <c r="Q27" s="282">
        <f>1365.7139*(+St!Fak_2)</f>
        <v>13.657139000000001</v>
      </c>
      <c r="R27" s="282">
        <f>486.0167*(+St!Fak_2)</f>
        <v>4.8601670000000006</v>
      </c>
      <c r="S27" s="282">
        <f>1235.3761*(+St!Fak_2)</f>
        <v>12.353761</v>
      </c>
      <c r="T27" s="282">
        <f>1697.6338*(+St!Fak_2)</f>
        <v>16.976338000000002</v>
      </c>
      <c r="U27" s="282">
        <f>779.5893*(+St!Fak_2)</f>
        <v>7.7958930000000004</v>
      </c>
      <c r="V27" s="282">
        <f>1497.2424*(+St!Fak_2)</f>
        <v>14.972424000000002</v>
      </c>
      <c r="W27" s="283">
        <f>19527.37*(+St!Fak_2)</f>
        <v>195.27369999999999</v>
      </c>
      <c r="X27" s="159" t="str">
        <f t="shared" si="8"/>
        <v>km²</v>
      </c>
      <c r="Y27" s="160"/>
      <c r="Z27" s="161">
        <f t="shared" si="9"/>
        <v>0.40898563435554103</v>
      </c>
      <c r="AA27" s="364"/>
    </row>
    <row r="28" spans="2:27" ht="19.5" customHeight="1" thickTop="1" thickBot="1" x14ac:dyDescent="0.35">
      <c r="G28" s="222"/>
      <c r="I28" s="148" t="s">
        <v>7409</v>
      </c>
      <c r="J28" s="282">
        <f>443.3585*(+St!Fak_2)</f>
        <v>4.4335849999999999</v>
      </c>
      <c r="K28" s="282">
        <f>507.6268*(+St!Fak_2)</f>
        <v>5.0762679999999998</v>
      </c>
      <c r="L28" s="282">
        <f>102.3866*(+St!Fak_2)</f>
        <v>1.0238659999999999</v>
      </c>
      <c r="M28" s="282">
        <f>738.8907*(+St!Fak_2)</f>
        <v>7.3889070000000006</v>
      </c>
      <c r="N28" s="282">
        <f>996.3144*(+St!Fak_2)</f>
        <v>9.9631439999999998</v>
      </c>
      <c r="O28" s="282">
        <f>659.524*(+St!Fak_2)</f>
        <v>6.5952400000000004</v>
      </c>
      <c r="P28" s="282">
        <f>182.5954*(+St!Fak_2)</f>
        <v>1.8259540000000001</v>
      </c>
      <c r="Q28" s="282">
        <f>602.4452*(+St!Fak_2)</f>
        <v>6.0244520000000001</v>
      </c>
      <c r="R28" s="282">
        <f>315.1332*(+St!Fak_2)</f>
        <v>3.151332</v>
      </c>
      <c r="S28" s="282">
        <f>437.147*(+St!Fak_2)</f>
        <v>4.3714700000000004</v>
      </c>
      <c r="T28" s="282">
        <f>1011.0975*(+St!Fak_2)</f>
        <v>10.110975</v>
      </c>
      <c r="U28" s="282">
        <f>350.2678*(+St!Fak_2)</f>
        <v>3.5026780000000004</v>
      </c>
      <c r="V28" s="282">
        <f>832.6775*(+St!Fak_2)</f>
        <v>8.3267749999999996</v>
      </c>
      <c r="W28" s="283">
        <f>7179.4646*(+St!Fak_2)</f>
        <v>71.794646</v>
      </c>
      <c r="X28" s="159" t="str">
        <f t="shared" si="8"/>
        <v>km²</v>
      </c>
      <c r="Y28" s="160"/>
      <c r="Z28" s="161">
        <f t="shared" si="9"/>
        <v>0.40346778331358191</v>
      </c>
      <c r="AA28" s="364"/>
    </row>
    <row r="29" spans="2:27" ht="19.5" customHeight="1" thickTop="1" x14ac:dyDescent="0.3">
      <c r="G29" s="222"/>
      <c r="I29" s="148" t="s">
        <v>7549</v>
      </c>
      <c r="J29" s="282">
        <f>77.2671*(+St!Fak_2)</f>
        <v>0.772671</v>
      </c>
      <c r="K29" s="282">
        <f>38.369*(+St!Fak_2)</f>
        <v>0.38369000000000003</v>
      </c>
      <c r="L29" s="282">
        <f>100.9581*(+St!Fak_2)</f>
        <v>1.0095810000000001</v>
      </c>
      <c r="M29" s="282">
        <f>89.8366*(+St!Fak_2)</f>
        <v>0.89836600000000011</v>
      </c>
      <c r="N29" s="282">
        <f>72.035*(+St!Fak_2)</f>
        <v>0.72034999999999993</v>
      </c>
      <c r="O29" s="282">
        <f>50.926*(+St!Fak_2)</f>
        <v>0.50926000000000005</v>
      </c>
      <c r="P29" s="282">
        <f>52.8738*(+St!Fak_2)</f>
        <v>0.52873800000000004</v>
      </c>
      <c r="Q29" s="282">
        <f>62.6049*(+St!Fak_2)</f>
        <v>0.62604899999999997</v>
      </c>
      <c r="R29" s="282">
        <f>29.2581*(+St!Fak_2)</f>
        <v>0.29258099999999998</v>
      </c>
      <c r="S29" s="282">
        <f>97.7019*(+St!Fak_2)</f>
        <v>0.97701899999999997</v>
      </c>
      <c r="T29" s="282">
        <f>59.2941*(+St!Fak_2)</f>
        <v>0.59294100000000005</v>
      </c>
      <c r="U29" s="282">
        <f>29.9549*(+St!Fak_2)</f>
        <v>0.29954900000000001</v>
      </c>
      <c r="V29" s="282">
        <f>56.1676*(+St!Fak_2)</f>
        <v>0.56167600000000006</v>
      </c>
      <c r="W29" s="204">
        <f>817.2471*(+St!Fak_2)</f>
        <v>8.1724709999999998</v>
      </c>
      <c r="X29" s="159" t="str">
        <f t="shared" si="8"/>
        <v>km²</v>
      </c>
      <c r="Y29" s="160"/>
      <c r="Z29" s="161">
        <f t="shared" si="9"/>
        <v>0.16560100919334508</v>
      </c>
      <c r="AA29" s="364"/>
    </row>
    <row r="30" spans="2:27" ht="19.5" customHeight="1" x14ac:dyDescent="0.3">
      <c r="G30" s="222"/>
      <c r="I30" s="148" t="s">
        <v>7519</v>
      </c>
      <c r="J30" s="282">
        <f>37.0867*(+St!Fak_2)</f>
        <v>0.370867</v>
      </c>
      <c r="K30" s="282">
        <f>9.1427*(+St!Fak_2)</f>
        <v>9.1426999999999994E-2</v>
      </c>
      <c r="L30" s="282">
        <f>3.6607*(+St!Fak_2)</f>
        <v>3.6607000000000001E-2</v>
      </c>
      <c r="M30" s="282">
        <f>38.9976*(+St!Fak_2)</f>
        <v>0.38997599999999999</v>
      </c>
      <c r="N30" s="282">
        <f>29.7835*(+St!Fak_2)</f>
        <v>0.29783500000000002</v>
      </c>
      <c r="O30" s="282">
        <f>22.1782*(+St!Fak_2)</f>
        <v>0.22178200000000001</v>
      </c>
      <c r="P30" s="282">
        <f>69.2022*(+St!Fak_2)</f>
        <v>0.69202200000000003</v>
      </c>
      <c r="Q30" s="282">
        <f>32.9985*(+St!Fak_2)</f>
        <v>0.32998500000000003</v>
      </c>
      <c r="R30" s="282">
        <f>16.8442*(+St!Fak_2)</f>
        <v>0.16844200000000001</v>
      </c>
      <c r="S30" s="282">
        <f>48.2734*(+St!Fak_2)</f>
        <v>0.48273400000000005</v>
      </c>
      <c r="T30" s="282">
        <f>28.4525*(+St!Fak_2)</f>
        <v>0.28452500000000003</v>
      </c>
      <c r="U30" s="282">
        <f>15.6996*(+St!Fak_2)</f>
        <v>0.156996</v>
      </c>
      <c r="V30" s="282">
        <f>20.6036*(+St!Fak_2)</f>
        <v>0.206036</v>
      </c>
      <c r="W30" s="204">
        <f>372.9234*(+St!Fak_2)</f>
        <v>3.7292340000000004</v>
      </c>
      <c r="X30" s="159" t="str">
        <f t="shared" si="8"/>
        <v>km²</v>
      </c>
      <c r="Y30" s="160"/>
      <c r="Z30" s="161">
        <f t="shared" si="9"/>
        <v>0.12973611111461791</v>
      </c>
      <c r="AA30" s="364"/>
    </row>
    <row r="31" spans="2:27" ht="19.5" customHeight="1" x14ac:dyDescent="0.3">
      <c r="G31" s="222"/>
      <c r="I31" s="148"/>
      <c r="J31" s="284"/>
      <c r="K31" s="284"/>
      <c r="L31" s="284"/>
      <c r="M31" s="284"/>
      <c r="N31" s="284"/>
      <c r="O31" s="284"/>
      <c r="P31" s="284"/>
      <c r="Q31" s="284"/>
      <c r="R31" s="284"/>
      <c r="S31" s="284"/>
      <c r="T31" s="284"/>
      <c r="U31" s="284"/>
      <c r="V31" s="284"/>
      <c r="W31" s="284"/>
      <c r="X31" s="159"/>
      <c r="Y31" s="160"/>
      <c r="Z31" s="189"/>
      <c r="AA31" s="147"/>
    </row>
    <row r="32" spans="2:27" ht="19.5" customHeight="1" x14ac:dyDescent="0.3">
      <c r="G32" s="144"/>
      <c r="I32" s="148" t="s">
        <v>7514</v>
      </c>
      <c r="J32" s="282">
        <f t="shared" ref="J32:W32" si="10">+VS_gesamt*10000/EW</f>
        <v>393.57915148307239</v>
      </c>
      <c r="K32" s="282">
        <f t="shared" si="10"/>
        <v>488.06133984304603</v>
      </c>
      <c r="L32" s="282">
        <f t="shared" si="10"/>
        <v>129.57352971328982</v>
      </c>
      <c r="M32" s="282">
        <f t="shared" si="10"/>
        <v>357.77523501982398</v>
      </c>
      <c r="N32" s="282">
        <f t="shared" si="10"/>
        <v>543.76175707184018</v>
      </c>
      <c r="O32" s="282">
        <f t="shared" si="10"/>
        <v>463.05759034746796</v>
      </c>
      <c r="P32" s="282">
        <f t="shared" si="10"/>
        <v>377.57425039319475</v>
      </c>
      <c r="Q32" s="282">
        <f t="shared" si="10"/>
        <v>481.88858043688526</v>
      </c>
      <c r="R32" s="282">
        <f t="shared" si="10"/>
        <v>609.69778364890647</v>
      </c>
      <c r="S32" s="282">
        <f t="shared" si="10"/>
        <v>442.88757105761806</v>
      </c>
      <c r="T32" s="282">
        <f t="shared" si="10"/>
        <v>567.81433999235333</v>
      </c>
      <c r="U32" s="282">
        <f t="shared" si="10"/>
        <v>407.16636297733106</v>
      </c>
      <c r="V32" s="282">
        <f t="shared" si="10"/>
        <v>450.40653480493927</v>
      </c>
      <c r="W32" s="282">
        <f t="shared" si="10"/>
        <v>376.31908770059113</v>
      </c>
      <c r="X32" s="224" t="s">
        <v>7513</v>
      </c>
      <c r="Y32" s="147"/>
      <c r="Z32" s="147"/>
      <c r="AA32" s="147"/>
    </row>
    <row r="33" spans="7:35" ht="19.5" customHeight="1" x14ac:dyDescent="0.3">
      <c r="G33" s="144"/>
      <c r="I33" s="148" t="s">
        <v>7472</v>
      </c>
      <c r="J33" s="285">
        <f>100*Fak_Einheit*VS_gesamt/St!DSR</f>
        <v>11.851405426447519</v>
      </c>
      <c r="K33" s="285">
        <f>100*Fak_Einheit*VS_gesamt/St!DSR</f>
        <v>8.3837016708422158</v>
      </c>
      <c r="L33" s="285">
        <f>100*Fak_Einheit*VS_gesamt/St!DSR</f>
        <v>36.093047913029842</v>
      </c>
      <c r="M33" s="285">
        <f>100*Fak_Einheit*VS_gesamt/St!DSR</f>
        <v>10.994144506002209</v>
      </c>
      <c r="N33" s="285">
        <f>100*Fak_Einheit*VS_gesamt/St!DSR</f>
        <v>7.0744514323118857</v>
      </c>
      <c r="O33" s="285">
        <f>100*Fak_Einheit*VS_gesamt/St!DSR</f>
        <v>8.1020863746105736</v>
      </c>
      <c r="P33" s="285">
        <f>100*Fak_Einheit*VS_gesamt/St!DSR</f>
        <v>12.763775579343964</v>
      </c>
      <c r="Q33" s="285">
        <f>100*Fak_Einheit*VS_gesamt/St!DSR</f>
        <v>8.6413540400134803</v>
      </c>
      <c r="R33" s="285">
        <f>100*Fak_Einheit*VS_gesamt/St!DSR</f>
        <v>5.851694791870492</v>
      </c>
      <c r="S33" s="285">
        <f>100*Fak_Einheit*VS_gesamt/St!DSR</f>
        <v>8.3844999146094885</v>
      </c>
      <c r="T33" s="285">
        <f>100*Fak_Einheit*VS_gesamt/St!DSR</f>
        <v>6.9975176997332902</v>
      </c>
      <c r="U33" s="285">
        <f>100*Fak_Einheit*VS_gesamt/St!DSR</f>
        <v>8.5093348692623465</v>
      </c>
      <c r="V33" s="285">
        <f>100*Fak_Einheit*VS_gesamt/St!DSR</f>
        <v>7.8227350494073242</v>
      </c>
      <c r="W33" s="285">
        <f>100*Fak_Einheit*VS_gesamt/St!DSR</f>
        <v>9.016049875873966E-2</v>
      </c>
      <c r="X33" s="210" t="s">
        <v>7418</v>
      </c>
      <c r="Y33" s="147"/>
      <c r="Z33" s="147"/>
      <c r="AA33" s="147"/>
    </row>
    <row r="34" spans="7:35" ht="19.5" customHeight="1" x14ac:dyDescent="0.3">
      <c r="G34" s="144"/>
      <c r="I34" s="148"/>
      <c r="J34" s="285"/>
      <c r="K34" s="285"/>
      <c r="L34" s="285"/>
      <c r="M34" s="285"/>
      <c r="N34" s="285"/>
      <c r="O34" s="285"/>
      <c r="P34" s="285"/>
      <c r="Q34" s="285"/>
      <c r="R34" s="285"/>
      <c r="S34" s="285"/>
      <c r="T34" s="285"/>
      <c r="U34" s="285"/>
      <c r="V34" s="285"/>
      <c r="W34" s="285"/>
      <c r="X34" s="210"/>
      <c r="Y34" s="147"/>
      <c r="Z34" s="147"/>
      <c r="AA34" s="147"/>
    </row>
    <row r="35" spans="7:35" ht="19.5" customHeight="1" x14ac:dyDescent="0.3">
      <c r="G35" s="144"/>
      <c r="I35" s="369" t="s">
        <v>7415</v>
      </c>
      <c r="J35" s="369"/>
      <c r="K35" s="369"/>
      <c r="L35" s="369"/>
      <c r="M35" s="369"/>
      <c r="N35" s="369"/>
      <c r="O35" s="369"/>
      <c r="P35" s="369"/>
      <c r="Q35" s="369"/>
      <c r="R35" s="369"/>
      <c r="S35" s="369"/>
      <c r="T35" s="369"/>
      <c r="U35" s="369"/>
      <c r="V35" s="285"/>
      <c r="W35" s="285"/>
      <c r="X35" s="210"/>
      <c r="Y35" s="147"/>
      <c r="Z35" s="147"/>
      <c r="AA35" s="147"/>
    </row>
    <row r="36" spans="7:35" ht="19.5" customHeight="1" x14ac:dyDescent="0.3">
      <c r="G36" s="144"/>
      <c r="I36" s="148"/>
      <c r="J36" s="285"/>
      <c r="K36" s="285"/>
      <c r="L36" s="285"/>
      <c r="M36" s="285"/>
      <c r="N36" s="285"/>
      <c r="O36" s="285"/>
      <c r="P36" s="285"/>
      <c r="Q36" s="285"/>
      <c r="R36" s="285"/>
      <c r="S36" s="285"/>
      <c r="T36" s="285"/>
      <c r="U36" s="285"/>
      <c r="V36" s="285"/>
      <c r="W36" s="285"/>
      <c r="X36" s="210"/>
      <c r="Y36" s="147"/>
      <c r="Z36" s="147"/>
      <c r="AA36" s="147"/>
    </row>
    <row r="37" spans="7:35" ht="19.5" customHeight="1" x14ac:dyDescent="0.3">
      <c r="G37" s="144"/>
      <c r="I37" s="148"/>
      <c r="J37" s="285"/>
      <c r="K37" s="285"/>
      <c r="L37" s="285"/>
      <c r="M37" s="285"/>
      <c r="N37" s="285"/>
      <c r="O37" s="285"/>
      <c r="P37" s="285"/>
      <c r="Q37" s="285"/>
      <c r="R37" s="285"/>
      <c r="S37" s="285"/>
      <c r="T37" s="285"/>
      <c r="U37" s="285"/>
      <c r="V37" s="285"/>
      <c r="W37" s="285"/>
      <c r="X37" s="210"/>
      <c r="Y37" s="147"/>
      <c r="Z37" s="147"/>
      <c r="AA37" s="147"/>
    </row>
    <row r="38" spans="7:35" ht="90.75" customHeight="1" x14ac:dyDescent="0.4">
      <c r="G38" s="144"/>
      <c r="I38" s="148"/>
      <c r="J38" s="338" t="str">
        <f>J24</f>
        <v>Bruck-Mürzzuschlag</v>
      </c>
      <c r="K38" s="338" t="str">
        <f t="shared" ref="K38:V38" si="11">K24</f>
        <v>Deutschlandsberg</v>
      </c>
      <c r="L38" s="338" t="str">
        <f t="shared" si="11"/>
        <v>Graz(Stadt)</v>
      </c>
      <c r="M38" s="338" t="str">
        <f t="shared" si="11"/>
        <v>Graz-Umgebung</v>
      </c>
      <c r="N38" s="338" t="str">
        <f t="shared" si="11"/>
        <v>Hartberg-Fürstenfeld</v>
      </c>
      <c r="O38" s="338" t="str">
        <f t="shared" si="11"/>
        <v>Leibnitz</v>
      </c>
      <c r="P38" s="338" t="str">
        <f t="shared" si="11"/>
        <v>Leoben</v>
      </c>
      <c r="Q38" s="338" t="str">
        <f t="shared" si="11"/>
        <v>Liezen</v>
      </c>
      <c r="R38" s="338" t="str">
        <f t="shared" si="11"/>
        <v>Murau</v>
      </c>
      <c r="S38" s="338" t="str">
        <f t="shared" si="11"/>
        <v>Murtal</v>
      </c>
      <c r="T38" s="338" t="str">
        <f t="shared" si="11"/>
        <v>Südoststeiermark</v>
      </c>
      <c r="U38" s="338" t="str">
        <f t="shared" si="11"/>
        <v>Voitsberg</v>
      </c>
      <c r="V38" s="338" t="str">
        <f t="shared" si="11"/>
        <v>Weiz</v>
      </c>
      <c r="W38" s="277" t="str">
        <f>St!BL</f>
        <v>St</v>
      </c>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83"/>
      <c r="U39" s="383"/>
      <c r="V39" s="383"/>
      <c r="W39" s="383"/>
      <c r="X39" s="336"/>
      <c r="Y39" s="336"/>
      <c r="Z39" s="336"/>
      <c r="AA39" s="336"/>
      <c r="AB39" s="336"/>
      <c r="AC39" s="336"/>
      <c r="AD39" s="336"/>
      <c r="AE39" s="336"/>
      <c r="AF39" s="336"/>
      <c r="AG39" s="336"/>
      <c r="AH39" s="336"/>
    </row>
    <row r="40" spans="7:35" ht="19.5" customHeight="1" x14ac:dyDescent="0.3">
      <c r="G40" s="144"/>
      <c r="I40" s="148"/>
      <c r="J40" s="191">
        <f>Fak_1*4110.138405</f>
        <v>41.10138405</v>
      </c>
      <c r="K40" s="191">
        <f>Fak_1*3723.04532</f>
        <v>37.230453199999999</v>
      </c>
      <c r="L40" s="191">
        <f>Fak_1*5673.710096</f>
        <v>56.737100959999999</v>
      </c>
      <c r="M40" s="191">
        <f>Fak_1*8064.805398</f>
        <v>80.64805398</v>
      </c>
      <c r="N40" s="191">
        <f>Fak_1*5430.381333</f>
        <v>54.303813330000004</v>
      </c>
      <c r="O40" s="191">
        <f>Fak_1*5077.211113</f>
        <v>50.772111130000006</v>
      </c>
      <c r="P40" s="191">
        <f>Fak_1*2486.699621</f>
        <v>24.866996210000003</v>
      </c>
      <c r="Q40" s="191">
        <f>Fak_1*3821.372596</f>
        <v>38.213725960000005</v>
      </c>
      <c r="R40" s="191">
        <f>Fak_1*1468.708451</f>
        <v>14.68708451</v>
      </c>
      <c r="S40" s="191">
        <f>Fak_1*3558.045784</f>
        <v>35.580457840000001</v>
      </c>
      <c r="T40" s="191">
        <f>Fak_1*5268.673735</f>
        <v>52.686737350000001</v>
      </c>
      <c r="U40" s="191">
        <f>Fak_1*2318.867853</f>
        <v>23.188678530000001</v>
      </c>
      <c r="V40" s="191">
        <f>Fak_1*4280.301655</f>
        <v>42.803016550000002</v>
      </c>
      <c r="W40" s="191">
        <f>Fak_1*55281.96136</f>
        <v>552.81961360000003</v>
      </c>
      <c r="X40" s="210"/>
      <c r="Y40" s="147"/>
      <c r="Z40" s="147"/>
      <c r="AA40" s="147"/>
    </row>
    <row r="41" spans="7:35" ht="19.5" customHeight="1" x14ac:dyDescent="0.3">
      <c r="G41" s="144"/>
      <c r="I41" s="148"/>
      <c r="J41" s="378" t="s">
        <v>7548</v>
      </c>
      <c r="K41" s="378"/>
      <c r="L41" s="378"/>
      <c r="M41" s="378"/>
      <c r="N41" s="378"/>
      <c r="O41" s="378"/>
      <c r="P41" s="378"/>
      <c r="Q41" s="378"/>
      <c r="R41" s="378"/>
      <c r="S41" s="378"/>
      <c r="T41" s="378"/>
      <c r="U41" s="378"/>
      <c r="V41" s="378"/>
      <c r="W41" s="378"/>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384"/>
      <c r="P42" s="384"/>
      <c r="Q42" s="384"/>
      <c r="R42" s="384"/>
      <c r="S42" s="384"/>
      <c r="T42" s="384"/>
      <c r="U42" s="384"/>
      <c r="V42" s="384"/>
      <c r="W42" s="384"/>
      <c r="X42" s="210"/>
      <c r="Y42" s="147"/>
      <c r="Z42" s="147"/>
      <c r="AA42" s="147"/>
    </row>
    <row r="43" spans="7:35" ht="19.5" customHeight="1" x14ac:dyDescent="0.3">
      <c r="G43" s="144"/>
      <c r="I43" s="307" t="s">
        <v>7546</v>
      </c>
      <c r="J43" s="191">
        <f t="shared" ref="J43:W43" si="12">100*J44/Baulandwidmung</f>
        <v>19.475335454062407</v>
      </c>
      <c r="K43" s="191">
        <f t="shared" si="12"/>
        <v>23.550027803583117</v>
      </c>
      <c r="L43" s="191">
        <f t="shared" si="12"/>
        <v>14.903124951627772</v>
      </c>
      <c r="M43" s="191">
        <f t="shared" si="12"/>
        <v>22.674989882006326</v>
      </c>
      <c r="N43" s="191">
        <f t="shared" si="12"/>
        <v>27.239396062501157</v>
      </c>
      <c r="O43" s="191">
        <f t="shared" si="12"/>
        <v>25.233696028900972</v>
      </c>
      <c r="P43" s="191">
        <f t="shared" si="12"/>
        <v>20.903157124822673</v>
      </c>
      <c r="Q43" s="191">
        <f t="shared" si="12"/>
        <v>23.856922090096024</v>
      </c>
      <c r="R43" s="191">
        <f t="shared" si="12"/>
        <v>24.418942354135062</v>
      </c>
      <c r="S43" s="191">
        <f t="shared" si="12"/>
        <v>26.403033126343832</v>
      </c>
      <c r="T43" s="191">
        <f t="shared" si="12"/>
        <v>23.381047963107552</v>
      </c>
      <c r="U43" s="191">
        <f t="shared" si="12"/>
        <v>21.883046993967707</v>
      </c>
      <c r="V43" s="191">
        <f t="shared" si="12"/>
        <v>24.031697037016425</v>
      </c>
      <c r="W43" s="191">
        <f t="shared" si="12"/>
        <v>22.809142515561426</v>
      </c>
      <c r="X43" s="210"/>
      <c r="Y43" s="147"/>
      <c r="Z43" s="147"/>
      <c r="AA43" s="147"/>
    </row>
    <row r="44" spans="7:35" ht="19.5" customHeight="1" x14ac:dyDescent="0.3">
      <c r="G44" s="144"/>
      <c r="I44" s="152" t="str">
        <f>"in " &amp; Einheit</f>
        <v>in km²</v>
      </c>
      <c r="J44" s="191">
        <f>Fak_1*800.463242</f>
        <v>8.0046324200000001</v>
      </c>
      <c r="K44" s="191">
        <f>Fak_1*876.778208</f>
        <v>8.7677820799999999</v>
      </c>
      <c r="L44" s="191">
        <f>Fak_1*845.560105</f>
        <v>8.4556010500000003</v>
      </c>
      <c r="M44" s="191">
        <f>Fak_1*1828.693808</f>
        <v>18.286938079999999</v>
      </c>
      <c r="N44" s="191">
        <f>Fak_1*1479.203079</f>
        <v>14.792030789999998</v>
      </c>
      <c r="O44" s="191">
        <f>Fak_1*1281.168019</f>
        <v>12.811680190000001</v>
      </c>
      <c r="P44" s="191">
        <f>Fak_1*519.798729</f>
        <v>5.1979872899999995</v>
      </c>
      <c r="Q44" s="191">
        <f>Fak_1*911.661883</f>
        <v>9.1166188300000002</v>
      </c>
      <c r="R44" s="191">
        <f>Fak_1*358.64307</f>
        <v>3.5864307000000002</v>
      </c>
      <c r="S44" s="191">
        <f>Fak_1*939.432007</f>
        <v>9.3943200700000009</v>
      </c>
      <c r="T44" s="191">
        <f>Fak_1*1231.871133</f>
        <v>12.318711330000001</v>
      </c>
      <c r="U44" s="191">
        <f>Fak_1*507.438942</f>
        <v>5.0743894200000002</v>
      </c>
      <c r="V44" s="191">
        <f>Fak_1*1028.629126</f>
        <v>10.28629126</v>
      </c>
      <c r="W44" s="191">
        <f>Fak_1*12609.341352</f>
        <v>126.09341352</v>
      </c>
      <c r="X44" s="210"/>
      <c r="Y44" s="147"/>
      <c r="Z44" s="147"/>
      <c r="AA44" s="147"/>
    </row>
    <row r="45" spans="7:35" ht="19.5" customHeight="1" x14ac:dyDescent="0.3">
      <c r="G45" s="144"/>
      <c r="I45" s="148"/>
      <c r="J45" s="378" t="s">
        <v>7476</v>
      </c>
      <c r="K45" s="378"/>
      <c r="L45" s="378"/>
      <c r="M45" s="378"/>
      <c r="N45" s="378"/>
      <c r="O45" s="378"/>
      <c r="P45" s="378"/>
      <c r="Q45" s="378"/>
      <c r="R45" s="378"/>
      <c r="S45" s="378"/>
      <c r="T45" s="378"/>
      <c r="U45" s="378"/>
      <c r="V45" s="378"/>
      <c r="W45" s="378"/>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384"/>
      <c r="P46" s="384"/>
      <c r="Q46" s="384"/>
      <c r="R46" s="384"/>
      <c r="S46" s="384"/>
      <c r="T46" s="384"/>
      <c r="U46" s="384"/>
      <c r="V46" s="384"/>
      <c r="W46" s="384"/>
      <c r="X46" s="210"/>
      <c r="Y46" s="147"/>
      <c r="Z46" s="147"/>
      <c r="AA46" s="147"/>
    </row>
    <row r="47" spans="7:35" ht="19.5" customHeight="1" x14ac:dyDescent="0.3">
      <c r="G47" s="144"/>
      <c r="I47" s="307" t="s">
        <v>7546</v>
      </c>
      <c r="J47" s="191">
        <f t="shared" ref="J47:W47" si="13">100*J48/Baulandwidmung</f>
        <v>9.8446470198611227</v>
      </c>
      <c r="K47" s="191">
        <f t="shared" si="13"/>
        <v>14.900938729373296</v>
      </c>
      <c r="L47" s="191">
        <f t="shared" si="13"/>
        <v>3.6237872136778977</v>
      </c>
      <c r="M47" s="191">
        <f t="shared" si="13"/>
        <v>10.876348525626261</v>
      </c>
      <c r="N47" s="191">
        <f t="shared" si="13"/>
        <v>16.810654206777048</v>
      </c>
      <c r="O47" s="191">
        <f t="shared" si="13"/>
        <v>17.711286471770546</v>
      </c>
      <c r="P47" s="191">
        <f t="shared" si="13"/>
        <v>13.000318022729131</v>
      </c>
      <c r="Q47" s="191">
        <f t="shared" si="13"/>
        <v>16.471820352165416</v>
      </c>
      <c r="R47" s="191">
        <f t="shared" si="13"/>
        <v>18.463212002039469</v>
      </c>
      <c r="S47" s="191">
        <f t="shared" si="13"/>
        <v>20.422449600496762</v>
      </c>
      <c r="T47" s="191">
        <f t="shared" si="13"/>
        <v>16.322321085991483</v>
      </c>
      <c r="U47" s="191">
        <f t="shared" si="13"/>
        <v>9.3019725863610905</v>
      </c>
      <c r="V47" s="191">
        <f t="shared" si="13"/>
        <v>15.316468016551511</v>
      </c>
      <c r="W47" s="191">
        <f t="shared" si="13"/>
        <v>13.632077031284261</v>
      </c>
      <c r="X47" s="210"/>
      <c r="Y47" s="147"/>
      <c r="Z47" s="147"/>
      <c r="AA47" s="147"/>
    </row>
    <row r="48" spans="7:35" ht="19.5" customHeight="1" x14ac:dyDescent="0.3">
      <c r="G48" s="144"/>
      <c r="I48" s="152" t="str">
        <f>"in " &amp; Einheit</f>
        <v>in km²</v>
      </c>
      <c r="J48" s="191">
        <f>Fak_1*404.628618</f>
        <v>4.0462861800000001</v>
      </c>
      <c r="K48" s="191">
        <f>Fak_1*554.768702</f>
        <v>5.5476870199999997</v>
      </c>
      <c r="L48" s="191">
        <f>Fak_1*205.603181</f>
        <v>2.0560318099999999</v>
      </c>
      <c r="M48" s="191">
        <f>Fak_1*877.156343</f>
        <v>8.7715634300000005</v>
      </c>
      <c r="N48" s="191">
        <f>Fak_1*912.882628</f>
        <v>9.1288262800000002</v>
      </c>
      <c r="O48" s="191">
        <f>Fak_1*899.239405</f>
        <v>8.9923940499999997</v>
      </c>
      <c r="P48" s="191">
        <f>Fak_1*323.278859</f>
        <v>3.2327885900000002</v>
      </c>
      <c r="Q48" s="191">
        <f>Fak_1*629.449629</f>
        <v>6.2944962899999997</v>
      </c>
      <c r="R48" s="191">
        <f>Fak_1*271.170755</f>
        <v>2.7117075499999999</v>
      </c>
      <c r="S48" s="191">
        <f>Fak_1*726.640107</f>
        <v>7.2664010699999997</v>
      </c>
      <c r="T48" s="191">
        <f>Fak_1*859.969844</f>
        <v>8.5996984399999992</v>
      </c>
      <c r="U48" s="191">
        <f>Fak_1*215.700452</f>
        <v>2.1570045200000001</v>
      </c>
      <c r="V48" s="191">
        <f>Fak_1*655.591034</f>
        <v>6.5559103400000005</v>
      </c>
      <c r="W48" s="191">
        <f>Fak_1*7536.079557</f>
        <v>75.360795570000008</v>
      </c>
      <c r="X48" s="210"/>
      <c r="Y48" s="147"/>
      <c r="Z48" s="147"/>
      <c r="AA48" s="147"/>
    </row>
    <row r="49" spans="1:73" ht="19.5" customHeight="1" x14ac:dyDescent="0.3">
      <c r="G49" s="144"/>
      <c r="I49" s="148"/>
      <c r="J49" s="378" t="s">
        <v>7420</v>
      </c>
      <c r="K49" s="378"/>
      <c r="L49" s="378"/>
      <c r="M49" s="378"/>
      <c r="N49" s="378"/>
      <c r="O49" s="378"/>
      <c r="P49" s="378"/>
      <c r="Q49" s="378"/>
      <c r="R49" s="378"/>
      <c r="S49" s="378"/>
      <c r="T49" s="378"/>
      <c r="U49" s="378"/>
      <c r="V49" s="378"/>
      <c r="W49" s="378"/>
      <c r="X49" s="336"/>
      <c r="Y49" s="336"/>
      <c r="Z49" s="336"/>
      <c r="AA49" s="336"/>
      <c r="AB49" s="336"/>
      <c r="AC49" s="336"/>
      <c r="AD49" s="336"/>
      <c r="AE49" s="336"/>
      <c r="AF49" s="336"/>
      <c r="AG49" s="336"/>
      <c r="AH49" s="336"/>
    </row>
    <row r="50" spans="1:73" ht="19.5" customHeight="1" x14ac:dyDescent="0.3">
      <c r="G50" s="144"/>
      <c r="I50" s="307"/>
      <c r="J50" s="384"/>
      <c r="K50" s="384"/>
      <c r="L50" s="384"/>
      <c r="M50" s="384"/>
      <c r="N50" s="384"/>
      <c r="O50" s="384"/>
      <c r="P50" s="384"/>
      <c r="Q50" s="384"/>
      <c r="R50" s="384"/>
      <c r="S50" s="384"/>
      <c r="T50" s="384"/>
      <c r="U50" s="384"/>
      <c r="V50" s="384"/>
      <c r="W50" s="384"/>
      <c r="X50" s="210"/>
      <c r="Y50" s="147"/>
      <c r="Z50" s="147"/>
      <c r="AA50" s="147"/>
    </row>
    <row r="51" spans="1:73" ht="19.5" customHeight="1" x14ac:dyDescent="0.3">
      <c r="G51" s="144"/>
      <c r="I51" s="307" t="s">
        <v>7546</v>
      </c>
      <c r="J51" s="191">
        <f t="shared" ref="J51:W51" si="14">100*J52/Baulandwidmung</f>
        <v>24.081474550733528</v>
      </c>
      <c r="K51" s="191">
        <f t="shared" si="14"/>
        <v>22.351451848563585</v>
      </c>
      <c r="L51" s="191">
        <f t="shared" si="14"/>
        <v>22.245252077468852</v>
      </c>
      <c r="M51" s="191">
        <f t="shared" si="14"/>
        <v>20.416333882133433</v>
      </c>
      <c r="N51" s="191">
        <f t="shared" si="14"/>
        <v>24.435109463425963</v>
      </c>
      <c r="O51" s="191">
        <f t="shared" si="14"/>
        <v>21.489733353933907</v>
      </c>
      <c r="P51" s="191">
        <f t="shared" si="14"/>
        <v>21.555695246555072</v>
      </c>
      <c r="Q51" s="191">
        <f t="shared" si="14"/>
        <v>24.605509496357939</v>
      </c>
      <c r="R51" s="191">
        <f t="shared" si="14"/>
        <v>26.948502456734349</v>
      </c>
      <c r="S51" s="191">
        <f t="shared" si="14"/>
        <v>21.933427796498528</v>
      </c>
      <c r="T51" s="191">
        <f t="shared" si="14"/>
        <v>24.720112717323158</v>
      </c>
      <c r="U51" s="191">
        <f t="shared" si="14"/>
        <v>24.197357657706938</v>
      </c>
      <c r="V51" s="191">
        <f t="shared" si="14"/>
        <v>26.046623809741746</v>
      </c>
      <c r="W51" s="191">
        <f t="shared" si="14"/>
        <v>23.116934699149031</v>
      </c>
      <c r="X51" s="210"/>
      <c r="Y51" s="147"/>
      <c r="Z51" s="147"/>
      <c r="AA51" s="147"/>
    </row>
    <row r="52" spans="1:73" ht="19.5" customHeight="1" x14ac:dyDescent="0.3">
      <c r="G52" s="144"/>
      <c r="I52" s="152" t="str">
        <f>"in " &amp; Einheit</f>
        <v>in km²</v>
      </c>
      <c r="J52" s="191">
        <f>Fak_1*989.781934</f>
        <v>9.8978193399999999</v>
      </c>
      <c r="K52" s="191">
        <f>Fak_1*832.154682</f>
        <v>8.32154682</v>
      </c>
      <c r="L52" s="191">
        <f>Fak_1*1262.131113</f>
        <v>12.621311129999999</v>
      </c>
      <c r="M52" s="191">
        <f>Fak_1*1646.537597</f>
        <v>16.46537597</v>
      </c>
      <c r="N52" s="191">
        <f>Fak_1*1326.919623</f>
        <v>13.26919623</v>
      </c>
      <c r="O52" s="191">
        <f>Fak_1*1091.07913</f>
        <v>10.910791300000001</v>
      </c>
      <c r="P52" s="191">
        <f>Fak_1*536.025392</f>
        <v>5.3602539199999999</v>
      </c>
      <c r="Q52" s="191">
        <f>Fak_1*940.268197</f>
        <v>9.4026819699999997</v>
      </c>
      <c r="R52" s="191">
        <f>Fak_1*395.794933</f>
        <v>3.9579493300000004</v>
      </c>
      <c r="S52" s="191">
        <f>Fak_1*780.401403</f>
        <v>7.8040140299999994</v>
      </c>
      <c r="T52" s="191">
        <f>Fak_1*1302.422086</f>
        <v>13.02422086</v>
      </c>
      <c r="U52" s="191">
        <f>Fak_1*561.104748</f>
        <v>5.6110474799999999</v>
      </c>
      <c r="V52" s="191">
        <f>Fak_1*1114.87407</f>
        <v>11.148740700000001</v>
      </c>
      <c r="W52" s="191">
        <f>Fak_1*12779.494908</f>
        <v>127.79494908000001</v>
      </c>
      <c r="X52" s="210"/>
      <c r="Y52" s="147"/>
      <c r="Z52" s="147"/>
      <c r="AA52" s="147"/>
    </row>
    <row r="53" spans="1:73" ht="19.5" customHeight="1" x14ac:dyDescent="0.3">
      <c r="G53" s="144"/>
      <c r="I53" s="148"/>
      <c r="J53" s="285"/>
      <c r="K53" s="285"/>
      <c r="L53" s="285"/>
      <c r="M53" s="285"/>
      <c r="N53" s="285"/>
      <c r="O53" s="285"/>
      <c r="P53" s="285"/>
      <c r="Q53" s="285"/>
      <c r="R53" s="285"/>
      <c r="S53" s="285"/>
      <c r="T53" s="285"/>
      <c r="U53" s="285"/>
      <c r="V53" s="285"/>
      <c r="W53" s="285"/>
      <c r="X53" s="210"/>
      <c r="Y53" s="147"/>
      <c r="Z53" s="147"/>
      <c r="AA53" s="147"/>
    </row>
    <row r="54" spans="1:73" s="144" customFormat="1" ht="74.25" customHeight="1" x14ac:dyDescent="0.6">
      <c r="B54" s="227"/>
      <c r="C54" s="228"/>
      <c r="D54" s="229"/>
      <c r="E54" s="244" t="s">
        <v>7408</v>
      </c>
      <c r="F54" s="188"/>
      <c r="G54" s="187"/>
      <c r="H54" s="187"/>
    </row>
    <row r="55" spans="1:73"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"&amp;St!Einheit, IF(Versatz = 2, "in m² pro Einwohner:in", "in Prozent des Dauersiedlungsraums"))</f>
        <v>Flächeninanspruchnahme in km²</v>
      </c>
      <c r="J55" s="369"/>
      <c r="K55" s="369"/>
      <c r="L55" s="369"/>
      <c r="M55" s="369"/>
      <c r="N55" s="369"/>
      <c r="O55" s="369"/>
      <c r="P55" s="369"/>
      <c r="Q55" s="369"/>
      <c r="R55" s="369"/>
      <c r="S55" s="369"/>
      <c r="T55" s="369"/>
      <c r="U55" s="369"/>
      <c r="V55" s="369"/>
      <c r="W55" s="369"/>
      <c r="X55" s="369"/>
      <c r="Y55" s="369"/>
    </row>
    <row r="56" spans="1:73" x14ac:dyDescent="0.3">
      <c r="F56" s="181"/>
      <c r="G56" s="137"/>
      <c r="H56" s="178"/>
      <c r="I56" s="180"/>
      <c r="J56" s="137"/>
      <c r="K56" s="137"/>
      <c r="L56" s="137"/>
      <c r="M56" s="137"/>
      <c r="N56" s="137"/>
      <c r="O56" s="137"/>
      <c r="P56" s="137"/>
      <c r="Q56" s="137"/>
      <c r="R56" s="137"/>
      <c r="S56" s="137"/>
      <c r="T56" s="137"/>
      <c r="U56" s="137"/>
      <c r="V56" s="137"/>
      <c r="W56" s="137"/>
      <c r="X56" s="137"/>
      <c r="Y56" s="137"/>
      <c r="Z56" s="136"/>
    </row>
    <row r="57" spans="1:73" hidden="1" x14ac:dyDescent="0.3">
      <c r="F57" s="137"/>
      <c r="G57" s="137"/>
      <c r="H57" s="178" t="s">
        <v>7532</v>
      </c>
      <c r="I57" s="180"/>
      <c r="J57" s="137">
        <f t="shared" ref="J57:W57" si="15">IF(Versatz = 1, Fak_Einheit, IF(Versatz = 2, 10000/J59, 100*Fak_Einheit/J60))</f>
        <v>0.01</v>
      </c>
      <c r="K57" s="137">
        <f t="shared" si="15"/>
        <v>0.01</v>
      </c>
      <c r="L57" s="137">
        <f t="shared" si="15"/>
        <v>0.01</v>
      </c>
      <c r="M57" s="137">
        <f t="shared" si="15"/>
        <v>0.01</v>
      </c>
      <c r="N57" s="137">
        <f t="shared" si="15"/>
        <v>0.01</v>
      </c>
      <c r="O57" s="137">
        <f t="shared" si="15"/>
        <v>0.01</v>
      </c>
      <c r="P57" s="137">
        <f t="shared" si="15"/>
        <v>0.01</v>
      </c>
      <c r="Q57" s="137">
        <f t="shared" si="15"/>
        <v>0.01</v>
      </c>
      <c r="R57" s="137">
        <f t="shared" si="15"/>
        <v>0.01</v>
      </c>
      <c r="S57" s="137">
        <f t="shared" si="15"/>
        <v>0.01</v>
      </c>
      <c r="T57" s="137">
        <f t="shared" si="15"/>
        <v>0.01</v>
      </c>
      <c r="U57" s="137">
        <f t="shared" si="15"/>
        <v>0.01</v>
      </c>
      <c r="V57" s="137">
        <f t="shared" si="15"/>
        <v>0.01</v>
      </c>
      <c r="W57" s="137">
        <f t="shared" si="15"/>
        <v>0.01</v>
      </c>
      <c r="X57" s="137"/>
      <c r="Y57" s="137"/>
      <c r="Z57" s="136"/>
    </row>
    <row r="58" spans="1:73" hidden="1" x14ac:dyDescent="0.3">
      <c r="F58" s="137"/>
      <c r="G58" s="137"/>
      <c r="H58" s="178" t="s">
        <v>7531</v>
      </c>
      <c r="I58" s="180"/>
      <c r="J58" s="137">
        <v>1</v>
      </c>
      <c r="K58" s="137">
        <v>1</v>
      </c>
      <c r="L58" s="137">
        <v>1</v>
      </c>
      <c r="M58" s="137">
        <v>1</v>
      </c>
      <c r="N58" s="137">
        <v>1</v>
      </c>
      <c r="O58" s="137">
        <v>1</v>
      </c>
      <c r="P58" s="137">
        <v>1</v>
      </c>
      <c r="Q58" s="137">
        <v>1</v>
      </c>
      <c r="R58" s="137">
        <v>1</v>
      </c>
      <c r="S58" s="137">
        <v>1</v>
      </c>
      <c r="T58" s="137">
        <v>1</v>
      </c>
      <c r="U58" s="137">
        <v>1</v>
      </c>
      <c r="V58" s="137">
        <v>1</v>
      </c>
      <c r="W58" s="137">
        <v>1</v>
      </c>
      <c r="X58" s="137"/>
      <c r="Y58" s="137"/>
      <c r="Z58" s="136"/>
    </row>
    <row r="59" spans="1:73" x14ac:dyDescent="0.3">
      <c r="F59" s="149"/>
      <c r="G59" s="149"/>
      <c r="H59" s="192" t="s">
        <v>159</v>
      </c>
      <c r="I59" s="154"/>
      <c r="J59" s="193">
        <v>98242</v>
      </c>
      <c r="K59" s="193">
        <v>61037</v>
      </c>
      <c r="L59" s="193">
        <v>292630</v>
      </c>
      <c r="M59" s="193">
        <v>160412</v>
      </c>
      <c r="N59" s="193">
        <v>90924</v>
      </c>
      <c r="O59" s="193">
        <v>86195</v>
      </c>
      <c r="P59" s="193">
        <v>59131</v>
      </c>
      <c r="Q59" s="193">
        <v>79609</v>
      </c>
      <c r="R59" s="193">
        <v>27252</v>
      </c>
      <c r="S59" s="193">
        <v>71245</v>
      </c>
      <c r="T59" s="193">
        <v>83696</v>
      </c>
      <c r="U59" s="193">
        <v>51039</v>
      </c>
      <c r="V59" s="193">
        <v>91510</v>
      </c>
      <c r="W59" s="193">
        <v>1252922</v>
      </c>
      <c r="X59" s="194" t="s">
        <v>163</v>
      </c>
      <c r="Y59" s="194"/>
      <c r="Z59" s="195"/>
      <c r="AA59" s="147"/>
      <c r="AB59" s="147"/>
    </row>
    <row r="60" spans="1:73" x14ac:dyDescent="0.3">
      <c r="F60" s="150"/>
      <c r="G60" s="150"/>
      <c r="H60" s="192" t="s">
        <v>171</v>
      </c>
      <c r="I60" s="154"/>
      <c r="J60" s="193">
        <f>32625.6689470037*(+St!Fak_Einheit)</f>
        <v>326.25668947003703</v>
      </c>
      <c r="K60" s="193">
        <f>35532.9914751217*(+St!Fak_Einheit)</f>
        <v>355.32991475121702</v>
      </c>
      <c r="L60" s="193">
        <f>10505.3754649276*(+St!Fak_Einheit)</f>
        <v>105.053754649276</v>
      </c>
      <c r="M60" s="193">
        <f>52201.8252249344*(+St!Fak_Einheit)</f>
        <v>522.01825224934396</v>
      </c>
      <c r="N60" s="193">
        <f>69886.682342864*(+St!Fak_Einheit)</f>
        <v>698.86682342864003</v>
      </c>
      <c r="O60" s="193">
        <f>49262.9270468848*(+St!Fak_Einheit)</f>
        <v>492.62927046884801</v>
      </c>
      <c r="P60" s="193">
        <f>17491.9582855495*(+St!Fak_Einheit)</f>
        <v>174.91958285549501</v>
      </c>
      <c r="Q60" s="193">
        <f>44394.2787465518*(+St!Fak_Einheit)</f>
        <v>443.94278746551799</v>
      </c>
      <c r="R60" s="193">
        <f>28394.3106928324*(+St!Fak_Einheit)</f>
        <v>283.94310692832403</v>
      </c>
      <c r="S60" s="193">
        <f>37633.1627662371*(+St!Fak_Einheit)</f>
        <v>376.33162766237103</v>
      </c>
      <c r="T60" s="193">
        <f>67915.2108494293*(+St!Fak_Einheit)</f>
        <v>679.15210849429309</v>
      </c>
      <c r="U60" s="193">
        <f>24421.842975139*(+St!Fak_Einheit)</f>
        <v>244.21842975139</v>
      </c>
      <c r="V60" s="193">
        <f>52688.3522702494*(+St!Fak_Einheit)</f>
        <v>526.88352270249402</v>
      </c>
      <c r="W60" s="193">
        <v>522954.58708772459</v>
      </c>
      <c r="X60" s="194" t="str">
        <f t="shared" ref="X60" si="16">Einheit</f>
        <v>km²</v>
      </c>
      <c r="Y60" s="194"/>
      <c r="Z60" s="195"/>
      <c r="AA60" s="147"/>
      <c r="AB60" s="147"/>
    </row>
    <row r="61" spans="1:73" x14ac:dyDescent="0.3">
      <c r="F61" s="150"/>
      <c r="G61" s="150"/>
      <c r="H61" s="192"/>
      <c r="I61" s="154"/>
      <c r="J61" s="193"/>
      <c r="K61" s="193"/>
      <c r="L61" s="193"/>
      <c r="M61" s="193"/>
      <c r="N61" s="193"/>
      <c r="O61" s="193"/>
      <c r="P61" s="193"/>
      <c r="Q61" s="193"/>
      <c r="R61" s="193"/>
      <c r="S61" s="193"/>
      <c r="T61" s="193"/>
      <c r="U61" s="193"/>
      <c r="V61" s="193"/>
      <c r="W61" s="193"/>
      <c r="X61" s="194"/>
      <c r="Y61" s="194"/>
      <c r="Z61" s="195"/>
      <c r="AA61" s="147"/>
      <c r="AB61" s="147"/>
    </row>
    <row r="62" spans="1:73" s="144" customFormat="1" ht="112.5" customHeight="1" x14ac:dyDescent="0.4">
      <c r="B62" s="227"/>
      <c r="C62" s="228"/>
      <c r="D62" s="229"/>
      <c r="E62" s="131"/>
      <c r="F62" s="210"/>
      <c r="G62" s="196"/>
      <c r="H62" s="210"/>
      <c r="I62" s="148"/>
      <c r="J62" s="278" t="str">
        <f t="shared" ref="J62:W62" si="17">+J24</f>
        <v>Bruck-Mürzzuschlag</v>
      </c>
      <c r="K62" s="278" t="str">
        <f t="shared" si="17"/>
        <v>Deutschlandsberg</v>
      </c>
      <c r="L62" s="278" t="str">
        <f t="shared" si="17"/>
        <v>Graz(Stadt)</v>
      </c>
      <c r="M62" s="278" t="str">
        <f t="shared" si="17"/>
        <v>Graz-Umgebung</v>
      </c>
      <c r="N62" s="278" t="str">
        <f t="shared" si="17"/>
        <v>Hartberg-Fürstenfeld</v>
      </c>
      <c r="O62" s="278" t="str">
        <f t="shared" si="17"/>
        <v>Leibnitz</v>
      </c>
      <c r="P62" s="278" t="str">
        <f t="shared" si="17"/>
        <v>Leoben</v>
      </c>
      <c r="Q62" s="278" t="str">
        <f t="shared" si="17"/>
        <v>Liezen</v>
      </c>
      <c r="R62" s="278" t="str">
        <f t="shared" si="17"/>
        <v>Murau</v>
      </c>
      <c r="S62" s="278" t="str">
        <f t="shared" si="17"/>
        <v>Murtal</v>
      </c>
      <c r="T62" s="278" t="str">
        <f t="shared" si="17"/>
        <v>Südoststeiermark</v>
      </c>
      <c r="U62" s="278" t="str">
        <f t="shared" si="17"/>
        <v>Voitsberg</v>
      </c>
      <c r="V62" s="278" t="str">
        <f t="shared" si="17"/>
        <v>Weiz</v>
      </c>
      <c r="W62" s="279" t="str">
        <f t="shared" si="17"/>
        <v>St</v>
      </c>
      <c r="X62" s="211"/>
      <c r="Y62" s="210"/>
      <c r="Z62" s="210"/>
      <c r="AA62" s="210"/>
      <c r="AB62" s="210"/>
    </row>
    <row r="63" spans="1:73" s="144" customFormat="1" ht="24" customHeight="1" x14ac:dyDescent="0.25">
      <c r="B63" s="227"/>
      <c r="C63" s="228"/>
      <c r="D63" s="229"/>
      <c r="E63" s="131"/>
      <c r="F63" s="198" t="s">
        <v>25</v>
      </c>
      <c r="G63" s="196">
        <v>101</v>
      </c>
      <c r="H63" s="148" t="str">
        <f>+VLOOKUP($G63,Konstanten!$A$2:$B$15,2,FALSE)</f>
        <v>Autobahn u. Schnellstraße</v>
      </c>
      <c r="I63" s="148"/>
      <c r="J63" s="267">
        <f>Fak_3*264.110945255932</f>
        <v>2.6411094525593199</v>
      </c>
      <c r="K63" s="267">
        <f>Fak_3*10.9765932936719</f>
        <v>0.109765932936719</v>
      </c>
      <c r="L63" s="267">
        <f>Fak_3*44.2299726770719</f>
        <v>0.44229972677071899</v>
      </c>
      <c r="M63" s="267">
        <f>Fak_3*457.171791483961</f>
        <v>4.5717179148396099</v>
      </c>
      <c r="N63" s="267">
        <f>Fak_3*248.8853332617</f>
        <v>2.4888533326169999</v>
      </c>
      <c r="O63" s="267">
        <f>Fak_3*175.521044055695</f>
        <v>1.75521044055695</v>
      </c>
      <c r="P63" s="267">
        <f>Fak_3*274.805289937019</f>
        <v>2.7480528993701898</v>
      </c>
      <c r="Q63" s="267">
        <f>Fak_3*136.941437169111</f>
        <v>1.36941437169111</v>
      </c>
      <c r="R63" s="267">
        <f>Fak_3*0</f>
        <v>0</v>
      </c>
      <c r="S63" s="267">
        <f>Fak_3*447.414266543749</f>
        <v>4.4741426654374905</v>
      </c>
      <c r="T63" s="267">
        <f>Fak_3*0</f>
        <v>0</v>
      </c>
      <c r="U63" s="267">
        <f>Fak_3*118.152683082896</f>
        <v>1.1815268308289602</v>
      </c>
      <c r="V63" s="267">
        <f>Fak_3*101.39808093381</f>
        <v>1.0139808093381</v>
      </c>
      <c r="W63" s="267">
        <f>Fak_3*2279.60743769462</f>
        <v>22.796074376946198</v>
      </c>
      <c r="X63" s="213"/>
      <c r="Y63" s="220">
        <f t="shared" ref="Y63:Y76" si="18">+BH63/BG63</f>
        <v>0.62529156358129656</v>
      </c>
      <c r="Z63" s="367" t="s">
        <v>7527</v>
      </c>
      <c r="AB63" s="210"/>
      <c r="BG63" s="144">
        <v>110.40250823890199</v>
      </c>
      <c r="BH63" s="144">
        <v>69.033756999999994</v>
      </c>
      <c r="BI63" s="144">
        <f>+BG63-BH63</f>
        <v>41.368751238901993</v>
      </c>
      <c r="BT63" s="214"/>
      <c r="BU63" s="214"/>
    </row>
    <row r="64" spans="1:73" s="144" customFormat="1" ht="24" customHeight="1" x14ac:dyDescent="0.25">
      <c r="B64" s="227"/>
      <c r="C64" s="228"/>
      <c r="D64" s="229"/>
      <c r="E64" s="131"/>
      <c r="F64" s="198"/>
      <c r="G64" s="196">
        <v>102</v>
      </c>
      <c r="H64" s="148" t="str">
        <f>+VLOOKUP($G64,Konstanten!$A$2:$B$15,2,FALSE)</f>
        <v>Landesstraße B + L</v>
      </c>
      <c r="I64" s="148"/>
      <c r="J64" s="267">
        <f>Fak_3*565.571036024611</f>
        <v>5.6557103602461103</v>
      </c>
      <c r="K64" s="267">
        <f>Fak_3*438.909352692501</f>
        <v>4.3890935269250102</v>
      </c>
      <c r="L64" s="267">
        <f>Fak_3*159.871649525107</f>
        <v>1.59871649525107</v>
      </c>
      <c r="M64" s="267">
        <f>Fak_3*541.657102861958</f>
        <v>5.4165710286195807</v>
      </c>
      <c r="N64" s="267">
        <f>Fak_3*698.133627499748</f>
        <v>6.9813362749974797</v>
      </c>
      <c r="O64" s="267">
        <f>Fak_3*515.550937408275</f>
        <v>5.15550937408275</v>
      </c>
      <c r="P64" s="267">
        <f>Fak_3*210.041564228417</f>
        <v>2.1004156422841702</v>
      </c>
      <c r="Q64" s="267">
        <f>Fak_3*768.853873003792</f>
        <v>7.6885387300379202</v>
      </c>
      <c r="R64" s="267">
        <f>Fak_3*366.159438028052</f>
        <v>3.6615943802805204</v>
      </c>
      <c r="S64" s="267">
        <f>Fak_3*413.635428433881</f>
        <v>4.1363542843388101</v>
      </c>
      <c r="T64" s="267">
        <f>Fak_3*793.177425956852</f>
        <v>7.9317742595685194</v>
      </c>
      <c r="U64" s="267">
        <f>Fak_3*229.0013126146</f>
        <v>2.2900131261459999</v>
      </c>
      <c r="V64" s="267">
        <f>Fak_3*538.701764748178</f>
        <v>5.3870176474817804</v>
      </c>
      <c r="W64" s="267">
        <f>Fak_3*6239.26451302597</f>
        <v>62.392645130259702</v>
      </c>
      <c r="X64" s="213"/>
      <c r="Y64" s="220">
        <f t="shared" si="18"/>
        <v>0.74842676287368548</v>
      </c>
      <c r="Z64" s="367"/>
      <c r="AB64" s="210"/>
      <c r="BG64" s="144">
        <v>429.83434045676199</v>
      </c>
      <c r="BH64" s="144">
        <v>321.699524</v>
      </c>
      <c r="BI64" s="144">
        <f t="shared" ref="BI64:BI76" si="19">+BG64-BH64</f>
        <v>108.134816456762</v>
      </c>
      <c r="BT64" s="214"/>
      <c r="BU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Fak_3*1208.05336495821</f>
        <v>12.080533649582101</v>
      </c>
      <c r="K65" s="267">
        <f>Fak_3*1163.14808044551</f>
        <v>11.6314808044551</v>
      </c>
      <c r="L65" s="267">
        <f>Fak_3*912.296052762211</f>
        <v>9.1229605276221104</v>
      </c>
      <c r="M65" s="267">
        <f>Fak_3*1930.06707918327</f>
        <v>19.300670791832701</v>
      </c>
      <c r="N65" s="267">
        <f>Fak_3*2047.63554862118</f>
        <v>20.476355486211801</v>
      </c>
      <c r="O65" s="267">
        <f>Fak_3*1570.18248033955</f>
        <v>15.7018248033955</v>
      </c>
      <c r="P65" s="267">
        <f>Fak_3*637.755855324833</f>
        <v>6.3775585532483294</v>
      </c>
      <c r="Q65" s="267">
        <f>Fak_3*1312.82674857232</f>
        <v>13.1282674857232</v>
      </c>
      <c r="R65" s="267">
        <f>Fak_3*697.563423899066</f>
        <v>6.9756342389906605</v>
      </c>
      <c r="S65" s="267">
        <f>Fak_3*1002.96587673008</f>
        <v>10.0296587673008</v>
      </c>
      <c r="T65" s="267">
        <f>Fak_3*1931.52457277065</f>
        <v>19.3152457277065</v>
      </c>
      <c r="U65" s="267">
        <f>Fak_3*817.736557314727</f>
        <v>8.1773655731472701</v>
      </c>
      <c r="V65" s="267">
        <f>Fak_3*1607.23223354989</f>
        <v>16.0723223354989</v>
      </c>
      <c r="W65" s="267">
        <f>Fak_3*16838.9878744715</f>
        <v>168.38987874471499</v>
      </c>
      <c r="X65" s="213"/>
      <c r="Y65" s="220">
        <f t="shared" si="18"/>
        <v>0.77800703868448506</v>
      </c>
      <c r="Z65" s="367"/>
      <c r="AB65" s="210"/>
      <c r="BG65" s="144">
        <v>1051.88642686803</v>
      </c>
      <c r="BH65" s="144">
        <v>818.37504400000012</v>
      </c>
      <c r="BI65" s="144">
        <f t="shared" si="19"/>
        <v>233.51138286802984</v>
      </c>
      <c r="BT65" s="214"/>
      <c r="BU65" s="214"/>
    </row>
    <row r="66" spans="2:128" s="144" customFormat="1" ht="24" customHeight="1" x14ac:dyDescent="0.25">
      <c r="B66" s="227"/>
      <c r="C66" s="228"/>
      <c r="D66" s="229"/>
      <c r="E66" s="131"/>
      <c r="F66" s="198"/>
      <c r="G66" s="196">
        <v>104</v>
      </c>
      <c r="H66" s="148" t="str">
        <f>+VLOOKUP($G66,Konstanten!$A$2:$B$15,2,FALSE)</f>
        <v>Schiene</v>
      </c>
      <c r="I66" s="148"/>
      <c r="J66" s="267">
        <f>Fak_3*249.037737159014</f>
        <v>2.4903773715901401</v>
      </c>
      <c r="K66" s="267">
        <f>Fak_3*128.500620819384</f>
        <v>1.28500620819384</v>
      </c>
      <c r="L66" s="267">
        <f>Fak_3*116.585530848586</f>
        <v>1.1658553084858601</v>
      </c>
      <c r="M66" s="267">
        <f>Fak_3*180.909719570539</f>
        <v>1.8090971957053901</v>
      </c>
      <c r="N66" s="267">
        <f>Fak_3*127.876019711547</f>
        <v>1.2787601971154701</v>
      </c>
      <c r="O66" s="267">
        <f>Fak_3*105.655355316113</f>
        <v>1.0565535531611301</v>
      </c>
      <c r="P66" s="267">
        <f>Fak_3*228.054430936334</f>
        <v>2.2805443093633402</v>
      </c>
      <c r="Q66" s="267">
        <f>Fak_3*371.804978150345</f>
        <v>3.7180497815034501</v>
      </c>
      <c r="R66" s="267">
        <f>Fak_3*109.537316958271</f>
        <v>1.09537316958271</v>
      </c>
      <c r="S66" s="267">
        <f>Fak_3*186.654279150009</f>
        <v>1.8665427915000898</v>
      </c>
      <c r="T66" s="267">
        <f>Fak_3*128.314266392033</f>
        <v>1.2831426639203301</v>
      </c>
      <c r="U66" s="267">
        <f>Fak_3*39.9698501723533</f>
        <v>0.399698501723533</v>
      </c>
      <c r="V66" s="267">
        <f>Fak_3*87.2914115414435</f>
        <v>0.87291411541443498</v>
      </c>
      <c r="W66" s="267">
        <f>Fak_3*2060.19151672597</f>
        <v>20.601915167259701</v>
      </c>
      <c r="X66" s="213"/>
      <c r="Y66" s="220">
        <f t="shared" si="18"/>
        <v>0.50588581842325953</v>
      </c>
      <c r="Z66" s="367"/>
      <c r="AB66" s="210"/>
      <c r="BG66" s="144">
        <v>127.56757285891301</v>
      </c>
      <c r="BH66" s="144">
        <v>64.534626000000003</v>
      </c>
      <c r="BI66" s="144">
        <f t="shared" si="19"/>
        <v>63.032946858913007</v>
      </c>
      <c r="BT66" s="214"/>
      <c r="BU66" s="214"/>
    </row>
    <row r="67" spans="2:128" s="144" customFormat="1" ht="24" customHeight="1" x14ac:dyDescent="0.25">
      <c r="B67" s="227"/>
      <c r="C67" s="228"/>
      <c r="D67" s="229"/>
      <c r="E67" s="131"/>
      <c r="F67" s="200"/>
      <c r="G67" s="215"/>
      <c r="H67" s="216"/>
      <c r="I67" s="217" t="s">
        <v>7535</v>
      </c>
      <c r="J67" s="268">
        <f>Fak_3*2286.77308339777</f>
        <v>22.867730833977699</v>
      </c>
      <c r="K67" s="268">
        <f>Fak_3*1741.53464725107</f>
        <v>17.415346472510702</v>
      </c>
      <c r="L67" s="268">
        <f>Fak_3*1232.98320581298</f>
        <v>12.329832058129801</v>
      </c>
      <c r="M67" s="268">
        <f>Fak_3*3109.80569309973</f>
        <v>31.098056930997302</v>
      </c>
      <c r="N67" s="268">
        <f>Fak_3*3122.53052909418</f>
        <v>31.225305290941801</v>
      </c>
      <c r="O67" s="268">
        <f>Fak_3*2366.90981711964</f>
        <v>23.669098171196403</v>
      </c>
      <c r="P67" s="268">
        <f>Fak_3*1350.6571404266</f>
        <v>13.506571404266001</v>
      </c>
      <c r="Q67" s="268">
        <f>Fak_3*2590.42703689557</f>
        <v>25.9042703689557</v>
      </c>
      <c r="R67" s="268">
        <f>Fak_3*1173.26017888539</f>
        <v>11.732601788853898</v>
      </c>
      <c r="S67" s="268">
        <f>Fak_3*2050.66985085772</f>
        <v>20.506698508577202</v>
      </c>
      <c r="T67" s="268">
        <f>Fak_3*2853.01626511953</f>
        <v>28.530162651195301</v>
      </c>
      <c r="U67" s="268">
        <f>Fak_3*1204.86040318458</f>
        <v>12.0486040318458</v>
      </c>
      <c r="V67" s="268">
        <f>Fak_3*2334.62349077332</f>
        <v>23.346234907733201</v>
      </c>
      <c r="W67" s="268">
        <f>Fak_3*27418.0513419181</f>
        <v>274.18051341918101</v>
      </c>
      <c r="X67" s="213"/>
      <c r="Y67" s="220">
        <f t="shared" si="18"/>
        <v>0.7406232068794526</v>
      </c>
      <c r="Z67" s="367"/>
      <c r="AB67" s="210"/>
      <c r="BG67" s="144">
        <v>1719.6908484226101</v>
      </c>
      <c r="BH67" s="144">
        <v>1273.642951</v>
      </c>
      <c r="BI67" s="144">
        <f t="shared" si="19"/>
        <v>446.04789742261005</v>
      </c>
      <c r="BT67" s="214"/>
      <c r="BU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Fak_3*2399.05117802693</f>
        <v>23.990511780269298</v>
      </c>
      <c r="K68" s="267">
        <f>Fak_3*1589.91094801096</f>
        <v>15.899109480109601</v>
      </c>
      <c r="L68" s="267">
        <f>Fak_3*4066.59285383804</f>
        <v>40.665928538380399</v>
      </c>
      <c r="M68" s="267">
        <f>Fak_3*4565.25757264227</f>
        <v>45.652575726422704</v>
      </c>
      <c r="N68" s="267">
        <f>Fak_3*2075.75547597325</f>
        <v>20.757554759732503</v>
      </c>
      <c r="O68" s="267">
        <f>Fak_3*1893.65509354433</f>
        <v>18.9365509354433</v>
      </c>
      <c r="P68" s="267">
        <f>Fak_3*1240.41757327038</f>
        <v>12.4041757327038</v>
      </c>
      <c r="Q68" s="267">
        <f>Fak_3*1943.49684241681</f>
        <v>19.434968424168101</v>
      </c>
      <c r="R68" s="267">
        <f>Fak_3*664.097480910865</f>
        <v>6.6409748091086502</v>
      </c>
      <c r="S68" s="267">
        <f>Fak_3*1615.26306264802</f>
        <v>16.1526306264802</v>
      </c>
      <c r="T68" s="267">
        <f>Fak_3*1915.94333473791</f>
        <v>19.1594333473791</v>
      </c>
      <c r="U68" s="267">
        <f>Fak_3*1417.40894957894</f>
        <v>14.174089495789401</v>
      </c>
      <c r="V68" s="267">
        <f>Fak_3*1940.37834287366</f>
        <v>19.403783428736599</v>
      </c>
      <c r="W68" s="267">
        <f>Fak_3*27327.2287084724</f>
        <v>273.27228708472404</v>
      </c>
      <c r="X68" s="213"/>
      <c r="Y68" s="220">
        <f t="shared" si="18"/>
        <v>0.39295521959753704</v>
      </c>
      <c r="Z68" s="367"/>
      <c r="AB68" s="210"/>
      <c r="BG68" s="144">
        <v>1112.6431516746302</v>
      </c>
      <c r="BH68" s="144">
        <v>437.21893399999999</v>
      </c>
      <c r="BI68" s="144">
        <f t="shared" si="19"/>
        <v>675.4242176746302</v>
      </c>
      <c r="BT68" s="214"/>
      <c r="BU68" s="214"/>
    </row>
    <row r="69" spans="2:128" s="144" customFormat="1" ht="24" customHeight="1" x14ac:dyDescent="0.25">
      <c r="B69" s="227"/>
      <c r="C69" s="228"/>
      <c r="D69" s="229"/>
      <c r="E69" s="131"/>
      <c r="F69" s="198"/>
      <c r="G69" s="197">
        <v>212</v>
      </c>
      <c r="H69" s="148" t="str">
        <f>+VLOOKUP($G69,Konstanten!$A$2:$B$15,2,FALSE)</f>
        <v>gemischte bauliche Nutzung</v>
      </c>
      <c r="I69" s="148"/>
      <c r="J69" s="267">
        <f>Fak_3*508.795913153778</f>
        <v>5.0879591315377795</v>
      </c>
      <c r="K69" s="267">
        <f>Fak_3*1096.16361343926</f>
        <v>10.961636134392601</v>
      </c>
      <c r="L69" s="267">
        <f>Fak_3*619.035421257971</f>
        <v>6.1903542125797104</v>
      </c>
      <c r="M69" s="267">
        <f>Fak_3*1407.90294876852</f>
        <v>14.079029487685201</v>
      </c>
      <c r="N69" s="267">
        <f>Fak_3*1665.85178823814</f>
        <v>16.6585178823814</v>
      </c>
      <c r="O69" s="267">
        <f>Fak_3*1705.3928660458</f>
        <v>17.053928660458002</v>
      </c>
      <c r="P69" s="267">
        <f>Fak_3*370.329615995173</f>
        <v>3.70329615995173</v>
      </c>
      <c r="Q69" s="267">
        <f>Fak_3*625.78754355564</f>
        <v>6.2578754355564001</v>
      </c>
      <c r="R69" s="267">
        <f>Fak_3*335.541910607667</f>
        <v>3.35541910607667</v>
      </c>
      <c r="S69" s="267">
        <f>Fak_3*562.874275693052</f>
        <v>5.62874275693052</v>
      </c>
      <c r="T69" s="267">
        <f>Fak_3*1915.46883004161</f>
        <v>19.154688300416101</v>
      </c>
      <c r="U69" s="267">
        <f>Fak_3*358.350418008797</f>
        <v>3.5835041800879703</v>
      </c>
      <c r="V69" s="267">
        <f>Fak_3*1005.46300686186</f>
        <v>10.0546300686186</v>
      </c>
      <c r="W69" s="267">
        <f>Fak_3*12176.9581516673</f>
        <v>121.76958151667301</v>
      </c>
      <c r="X69" s="213"/>
      <c r="Y69" s="220">
        <f t="shared" si="18"/>
        <v>0.47014924161630484</v>
      </c>
      <c r="Z69" s="367"/>
      <c r="AB69" s="210"/>
      <c r="BG69" s="144">
        <v>1091.9388516614299</v>
      </c>
      <c r="BH69" s="144">
        <v>513.37422300000003</v>
      </c>
      <c r="BI69" s="144">
        <f t="shared" si="19"/>
        <v>578.56462866142988</v>
      </c>
      <c r="BT69" s="214"/>
      <c r="BU69" s="214"/>
    </row>
    <row r="70" spans="2:128" s="144" customFormat="1" ht="24" customHeight="1" x14ac:dyDescent="0.25">
      <c r="B70" s="227"/>
      <c r="C70" s="228"/>
      <c r="D70" s="229"/>
      <c r="E70" s="131"/>
      <c r="F70" s="198"/>
      <c r="G70" s="197">
        <v>213</v>
      </c>
      <c r="H70" s="148" t="str">
        <f>+VLOOKUP($G70,Konstanten!$A$2:$B$15,2,FALSE)</f>
        <v>betriebliche Nutzung</v>
      </c>
      <c r="I70" s="148"/>
      <c r="J70" s="267">
        <f>Fak_3*797.662696209943</f>
        <v>7.9766269620994299</v>
      </c>
      <c r="K70" s="267">
        <f>Fak_3*480.492946511289</f>
        <v>4.80492946511289</v>
      </c>
      <c r="L70" s="267">
        <f>Fak_3*781.307046387136</f>
        <v>7.8130704638713597</v>
      </c>
      <c r="M70" s="267">
        <f>Fak_3*1177.06158508585</f>
        <v>11.770615850858501</v>
      </c>
      <c r="N70" s="267">
        <f>Fak_3*755.987826849413</f>
        <v>7.5598782684941295</v>
      </c>
      <c r="O70" s="267">
        <f>Fak_3*578.923748592678</f>
        <v>5.7892374859267797</v>
      </c>
      <c r="P70" s="267">
        <f>Fak_3*552.673572566251</f>
        <v>5.52673572566251</v>
      </c>
      <c r="Q70" s="267">
        <f>Fak_3*611.493615459308</f>
        <v>6.1149361545930798</v>
      </c>
      <c r="R70" s="267">
        <f>Fak_3*196.35010710576</f>
        <v>1.9635010710576</v>
      </c>
      <c r="S70" s="267">
        <f>Fak_3*652.971921239385</f>
        <v>6.5297192123938501</v>
      </c>
      <c r="T70" s="267">
        <f>Fak_3*561.97531790596</f>
        <v>5.6197531790595994</v>
      </c>
      <c r="U70" s="267">
        <f>Fak_3*327.408032989126</f>
        <v>3.2740803298912602</v>
      </c>
      <c r="V70" s="267">
        <f>Fak_3*678.869270809827</f>
        <v>6.78869270809827</v>
      </c>
      <c r="W70" s="267">
        <f>Fak_3*8153.17768771192</f>
        <v>81.531776877119199</v>
      </c>
      <c r="X70" s="213"/>
      <c r="Y70" s="220">
        <f t="shared" si="18"/>
        <v>0.67934740484148592</v>
      </c>
      <c r="Z70" s="367"/>
      <c r="AB70" s="210"/>
      <c r="BG70" s="144">
        <v>435.91739350075102</v>
      </c>
      <c r="BH70" s="144">
        <v>296.13935000000004</v>
      </c>
      <c r="BI70" s="144">
        <f t="shared" si="19"/>
        <v>139.77804350075098</v>
      </c>
      <c r="BT70" s="214"/>
      <c r="BU70" s="214"/>
    </row>
    <row r="71" spans="2:128" s="144" customFormat="1" ht="24" customHeight="1" x14ac:dyDescent="0.25">
      <c r="B71" s="227"/>
      <c r="C71" s="228"/>
      <c r="D71" s="229"/>
      <c r="E71" s="131"/>
      <c r="F71" s="198"/>
      <c r="G71" s="197">
        <v>214</v>
      </c>
      <c r="H71" s="148" t="str">
        <f>+VLOOKUP($G71,Konstanten!$A$2:$B$15,2,FALSE)</f>
        <v>sonstige bauliche Nutzung</v>
      </c>
      <c r="I71" s="148"/>
      <c r="J71" s="267">
        <f>Fak_3*0</f>
        <v>0</v>
      </c>
      <c r="K71" s="267">
        <f>Fak_3*1.7091103072385</f>
        <v>1.7091103072385001E-2</v>
      </c>
      <c r="L71" s="267">
        <f>Fak_3*1.17159420444058</f>
        <v>1.17159420444058E-2</v>
      </c>
      <c r="M71" s="267">
        <f>Fak_3*37.426948673829</f>
        <v>0.37426948673829002</v>
      </c>
      <c r="N71" s="267">
        <f>Fak_3*19.9036142158559</f>
        <v>0.199036142158559</v>
      </c>
      <c r="O71" s="267">
        <f>Fak_3*0</f>
        <v>0</v>
      </c>
      <c r="P71" s="267">
        <f>Fak_3*0</f>
        <v>0</v>
      </c>
      <c r="Q71" s="267">
        <f>Fak_3*11.1449657938098</f>
        <v>0.111449657938098</v>
      </c>
      <c r="R71" s="267">
        <f>Fak_3*1.54819722751525</f>
        <v>1.54819722751525E-2</v>
      </c>
      <c r="S71" s="267">
        <f>Fak_3*0.296417655006798</f>
        <v>2.9641765500679801E-3</v>
      </c>
      <c r="T71" s="267">
        <f>Fak_3*15.3164078097366</f>
        <v>0.15316407809736599</v>
      </c>
      <c r="U71" s="267">
        <f>Fak_3*0</f>
        <v>0</v>
      </c>
      <c r="V71" s="267">
        <f>Fak_3*0</f>
        <v>0</v>
      </c>
      <c r="W71" s="267">
        <f>Fak_3*88.5172558874323</f>
        <v>0.885172558874323</v>
      </c>
      <c r="X71" s="213"/>
      <c r="Y71" s="220">
        <f t="shared" si="18"/>
        <v>0.49709310254569294</v>
      </c>
      <c r="Z71" s="367"/>
      <c r="AB71" s="210"/>
      <c r="BG71" s="144">
        <v>153.25834860683301</v>
      </c>
      <c r="BH71" s="144">
        <v>76.183667999999997</v>
      </c>
      <c r="BI71" s="144">
        <f t="shared" si="19"/>
        <v>77.074680606833013</v>
      </c>
      <c r="BT71" s="214"/>
      <c r="BU71" s="214"/>
    </row>
    <row r="72" spans="2:128" s="144" customFormat="1" ht="24" customHeight="1" x14ac:dyDescent="0.25">
      <c r="B72" s="227"/>
      <c r="C72" s="228"/>
      <c r="D72" s="229"/>
      <c r="E72" s="131"/>
      <c r="F72" s="200"/>
      <c r="G72" s="215"/>
      <c r="H72" s="216"/>
      <c r="I72" s="217" t="s">
        <v>7536</v>
      </c>
      <c r="J72" s="268">
        <f>Fak_3*3705.50978739065</f>
        <v>37.055097873906504</v>
      </c>
      <c r="K72" s="268">
        <f>Fak_3*3168.27661826875</f>
        <v>31.682766182687502</v>
      </c>
      <c r="L72" s="268">
        <f>Fak_3*5468.10691568759</f>
        <v>54.6810691568759</v>
      </c>
      <c r="M72" s="268">
        <f>Fak_3*7187.64905517047</f>
        <v>71.876490551704705</v>
      </c>
      <c r="N72" s="268">
        <f>Fak_3*4517.49870527665</f>
        <v>45.174987052766504</v>
      </c>
      <c r="O72" s="268">
        <f>Fak_3*4177.97170818281</f>
        <v>41.779717081828103</v>
      </c>
      <c r="P72" s="268">
        <f>Fak_3*2163.4207618318</f>
        <v>21.634207618318001</v>
      </c>
      <c r="Q72" s="268">
        <f>Fak_3*3191.92296722557</f>
        <v>31.919229672255703</v>
      </c>
      <c r="R72" s="268">
        <f>Fak_3*1197.53769585181</f>
        <v>11.975376958518099</v>
      </c>
      <c r="S72" s="268">
        <f>Fak_3*2831.40567723547</f>
        <v>28.314056772354704</v>
      </c>
      <c r="T72" s="268">
        <f>Fak_3*4408.70389049521</f>
        <v>44.087038904952095</v>
      </c>
      <c r="U72" s="268">
        <f>Fak_3*2103.16740057687</f>
        <v>21.0316740057687</v>
      </c>
      <c r="V72" s="268">
        <f>Fak_3*3624.71062054535</f>
        <v>36.247106205453505</v>
      </c>
      <c r="W72" s="268">
        <f>Fak_3*47745.881803739</f>
        <v>477.45881803739002</v>
      </c>
      <c r="X72" s="213"/>
      <c r="Y72" s="220">
        <f t="shared" si="18"/>
        <v>0.47352572969419021</v>
      </c>
      <c r="Z72" s="367"/>
      <c r="AB72" s="210"/>
      <c r="BG72" s="144">
        <v>2793.75774544365</v>
      </c>
      <c r="BH72" s="144">
        <v>1322.9161750000001</v>
      </c>
      <c r="BI72" s="144">
        <f t="shared" si="19"/>
        <v>1470.84157044365</v>
      </c>
      <c r="BT72" s="214"/>
      <c r="BU72" s="214"/>
    </row>
    <row r="73" spans="2:128" s="144" customFormat="1" ht="24" customHeight="1" x14ac:dyDescent="0.25">
      <c r="B73" s="227"/>
      <c r="C73" s="228"/>
      <c r="D73" s="229"/>
      <c r="E73" s="131"/>
      <c r="F73" s="200" t="s">
        <v>7409</v>
      </c>
      <c r="G73" s="215"/>
      <c r="H73" s="216"/>
      <c r="I73" s="217" t="s">
        <v>7537</v>
      </c>
      <c r="J73" s="268">
        <f>Fak_3*1172.85091522232</f>
        <v>11.7285091522232</v>
      </c>
      <c r="K73" s="268">
        <f>Fak_3*1364.47448394793</f>
        <v>13.6447448394793</v>
      </c>
      <c r="L73" s="268">
        <f>Fak_3*249.908499737014</f>
        <v>2.4990849973701401</v>
      </c>
      <c r="M73" s="268">
        <f>Fak_3*1912.93408774444</f>
        <v>19.129340877444399</v>
      </c>
      <c r="N73" s="268">
        <f>Fak_3*2421.87852678012</f>
        <v>24.218785267801199</v>
      </c>
      <c r="O73" s="268">
        <f>Fak_3*1710.78168524023</f>
        <v>17.107816852402301</v>
      </c>
      <c r="P73" s="268">
        <f>Fak_3*484.732462174714</f>
        <v>4.8473246217471404</v>
      </c>
      <c r="Q73" s="268">
        <f>Fak_3*1420.05603748341</f>
        <v>14.200560374834099</v>
      </c>
      <c r="R73" s="268">
        <f>Fak_3*761.774990080763</f>
        <v>7.6177499008076301</v>
      </c>
      <c r="S73" s="268">
        <f>Fak_3*983.168313205776</f>
        <v>9.8316831320577602</v>
      </c>
      <c r="T73" s="268">
        <f>Fak_3*2491.42221619197</f>
        <v>24.914222161919703</v>
      </c>
      <c r="U73" s="268">
        <f>Fak_3*898.631896791855</f>
        <v>8.9863189679185496</v>
      </c>
      <c r="V73" s="268">
        <f>Fak_3*1921.78958909062</f>
        <v>19.217895890906199</v>
      </c>
      <c r="W73" s="268">
        <f>Fak_3*17794.4037036912</f>
        <v>177.94403703691202</v>
      </c>
      <c r="X73" s="213"/>
      <c r="Y73" s="220">
        <f t="shared" si="18"/>
        <v>0.44779624681110691</v>
      </c>
      <c r="Z73" s="367"/>
      <c r="AB73" s="210"/>
      <c r="BG73" s="144">
        <v>659.18180668565299</v>
      </c>
      <c r="BH73" s="144">
        <v>295.17913900000002</v>
      </c>
      <c r="BI73" s="144">
        <f t="shared" si="19"/>
        <v>364.00266768565297</v>
      </c>
      <c r="BT73" s="214"/>
      <c r="BU73" s="214"/>
      <c r="DV73" s="330"/>
      <c r="DW73" s="330"/>
      <c r="DX73" s="330"/>
    </row>
    <row r="74" spans="2:128" s="144" customFormat="1" ht="24" customHeight="1" x14ac:dyDescent="0.25">
      <c r="B74" s="227"/>
      <c r="C74" s="228"/>
      <c r="D74" s="229"/>
      <c r="E74" s="131"/>
      <c r="F74" s="321" t="s">
        <v>7549</v>
      </c>
      <c r="G74" s="199"/>
      <c r="H74" s="200"/>
      <c r="I74" s="217" t="s">
        <v>7538</v>
      </c>
      <c r="J74" s="268">
        <f>Fak_3*411.914952528541</f>
        <v>4.11914952528541</v>
      </c>
      <c r="K74" s="268">
        <f>Fak_3*236.297469381719</f>
        <v>2.3629746938171898</v>
      </c>
      <c r="L74" s="268">
        <f>Fak_3*483.840334648651</f>
        <v>4.8384033464865102</v>
      </c>
      <c r="M74" s="268">
        <f>Fak_3*542.535533449518</f>
        <v>5.4253553344951797</v>
      </c>
      <c r="N74" s="268">
        <f>Fak_3*504.80890456212</f>
        <v>5.0480890456212002</v>
      </c>
      <c r="O74" s="268">
        <f>Fak_3*392.319589763593</f>
        <v>3.9231958976359302</v>
      </c>
      <c r="P74" s="268">
        <f>Fak_3*320.115967009404</f>
        <v>3.2011596700940403</v>
      </c>
      <c r="Q74" s="268">
        <f>Fak_3*441.48632327112</f>
        <v>4.4148632327112001</v>
      </c>
      <c r="R74" s="268">
        <f>Fak_3*248.263398227851</f>
        <v>2.4826339822785104</v>
      </c>
      <c r="S74" s="268">
        <f>Fak_3*398.200256985773</f>
        <v>3.9820025698577304</v>
      </c>
      <c r="T74" s="268">
        <f>Fak_3*399.831774935963</f>
        <v>3.99831774935963</v>
      </c>
      <c r="U74" s="268">
        <f>Fak_3*209.707987480592</f>
        <v>2.0970798748059201</v>
      </c>
      <c r="V74" s="268">
        <f>Fak_3*359.065790258816</f>
        <v>3.59065790258816</v>
      </c>
      <c r="W74" s="268">
        <f>Fak_3*4948.38828250366</f>
        <v>49.483882825036602</v>
      </c>
      <c r="X74" s="213"/>
      <c r="Y74" s="220">
        <f t="shared" si="18"/>
        <v>0.16709269428718873</v>
      </c>
      <c r="Z74" s="367"/>
      <c r="AB74" s="210"/>
      <c r="BG74" s="144">
        <v>330.24510877272303</v>
      </c>
      <c r="BH74" s="144">
        <v>55.181545</v>
      </c>
      <c r="BI74" s="144">
        <f t="shared" si="19"/>
        <v>275.063563772723</v>
      </c>
      <c r="BT74" s="214"/>
      <c r="BU74" s="214"/>
      <c r="DV74" s="330"/>
      <c r="DW74" s="330"/>
      <c r="DX74" s="330"/>
    </row>
    <row r="75" spans="2:128" s="144" customFormat="1" ht="24" customHeight="1" x14ac:dyDescent="0.25">
      <c r="B75" s="227"/>
      <c r="C75" s="228"/>
      <c r="D75" s="229"/>
      <c r="E75" s="131"/>
      <c r="F75" s="322" t="s">
        <v>7519</v>
      </c>
      <c r="G75" s="199"/>
      <c r="H75" s="200"/>
      <c r="I75" s="217" t="s">
        <v>7539</v>
      </c>
      <c r="J75" s="268">
        <f>Fak_3*231.742197626021</f>
        <v>2.31742197626021</v>
      </c>
      <c r="K75" s="268">
        <f>Fak_3*81.8891574004917</f>
        <v>0.81889157400491697</v>
      </c>
      <c r="L75" s="268">
        <f>Fak_3*12.3422640381279</f>
        <v>0.12342264038127899</v>
      </c>
      <c r="M75" s="268">
        <f>Fak_3*264.165584388762</f>
        <v>2.6416558438876199</v>
      </c>
      <c r="N75" s="268">
        <f>Fak_3*175.124838592338</f>
        <v>1.7512483859233801</v>
      </c>
      <c r="O75" s="268">
        <f>Fak_3*246.353553511776</f>
        <v>2.4635355351177601</v>
      </c>
      <c r="P75" s="268">
        <f>Fak_3*681.228491975251</f>
        <v>6.8122849197525106</v>
      </c>
      <c r="Q75" s="268">
        <f>Fak_3*272.530518181321</f>
        <v>2.7253051818132099</v>
      </c>
      <c r="R75" s="268">
        <f>Fak_3*103.25988063673</f>
        <v>1.0325988063672999</v>
      </c>
      <c r="S75" s="268">
        <f>Fak_3*261.865704357446</f>
        <v>2.6186570435744603</v>
      </c>
      <c r="T75" s="268">
        <f>Fak_3*184.79327272159</f>
        <v>1.8479327272159001</v>
      </c>
      <c r="U75" s="268">
        <f>Fak_3*225.1090033404</f>
        <v>2.251090033404</v>
      </c>
      <c r="V75" s="268">
        <f>Fak_3*154.281304203045</f>
        <v>1.5428130420304502</v>
      </c>
      <c r="W75" s="268">
        <f>Fak_3*2894.6857709733</f>
        <v>28.946857709732999</v>
      </c>
      <c r="X75" s="213"/>
      <c r="Y75" s="220">
        <f t="shared" si="18"/>
        <v>0.11640789345535361</v>
      </c>
      <c r="Z75" s="367"/>
      <c r="AB75" s="210"/>
      <c r="BG75" s="144">
        <v>145.07992111786899</v>
      </c>
      <c r="BH75" s="144">
        <v>16.888448</v>
      </c>
      <c r="BI75" s="144">
        <f t="shared" si="19"/>
        <v>128.19147311786898</v>
      </c>
      <c r="BT75" s="214"/>
      <c r="BU75" s="214"/>
      <c r="DV75" s="330"/>
      <c r="DW75" s="330"/>
      <c r="DX75" s="330"/>
    </row>
    <row r="76" spans="2:128" s="208" customFormat="1" ht="24" customHeight="1" x14ac:dyDescent="0.25">
      <c r="B76" s="240"/>
      <c r="C76" s="230"/>
      <c r="D76" s="241"/>
      <c r="E76" s="183"/>
      <c r="F76" s="202" t="s">
        <v>7416</v>
      </c>
      <c r="G76" s="203"/>
      <c r="H76" s="201"/>
      <c r="I76" s="204" t="s">
        <v>7533</v>
      </c>
      <c r="J76" s="269">
        <f t="shared" ref="J76:W76" si="20">+SUM(J75,J74,J73,J72,J67)</f>
        <v>78.087909361653018</v>
      </c>
      <c r="K76" s="269">
        <f t="shared" si="20"/>
        <v>65.92472376249961</v>
      </c>
      <c r="L76" s="269">
        <f t="shared" si="20"/>
        <v>74.471812199243629</v>
      </c>
      <c r="M76" s="269">
        <f t="shared" si="20"/>
        <v>130.1708995385292</v>
      </c>
      <c r="N76" s="269">
        <f t="shared" si="20"/>
        <v>107.41841504305408</v>
      </c>
      <c r="O76" s="269">
        <f t="shared" si="20"/>
        <v>88.943363538180506</v>
      </c>
      <c r="P76" s="269">
        <f t="shared" si="20"/>
        <v>50.00154823417769</v>
      </c>
      <c r="Q76" s="269">
        <f t="shared" si="20"/>
        <v>79.164228830569911</v>
      </c>
      <c r="R76" s="269">
        <f t="shared" si="20"/>
        <v>34.840961436825438</v>
      </c>
      <c r="S76" s="269">
        <f t="shared" si="20"/>
        <v>65.253098026421853</v>
      </c>
      <c r="T76" s="269">
        <f t="shared" si="20"/>
        <v>103.37767419464262</v>
      </c>
      <c r="U76" s="269">
        <f t="shared" si="20"/>
        <v>46.414766913742966</v>
      </c>
      <c r="V76" s="269">
        <f t="shared" si="20"/>
        <v>83.94470794871151</v>
      </c>
      <c r="W76" s="269">
        <f t="shared" si="20"/>
        <v>1008.0141090282526</v>
      </c>
      <c r="X76" s="206"/>
      <c r="Y76" s="220">
        <f t="shared" si="18"/>
        <v>0.52475772773011986</v>
      </c>
      <c r="Z76" s="367"/>
      <c r="AB76" s="202"/>
      <c r="BG76" s="208">
        <v>5647.9554304425055</v>
      </c>
      <c r="BH76" s="208">
        <v>2963.808258</v>
      </c>
      <c r="BI76" s="144">
        <f t="shared" si="19"/>
        <v>2684.1471724425055</v>
      </c>
      <c r="BT76" s="209"/>
      <c r="BU76" s="209"/>
    </row>
    <row r="77" spans="2:128" ht="66" customHeight="1" x14ac:dyDescent="0.4">
      <c r="F77" s="365"/>
      <c r="G77" s="365"/>
      <c r="H77" s="365"/>
      <c r="Y77" s="138"/>
    </row>
    <row r="78" spans="2:128" ht="22.5" x14ac:dyDescent="0.3">
      <c r="I78" s="369" t="str">
        <f xml:space="preserve"> "Versiegelung " &amp; IF(Versatz = 1, "in "&amp;St!Einheit, IF(Versatz = 2, "in m² pro Einwohner:in", "in Prozent des Dauersiedlungsraums"))</f>
        <v>Versiegelung in km²</v>
      </c>
      <c r="J78" s="369"/>
      <c r="K78" s="369"/>
      <c r="L78" s="369"/>
      <c r="M78" s="369"/>
      <c r="N78" s="369"/>
      <c r="O78" s="369"/>
      <c r="P78" s="369"/>
      <c r="Q78" s="369"/>
      <c r="R78" s="369"/>
      <c r="S78" s="369"/>
      <c r="T78" s="369"/>
      <c r="U78" s="369"/>
      <c r="V78" s="369"/>
      <c r="W78" s="369"/>
      <c r="X78" s="369"/>
      <c r="Y78" s="369"/>
    </row>
    <row r="79" spans="2:128" ht="114" customHeight="1" x14ac:dyDescent="0.4">
      <c r="B79" s="247"/>
      <c r="C79" s="233"/>
      <c r="D79" s="248"/>
      <c r="E79" s="249"/>
      <c r="F79" s="147"/>
      <c r="G79" s="250"/>
      <c r="H79" s="147"/>
      <c r="I79" s="152"/>
      <c r="J79" s="278" t="str">
        <f t="shared" ref="J79:W79" si="21">+J24</f>
        <v>Bruck-Mürzzuschlag</v>
      </c>
      <c r="K79" s="278" t="str">
        <f t="shared" si="21"/>
        <v>Deutschlandsberg</v>
      </c>
      <c r="L79" s="278" t="str">
        <f t="shared" si="21"/>
        <v>Graz(Stadt)</v>
      </c>
      <c r="M79" s="278" t="str">
        <f t="shared" si="21"/>
        <v>Graz-Umgebung</v>
      </c>
      <c r="N79" s="278" t="str">
        <f t="shared" si="21"/>
        <v>Hartberg-Fürstenfeld</v>
      </c>
      <c r="O79" s="278" t="str">
        <f t="shared" si="21"/>
        <v>Leibnitz</v>
      </c>
      <c r="P79" s="278" t="str">
        <f t="shared" si="21"/>
        <v>Leoben</v>
      </c>
      <c r="Q79" s="278" t="str">
        <f t="shared" si="21"/>
        <v>Liezen</v>
      </c>
      <c r="R79" s="278" t="str">
        <f t="shared" si="21"/>
        <v>Murau</v>
      </c>
      <c r="S79" s="278" t="str">
        <f t="shared" si="21"/>
        <v>Murtal</v>
      </c>
      <c r="T79" s="278" t="str">
        <f t="shared" si="21"/>
        <v>Südoststeiermark</v>
      </c>
      <c r="U79" s="278" t="str">
        <f t="shared" si="21"/>
        <v>Voitsberg</v>
      </c>
      <c r="V79" s="278" t="str">
        <f t="shared" si="21"/>
        <v>Weiz</v>
      </c>
      <c r="W79" s="277" t="str">
        <f t="shared" si="21"/>
        <v>St</v>
      </c>
      <c r="X79" s="252"/>
      <c r="Y79" s="151"/>
      <c r="Z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Fak_3*174.8052</f>
        <v>1.7480520000000002</v>
      </c>
      <c r="K80" s="267">
        <f>Fak_3*7.5156</f>
        <v>7.5156000000000001E-2</v>
      </c>
      <c r="L80" s="267">
        <f>Fak_3*31.0007</f>
        <v>0.31000699999999998</v>
      </c>
      <c r="M80" s="267">
        <f>Fak_3*299.9288</f>
        <v>2.9992880000000004</v>
      </c>
      <c r="N80" s="267">
        <f>Fak_3*150.7404</f>
        <v>1.507404</v>
      </c>
      <c r="O80" s="267">
        <f>Fak_3*104.4238</f>
        <v>1.044238</v>
      </c>
      <c r="P80" s="267">
        <f>Fak_3*181.7388</f>
        <v>1.817388</v>
      </c>
      <c r="Q80" s="267">
        <f>Fak_3*82.1642</f>
        <v>0.82164199999999998</v>
      </c>
      <c r="R80" s="267">
        <f>Fak_3*0</f>
        <v>0</v>
      </c>
      <c r="S80" s="267">
        <f>Fak_3*152.6793</f>
        <v>1.5267930000000001</v>
      </c>
      <c r="T80" s="267">
        <f>Fak_3*0</f>
        <v>0</v>
      </c>
      <c r="U80" s="267">
        <f>Fak_3*71.7696</f>
        <v>0.717696</v>
      </c>
      <c r="V80" s="267">
        <f>Fak_3*58.7545</f>
        <v>0.58754499999999998</v>
      </c>
      <c r="W80" s="267">
        <f>Fak_3*1315.5209</f>
        <v>13.155208999999999</v>
      </c>
      <c r="X80" s="213"/>
      <c r="Y80" s="219"/>
      <c r="Z80" s="210"/>
    </row>
    <row r="81" spans="2:26" s="144" customFormat="1" ht="24" customHeight="1" x14ac:dyDescent="0.25">
      <c r="B81" s="227"/>
      <c r="C81" s="228"/>
      <c r="D81" s="229"/>
      <c r="E81" s="131"/>
      <c r="F81" s="198"/>
      <c r="G81" s="196">
        <v>102</v>
      </c>
      <c r="H81" s="148" t="str">
        <f>+VLOOKUP($G81,Konstanten!$A$2:$B$15,2,FALSE)</f>
        <v>Landesstraße B + L</v>
      </c>
      <c r="I81" s="148"/>
      <c r="J81" s="267">
        <f>Fak_3*409.2669</f>
        <v>4.0926689999999999</v>
      </c>
      <c r="K81" s="267">
        <f>Fak_3*331.5212</f>
        <v>3.3152120000000003</v>
      </c>
      <c r="L81" s="267">
        <f>Fak_3*132.7543</f>
        <v>1.3275430000000001</v>
      </c>
      <c r="M81" s="267">
        <f>Fak_3*426.2287</f>
        <v>4.2622869999999997</v>
      </c>
      <c r="N81" s="267">
        <f>Fak_3*482.5352</f>
        <v>4.8253519999999996</v>
      </c>
      <c r="O81" s="267">
        <f>Fak_3*388.8998</f>
        <v>3.8889980000000004</v>
      </c>
      <c r="P81" s="267">
        <f>Fak_3*135.7312</f>
        <v>1.3573120000000001</v>
      </c>
      <c r="Q81" s="267">
        <f>Fak_3*534.2806</f>
        <v>5.3428060000000004</v>
      </c>
      <c r="R81" s="267">
        <f>Fak_3*263.2923</f>
        <v>2.6329230000000003</v>
      </c>
      <c r="S81" s="267">
        <f>Fak_3*310.0568</f>
        <v>3.100568</v>
      </c>
      <c r="T81" s="267">
        <f>Fak_3*584.2677</f>
        <v>5.8426770000000001</v>
      </c>
      <c r="U81" s="267">
        <f>Fak_3*169.9448</f>
        <v>1.6994479999999998</v>
      </c>
      <c r="V81" s="267">
        <f>Fak_3*401.3441</f>
        <v>4.0134410000000003</v>
      </c>
      <c r="W81" s="267">
        <f>Fak_3*4570.1236</f>
        <v>45.701236000000002</v>
      </c>
      <c r="X81" s="213"/>
      <c r="Y81" s="219"/>
      <c r="Z81" s="210"/>
    </row>
    <row r="82" spans="2:26" s="144" customFormat="1" ht="24" customHeight="1" x14ac:dyDescent="0.25">
      <c r="B82" s="227"/>
      <c r="C82" s="228"/>
      <c r="D82" s="229"/>
      <c r="E82" s="131"/>
      <c r="F82" s="198"/>
      <c r="G82" s="196">
        <v>103</v>
      </c>
      <c r="H82" s="148" t="str">
        <f>+VLOOKUP($G82,Konstanten!$A$2:$B$15,2,FALSE)</f>
        <v>Gemeinde- und sonstige Straßen</v>
      </c>
      <c r="I82" s="148"/>
      <c r="J82" s="267">
        <f>Fak_3*925.3498</f>
        <v>9.2534980000000004</v>
      </c>
      <c r="K82" s="267">
        <f>Fak_3*834.1259</f>
        <v>8.3412590000000009</v>
      </c>
      <c r="L82" s="267">
        <f>Fak_3*808.7987</f>
        <v>8.087987</v>
      </c>
      <c r="M82" s="267">
        <f>Fak_3*1352.7834</f>
        <v>13.527834</v>
      </c>
      <c r="N82" s="267">
        <f>Fak_3*1436.5089</f>
        <v>14.365089000000001</v>
      </c>
      <c r="O82" s="267">
        <f>Fak_3*1076.6815</f>
        <v>10.766814999999999</v>
      </c>
      <c r="P82" s="267">
        <f>Fak_3*487.8025</f>
        <v>4.8780250000000001</v>
      </c>
      <c r="Q82" s="267">
        <f>Fak_3*1005.4556</f>
        <v>10.054556</v>
      </c>
      <c r="R82" s="267">
        <f>Fak_3*508.6488</f>
        <v>5.0864880000000001</v>
      </c>
      <c r="S82" s="267">
        <f>Fak_3*782.8085</f>
        <v>7.8280849999999997</v>
      </c>
      <c r="T82" s="267">
        <f>Fak_3*1327.4038</f>
        <v>13.274038000000001</v>
      </c>
      <c r="U82" s="267">
        <f>Fak_3*640.373</f>
        <v>6.4037300000000004</v>
      </c>
      <c r="V82" s="267">
        <f>Fak_3*1218.4833</f>
        <v>12.184833000000001</v>
      </c>
      <c r="W82" s="267">
        <f>Fak_3*12405.2237</f>
        <v>124.05223700000001</v>
      </c>
      <c r="X82" s="213"/>
      <c r="Y82" s="219"/>
      <c r="Z82" s="210"/>
    </row>
    <row r="83" spans="2:26" s="144" customFormat="1" ht="24" customHeight="1" x14ac:dyDescent="0.25">
      <c r="B83" s="227"/>
      <c r="C83" s="228"/>
      <c r="D83" s="229"/>
      <c r="E83" s="131"/>
      <c r="F83" s="198"/>
      <c r="G83" s="196">
        <v>104</v>
      </c>
      <c r="H83" s="148" t="str">
        <f>+VLOOKUP($G83,Konstanten!$A$2:$B$15,2,FALSE)</f>
        <v>Schiene</v>
      </c>
      <c r="I83" s="148"/>
      <c r="J83" s="267">
        <f>Fak_3*133.9436</f>
        <v>1.3394360000000001</v>
      </c>
      <c r="K83" s="267">
        <f>Fak_3*53.2121</f>
        <v>0.53212099999999996</v>
      </c>
      <c r="L83" s="267">
        <f>Fak_3*86.5307</f>
        <v>0.86530699999999994</v>
      </c>
      <c r="M83" s="267">
        <f>Fak_3*94.6667</f>
        <v>0.94666700000000004</v>
      </c>
      <c r="N83" s="267">
        <f>Fak_3*42.2735</f>
        <v>0.42273499999999997</v>
      </c>
      <c r="O83" s="267">
        <f>Fak_3*49.9962</f>
        <v>0.49996200000000002</v>
      </c>
      <c r="P83" s="267">
        <f>Fak_3*115.9177</f>
        <v>1.1591769999999999</v>
      </c>
      <c r="Q83" s="267">
        <f>Fak_3*150.6039</f>
        <v>1.5060390000000001</v>
      </c>
      <c r="R83" s="267">
        <f>Fak_3*42.3551</f>
        <v>0.42355100000000001</v>
      </c>
      <c r="S83" s="267">
        <f>Fak_3*91.3095</f>
        <v>0.91309499999999999</v>
      </c>
      <c r="T83" s="267">
        <f>Fak_3*44.2295</f>
        <v>0.44229500000000005</v>
      </c>
      <c r="U83" s="267">
        <f>Fak_3*20.5374</f>
        <v>0.20537400000000003</v>
      </c>
      <c r="V83" s="267">
        <f>Fak_3*36.3972</f>
        <v>0.36397199999999996</v>
      </c>
      <c r="W83" s="267">
        <f>Fak_3*961.9731</f>
        <v>9.6197309999999998</v>
      </c>
      <c r="X83" s="213"/>
      <c r="Y83" s="219"/>
      <c r="Z83" s="210"/>
    </row>
    <row r="84" spans="2:26" s="144" customFormat="1" ht="24" customHeight="1" x14ac:dyDescent="0.25">
      <c r="B84" s="227"/>
      <c r="C84" s="228"/>
      <c r="D84" s="229"/>
      <c r="E84" s="131"/>
      <c r="F84" s="200"/>
      <c r="G84" s="215"/>
      <c r="H84" s="216"/>
      <c r="I84" s="217" t="s">
        <v>7535</v>
      </c>
      <c r="J84" s="268">
        <f>Fak_3*1643.3655</f>
        <v>16.433655000000002</v>
      </c>
      <c r="K84" s="268">
        <f>Fak_3*1226.3748</f>
        <v>12.263748000000001</v>
      </c>
      <c r="L84" s="268">
        <f>Fak_3*1059.0844</f>
        <v>10.590844000000001</v>
      </c>
      <c r="M84" s="268">
        <f>Fak_3*2173.6076</f>
        <v>21.736075999999997</v>
      </c>
      <c r="N84" s="268">
        <f>Fak_3*2112.058</f>
        <v>21.12058</v>
      </c>
      <c r="O84" s="268">
        <f>Fak_3*1620.0013</f>
        <v>16.200012999999998</v>
      </c>
      <c r="P84" s="268">
        <f>Fak_3*921.1902</f>
        <v>9.2119020000000003</v>
      </c>
      <c r="Q84" s="268">
        <f>Fak_3*1772.5043</f>
        <v>17.725042999999999</v>
      </c>
      <c r="R84" s="268">
        <f>Fak_3*814.2962</f>
        <v>8.1429620000000007</v>
      </c>
      <c r="S84" s="268">
        <f>Fak_3*1336.8541</f>
        <v>13.368541</v>
      </c>
      <c r="T84" s="268">
        <f>Fak_3*1955.901</f>
        <v>19.559010000000001</v>
      </c>
      <c r="U84" s="268">
        <f>Fak_3*902.6248</f>
        <v>9.0262480000000007</v>
      </c>
      <c r="V84" s="268">
        <f>Fak_3*1714.9791</f>
        <v>17.149791</v>
      </c>
      <c r="W84" s="268">
        <f>Fak_3*19252.8413</f>
        <v>192.528413</v>
      </c>
      <c r="X84" s="213"/>
      <c r="Y84" s="219"/>
      <c r="Z84" s="210"/>
    </row>
    <row r="85" spans="2:26" s="144" customFormat="1" ht="24" customHeight="1" x14ac:dyDescent="0.25">
      <c r="B85" s="227"/>
      <c r="C85" s="228"/>
      <c r="D85" s="229"/>
      <c r="E85" s="131"/>
      <c r="F85" s="198" t="s">
        <v>7410</v>
      </c>
      <c r="G85" s="197">
        <v>211</v>
      </c>
      <c r="H85" s="148" t="str">
        <f>+VLOOKUP($G85,Konstanten!$A$2:$B$15,2,FALSE)</f>
        <v>Wohnnutzung</v>
      </c>
      <c r="I85" s="148"/>
      <c r="J85" s="267">
        <f>Fak_3*859.9904</f>
        <v>8.5999040000000004</v>
      </c>
      <c r="K85" s="267">
        <f>Fak_3*452.3783</f>
        <v>4.5237830000000008</v>
      </c>
      <c r="L85" s="267">
        <f>Fak_3*1494.9466</f>
        <v>14.949466000000001</v>
      </c>
      <c r="M85" s="267">
        <f>Fak_3*1409.3951</f>
        <v>14.093951000000001</v>
      </c>
      <c r="N85" s="267">
        <f>Fak_3*609.6082</f>
        <v>6.096082</v>
      </c>
      <c r="O85" s="267">
        <f>Fak_3*600.5933</f>
        <v>6.0059329999999997</v>
      </c>
      <c r="P85" s="267">
        <f>Fak_3*446.3292</f>
        <v>4.463292</v>
      </c>
      <c r="Q85" s="267">
        <f>Fak_3*669.3001</f>
        <v>6.6930010000000006</v>
      </c>
      <c r="R85" s="267">
        <f>Fak_3*219.578</f>
        <v>2.1957800000000001</v>
      </c>
      <c r="S85" s="267">
        <f>Fak_3*560.6758</f>
        <v>5.6067580000000001</v>
      </c>
      <c r="T85" s="267">
        <f>Fak_3*573.5138</f>
        <v>5.7351379999999992</v>
      </c>
      <c r="U85" s="267">
        <f>Fak_3*435.2435</f>
        <v>4.3524349999999998</v>
      </c>
      <c r="V85" s="267">
        <f>Fak_3*610.7386</f>
        <v>6.107386</v>
      </c>
      <c r="W85" s="267">
        <f>Fak_3*8942.2909</f>
        <v>89.422909000000004</v>
      </c>
      <c r="X85" s="213"/>
      <c r="Y85" s="219"/>
      <c r="Z85" s="210"/>
    </row>
    <row r="86" spans="2:26" s="144" customFormat="1" ht="24" customHeight="1" x14ac:dyDescent="0.25">
      <c r="B86" s="227"/>
      <c r="C86" s="228"/>
      <c r="D86" s="229"/>
      <c r="E86" s="131"/>
      <c r="F86" s="198"/>
      <c r="G86" s="197">
        <v>212</v>
      </c>
      <c r="H86" s="148" t="str">
        <f>+VLOOKUP($G86,Konstanten!$A$2:$B$15,2,FALSE)</f>
        <v>gemischte bauliche Nutzung</v>
      </c>
      <c r="I86" s="148"/>
      <c r="J86" s="267">
        <f>Fak_3*294.467</f>
        <v>2.9446699999999999</v>
      </c>
      <c r="K86" s="267">
        <f>Fak_3*435.3774</f>
        <v>4.3537740000000005</v>
      </c>
      <c r="L86" s="267">
        <f>Fak_3*445.1494</f>
        <v>4.4514940000000003</v>
      </c>
      <c r="M86" s="267">
        <f>Fak_3*604.3023</f>
        <v>6.0430229999999998</v>
      </c>
      <c r="N86" s="267">
        <f>Fak_3*684.9832</f>
        <v>6.8498320000000001</v>
      </c>
      <c r="O86" s="267">
        <f>Fak_3*729.073</f>
        <v>7.2907299999999999</v>
      </c>
      <c r="P86" s="267">
        <f>Fak_3*208.0876</f>
        <v>2.0808759999999999</v>
      </c>
      <c r="Q86" s="267">
        <f>Fak_3*318.4973</f>
        <v>3.1849729999999998</v>
      </c>
      <c r="R86" s="267">
        <f>Fak_3*159.7352</f>
        <v>1.5973519999999999</v>
      </c>
      <c r="S86" s="267">
        <f>Fak_3*281.1276</f>
        <v>2.8112759999999999</v>
      </c>
      <c r="T86" s="267">
        <f>Fak_3*787.7383</f>
        <v>7.877383</v>
      </c>
      <c r="U86" s="267">
        <f>Fak_3*168.2453</f>
        <v>1.682453</v>
      </c>
      <c r="V86" s="267">
        <f>Fak_3*476.926</f>
        <v>4.7692600000000001</v>
      </c>
      <c r="W86" s="267">
        <f>Fak_3*5593.7096</f>
        <v>55.937096000000004</v>
      </c>
      <c r="X86" s="213"/>
      <c r="Y86" s="219"/>
      <c r="Z86" s="210"/>
    </row>
    <row r="87" spans="2:26" s="144" customFormat="1" ht="24" customHeight="1" x14ac:dyDescent="0.25">
      <c r="B87" s="227"/>
      <c r="C87" s="228"/>
      <c r="D87" s="229"/>
      <c r="E87" s="131"/>
      <c r="F87" s="198"/>
      <c r="G87" s="197">
        <v>213</v>
      </c>
      <c r="H87" s="148" t="str">
        <f>+VLOOKUP($G87,Konstanten!$A$2:$B$15,2,FALSE)</f>
        <v>betriebliche Nutzung</v>
      </c>
      <c r="I87" s="148"/>
      <c r="J87" s="267">
        <f>Fak_3*511.0651</f>
        <v>5.1106509999999998</v>
      </c>
      <c r="K87" s="267">
        <f>Fak_3*309.3592</f>
        <v>3.0935920000000001</v>
      </c>
      <c r="L87" s="267">
        <f>Fak_3*585.3229</f>
        <v>5.8532289999999998</v>
      </c>
      <c r="M87" s="267">
        <f>Fak_3*674.317</f>
        <v>6.7431700000000001</v>
      </c>
      <c r="N87" s="267">
        <f>Fak_3*431.0597</f>
        <v>4.3105970000000005</v>
      </c>
      <c r="O87" s="267">
        <f>Fak_3*309.0291</f>
        <v>3.0902910000000006</v>
      </c>
      <c r="P87" s="267">
        <f>Fak_3*352.3559</f>
        <v>3.5235590000000001</v>
      </c>
      <c r="Q87" s="267">
        <f>Fak_3*372.8669</f>
        <v>3.728669</v>
      </c>
      <c r="R87" s="267">
        <f>Fak_3*105.4897</f>
        <v>1.054897</v>
      </c>
      <c r="S87" s="267">
        <f>Fak_3*393.4584</f>
        <v>3.9345840000000001</v>
      </c>
      <c r="T87" s="267">
        <f>Fak_3*328.6419</f>
        <v>3.2864190000000004</v>
      </c>
      <c r="U87" s="267">
        <f>Fak_3*176.1005</f>
        <v>1.7610050000000002</v>
      </c>
      <c r="V87" s="267">
        <f>Fak_3*409.5778</f>
        <v>4.0957780000000001</v>
      </c>
      <c r="W87" s="267">
        <f>Fak_3*4958.6441</f>
        <v>49.586441000000008</v>
      </c>
      <c r="X87" s="213"/>
      <c r="Y87" s="219"/>
      <c r="Z87" s="210"/>
    </row>
    <row r="88" spans="2:26" s="144" customFormat="1" ht="24" customHeight="1" x14ac:dyDescent="0.25">
      <c r="B88" s="227"/>
      <c r="C88" s="228"/>
      <c r="D88" s="229"/>
      <c r="E88" s="131"/>
      <c r="F88" s="198"/>
      <c r="G88" s="197">
        <v>214</v>
      </c>
      <c r="H88" s="148" t="str">
        <f>+VLOOKUP($G88,Konstanten!$A$2:$B$15,2,FALSE)</f>
        <v>sonstige bauliche Nutzung</v>
      </c>
      <c r="I88" s="148"/>
      <c r="J88" s="267">
        <f>Fak_3*0</f>
        <v>0</v>
      </c>
      <c r="K88" s="267">
        <f>Fak_3*0.3518</f>
        <v>3.5180000000000003E-3</v>
      </c>
      <c r="L88" s="267">
        <f>Fak_3*0.2015</f>
        <v>2.0150000000000003E-3</v>
      </c>
      <c r="M88" s="267">
        <f>Fak_3*9.7972</f>
        <v>9.7972000000000004E-2</v>
      </c>
      <c r="N88" s="267">
        <f>Fak_3*8.2574</f>
        <v>8.2574000000000009E-2</v>
      </c>
      <c r="O88" s="267">
        <f>Fak_3*0</f>
        <v>0</v>
      </c>
      <c r="P88" s="267">
        <f>Fak_3*0</f>
        <v>0</v>
      </c>
      <c r="Q88" s="267">
        <f>Fak_3*5.0496</f>
        <v>5.0495999999999999E-2</v>
      </c>
      <c r="R88" s="267">
        <f>Fak_3*1.2138</f>
        <v>1.2137999999999999E-2</v>
      </c>
      <c r="S88" s="267">
        <f>Fak_3*0.1143</f>
        <v>1.1429999999999999E-3</v>
      </c>
      <c r="T88" s="267">
        <f>Fak_3*7.7398</f>
        <v>7.7397999999999995E-2</v>
      </c>
      <c r="U88" s="267">
        <f>Fak_3*0</f>
        <v>0</v>
      </c>
      <c r="V88" s="267">
        <f>Fak_3*0</f>
        <v>0</v>
      </c>
      <c r="W88" s="267">
        <f>Fak_3*32.7254</f>
        <v>0.32725399999999999</v>
      </c>
      <c r="X88" s="213"/>
      <c r="Y88" s="219"/>
      <c r="Z88" s="210"/>
    </row>
    <row r="89" spans="2:26" s="144" customFormat="1" ht="24" customHeight="1" x14ac:dyDescent="0.25">
      <c r="B89" s="227"/>
      <c r="C89" s="228"/>
      <c r="D89" s="229"/>
      <c r="E89" s="131"/>
      <c r="F89" s="200"/>
      <c r="G89" s="215"/>
      <c r="H89" s="216"/>
      <c r="I89" s="217" t="s">
        <v>7536</v>
      </c>
      <c r="J89" s="268">
        <f>Fak_3*1665.5225</f>
        <v>16.655225000000002</v>
      </c>
      <c r="K89" s="268">
        <f>Fak_3*1197.4667</f>
        <v>11.974667</v>
      </c>
      <c r="L89" s="268">
        <f>Fak_3*2525.6204</f>
        <v>25.256203999999997</v>
      </c>
      <c r="M89" s="268">
        <f>Fak_3*2697.8116</f>
        <v>26.978116</v>
      </c>
      <c r="N89" s="268">
        <f>Fak_3*1733.9085</f>
        <v>17.339085000000001</v>
      </c>
      <c r="O89" s="268">
        <f>Fak_3*1638.6954</f>
        <v>16.386953999999999</v>
      </c>
      <c r="P89" s="268">
        <f>Fak_3*1006.7727</f>
        <v>10.067727</v>
      </c>
      <c r="Q89" s="268">
        <f>Fak_3*1365.7139</f>
        <v>13.657139000000001</v>
      </c>
      <c r="R89" s="268">
        <f>Fak_3*486.0167</f>
        <v>4.8601670000000006</v>
      </c>
      <c r="S89" s="268">
        <f>Fak_3*1235.3761</f>
        <v>12.353761</v>
      </c>
      <c r="T89" s="268">
        <f>Fak_3*1697.6338</f>
        <v>16.976338000000002</v>
      </c>
      <c r="U89" s="268">
        <f>Fak_3*779.5893</f>
        <v>7.7958930000000004</v>
      </c>
      <c r="V89" s="268">
        <f>Fak_3*1497.2424</f>
        <v>14.972424000000002</v>
      </c>
      <c r="W89" s="268">
        <f>Fak_3*19527.37</f>
        <v>195.27369999999999</v>
      </c>
      <c r="X89" s="213"/>
      <c r="Y89" s="219"/>
      <c r="Z89" s="210"/>
    </row>
    <row r="90" spans="2:26" s="144" customFormat="1" ht="24" customHeight="1" x14ac:dyDescent="0.25">
      <c r="B90" s="227"/>
      <c r="C90" s="228"/>
      <c r="D90" s="229"/>
      <c r="E90" s="131"/>
      <c r="F90" s="200" t="s">
        <v>7409</v>
      </c>
      <c r="G90" s="215"/>
      <c r="H90" s="216"/>
      <c r="I90" s="217" t="s">
        <v>7537</v>
      </c>
      <c r="J90" s="268">
        <f>Fak_3*443.3585</f>
        <v>4.4335849999999999</v>
      </c>
      <c r="K90" s="268">
        <f>Fak_3*507.6268</f>
        <v>5.0762679999999998</v>
      </c>
      <c r="L90" s="268">
        <f>Fak_3*102.3866</f>
        <v>1.0238659999999999</v>
      </c>
      <c r="M90" s="268">
        <f>Fak_3*738.8907</f>
        <v>7.3889070000000006</v>
      </c>
      <c r="N90" s="268">
        <f>Fak_3*996.3144</f>
        <v>9.9631439999999998</v>
      </c>
      <c r="O90" s="268">
        <f>Fak_3*659.524</f>
        <v>6.5952400000000004</v>
      </c>
      <c r="P90" s="268">
        <f>Fak_3*182.5954</f>
        <v>1.8259540000000001</v>
      </c>
      <c r="Q90" s="268">
        <f>Fak_3*602.4452</f>
        <v>6.0244520000000001</v>
      </c>
      <c r="R90" s="268">
        <f>Fak_3*315.1332</f>
        <v>3.151332</v>
      </c>
      <c r="S90" s="268">
        <f>Fak_3*437.147</f>
        <v>4.3714700000000004</v>
      </c>
      <c r="T90" s="268">
        <f>Fak_3*1011.0975</f>
        <v>10.110975</v>
      </c>
      <c r="U90" s="268">
        <f>Fak_3*350.2678</f>
        <v>3.5026780000000004</v>
      </c>
      <c r="V90" s="268">
        <f>Fak_3*832.6775</f>
        <v>8.3267749999999996</v>
      </c>
      <c r="W90" s="268">
        <f>Fak_3*7179.4646</f>
        <v>71.794646</v>
      </c>
      <c r="X90" s="213"/>
      <c r="Y90" s="219"/>
      <c r="Z90" s="210"/>
    </row>
    <row r="91" spans="2:26" s="144" customFormat="1" ht="24" customHeight="1" x14ac:dyDescent="0.25">
      <c r="B91" s="227"/>
      <c r="C91" s="228"/>
      <c r="D91" s="229"/>
      <c r="E91" s="131"/>
      <c r="F91" s="321" t="s">
        <v>7549</v>
      </c>
      <c r="G91" s="199"/>
      <c r="H91" s="200"/>
      <c r="I91" s="217" t="s">
        <v>7538</v>
      </c>
      <c r="J91" s="268">
        <f>Fak_3*77.2671</f>
        <v>0.772671</v>
      </c>
      <c r="K91" s="268">
        <f>Fak_3*38.369</f>
        <v>0.38369000000000003</v>
      </c>
      <c r="L91" s="268">
        <f>Fak_3*100.9581</f>
        <v>1.0095810000000001</v>
      </c>
      <c r="M91" s="268">
        <f>Fak_3*89.8366</f>
        <v>0.89836600000000011</v>
      </c>
      <c r="N91" s="268">
        <f>Fak_3*72.035</f>
        <v>0.72034999999999993</v>
      </c>
      <c r="O91" s="268">
        <f>Fak_3*50.926</f>
        <v>0.50926000000000005</v>
      </c>
      <c r="P91" s="268">
        <f>Fak_3*52.8738</f>
        <v>0.52873800000000004</v>
      </c>
      <c r="Q91" s="268">
        <f>Fak_3*62.6049</f>
        <v>0.62604899999999997</v>
      </c>
      <c r="R91" s="268">
        <f>Fak_3*29.2581</f>
        <v>0.29258099999999998</v>
      </c>
      <c r="S91" s="268">
        <f>Fak_3*97.7019</f>
        <v>0.97701899999999997</v>
      </c>
      <c r="T91" s="268">
        <f>Fak_3*59.2941</f>
        <v>0.59294100000000005</v>
      </c>
      <c r="U91" s="268">
        <f>Fak_3*29.9549</f>
        <v>0.29954900000000001</v>
      </c>
      <c r="V91" s="268">
        <f>Fak_3*56.1676</f>
        <v>0.56167600000000006</v>
      </c>
      <c r="W91" s="268">
        <f>Fak_3*817.2471</f>
        <v>8.1724709999999998</v>
      </c>
      <c r="X91" s="213"/>
      <c r="Y91" s="219"/>
      <c r="Z91" s="210"/>
    </row>
    <row r="92" spans="2:26" s="144" customFormat="1" ht="24" customHeight="1" x14ac:dyDescent="0.25">
      <c r="B92" s="227"/>
      <c r="C92" s="228"/>
      <c r="D92" s="229"/>
      <c r="E92" s="131"/>
      <c r="F92" s="322" t="s">
        <v>7519</v>
      </c>
      <c r="G92" s="199"/>
      <c r="H92" s="200"/>
      <c r="I92" s="217" t="s">
        <v>7539</v>
      </c>
      <c r="J92" s="268">
        <f>Fak_3*37.0867</f>
        <v>0.370867</v>
      </c>
      <c r="K92" s="268">
        <f>Fak_3*9.1427</f>
        <v>9.1426999999999994E-2</v>
      </c>
      <c r="L92" s="268">
        <f>Fak_3*3.6607</f>
        <v>3.6607000000000001E-2</v>
      </c>
      <c r="M92" s="268">
        <f>Fak_3*38.9976</f>
        <v>0.38997599999999999</v>
      </c>
      <c r="N92" s="268">
        <f>Fak_3*29.7835</f>
        <v>0.29783500000000002</v>
      </c>
      <c r="O92" s="268">
        <f>Fak_3*22.1782</f>
        <v>0.22178200000000001</v>
      </c>
      <c r="P92" s="268">
        <f>Fak_3*69.2022</f>
        <v>0.69202200000000003</v>
      </c>
      <c r="Q92" s="268">
        <f>Fak_3*32.9985</f>
        <v>0.32998500000000003</v>
      </c>
      <c r="R92" s="268">
        <f>Fak_3*16.8442</f>
        <v>0.16844200000000001</v>
      </c>
      <c r="S92" s="268">
        <f>Fak_3*48.2734</f>
        <v>0.48273400000000005</v>
      </c>
      <c r="T92" s="268">
        <f>Fak_3*28.4525</f>
        <v>0.28452500000000003</v>
      </c>
      <c r="U92" s="268">
        <f>Fak_3*15.6996</f>
        <v>0.156996</v>
      </c>
      <c r="V92" s="268">
        <f>Fak_3*20.6036</f>
        <v>0.206036</v>
      </c>
      <c r="W92" s="268">
        <f>Fak_3*372.9234</f>
        <v>3.7292340000000004</v>
      </c>
      <c r="X92" s="213"/>
      <c r="Y92" s="219"/>
      <c r="Z92" s="210"/>
    </row>
    <row r="93" spans="2:26" s="208" customFormat="1" ht="24" customHeight="1" x14ac:dyDescent="0.25">
      <c r="B93" s="240"/>
      <c r="C93" s="230"/>
      <c r="D93" s="241"/>
      <c r="E93" s="183"/>
      <c r="F93" s="202" t="s">
        <v>7597</v>
      </c>
      <c r="G93" s="203"/>
      <c r="H93" s="201"/>
      <c r="I93" s="204" t="s">
        <v>7533</v>
      </c>
      <c r="J93" s="269">
        <f t="shared" ref="J93:W93" si="22">+SUM(J84,J89,J90,J91,J92)</f>
        <v>38.666003000000003</v>
      </c>
      <c r="K93" s="269">
        <f t="shared" si="22"/>
        <v>29.789800000000003</v>
      </c>
      <c r="L93" s="269">
        <f t="shared" si="22"/>
        <v>37.917101999999993</v>
      </c>
      <c r="M93" s="269">
        <f t="shared" si="22"/>
        <v>57.391441</v>
      </c>
      <c r="N93" s="269">
        <f t="shared" si="22"/>
        <v>49.440994000000003</v>
      </c>
      <c r="O93" s="269">
        <f t="shared" si="22"/>
        <v>39.913249</v>
      </c>
      <c r="P93" s="269">
        <f t="shared" si="22"/>
        <v>22.326343000000001</v>
      </c>
      <c r="Q93" s="269">
        <f t="shared" si="22"/>
        <v>38.362667999999999</v>
      </c>
      <c r="R93" s="269">
        <f t="shared" si="22"/>
        <v>16.615483999999999</v>
      </c>
      <c r="S93" s="269">
        <f t="shared" si="22"/>
        <v>31.553525</v>
      </c>
      <c r="T93" s="269">
        <f t="shared" si="22"/>
        <v>47.523789000000001</v>
      </c>
      <c r="U93" s="269">
        <f t="shared" si="22"/>
        <v>20.781364</v>
      </c>
      <c r="V93" s="269">
        <f t="shared" si="22"/>
        <v>41.216701999999998</v>
      </c>
      <c r="W93" s="269">
        <f t="shared" si="22"/>
        <v>471.49846399999996</v>
      </c>
      <c r="X93" s="206"/>
      <c r="Y93" s="207"/>
      <c r="Z93" s="202"/>
    </row>
  </sheetData>
  <mergeCells count="22">
    <mergeCell ref="F77:H77"/>
    <mergeCell ref="I78:Y78"/>
    <mergeCell ref="J19:W19"/>
    <mergeCell ref="X20:Z20"/>
    <mergeCell ref="I21:Y21"/>
    <mergeCell ref="J39:W39"/>
    <mergeCell ref="J41:W41"/>
    <mergeCell ref="J42:W42"/>
    <mergeCell ref="J45:W45"/>
    <mergeCell ref="J46:W46"/>
    <mergeCell ref="J49:W49"/>
    <mergeCell ref="J50:W50"/>
    <mergeCell ref="AA25:AA30"/>
    <mergeCell ref="I55:Y55"/>
    <mergeCell ref="Z63:Z76"/>
    <mergeCell ref="B1:D1"/>
    <mergeCell ref="E1:V4"/>
    <mergeCell ref="I6:Y6"/>
    <mergeCell ref="Z8:Z9"/>
    <mergeCell ref="AA10:AA15"/>
    <mergeCell ref="J17:W17"/>
    <mergeCell ref="I35:U35"/>
  </mergeCells>
  <conditionalFormatting sqref="A8:Y8 A23:XFD23 J22:V22">
    <cfRule type="expression" dxfId="47" priority="12">
      <formula>$A$12=2</formula>
    </cfRule>
  </conditionalFormatting>
  <conditionalFormatting sqref="A8:Y8 A23:XFD23">
    <cfRule type="expression" dxfId="46" priority="9">
      <formula>$A$12=1</formula>
    </cfRule>
  </conditionalFormatting>
  <conditionalFormatting sqref="J39">
    <cfRule type="expression" dxfId="45" priority="4">
      <formula>$C$8 = "relativ"</formula>
    </cfRule>
  </conditionalFormatting>
  <conditionalFormatting sqref="J41">
    <cfRule type="expression" dxfId="44" priority="3">
      <formula>$C$8 = "relativ"</formula>
    </cfRule>
  </conditionalFormatting>
  <conditionalFormatting sqref="J45">
    <cfRule type="expression" dxfId="43" priority="2">
      <formula>$C$8 = "relativ"</formula>
    </cfRule>
  </conditionalFormatting>
  <conditionalFormatting sqref="J49">
    <cfRule type="expression" dxfId="42" priority="1">
      <formula>$C$8 = "relativ"</formula>
    </cfRule>
  </conditionalFormatting>
  <conditionalFormatting sqref="J10:W15 J25:W30">
    <cfRule type="expression" dxfId="41" priority="10">
      <formula>$C$6 = "relativ"</formula>
    </cfRule>
  </conditionalFormatting>
  <conditionalFormatting sqref="J22:W22">
    <cfRule type="expression" dxfId="40" priority="8">
      <formula>$A$12=1</formula>
    </cfRule>
  </conditionalFormatting>
  <conditionalFormatting sqref="J31:W31">
    <cfRule type="expression" dxfId="39" priority="11">
      <formula>$A$12=2</formula>
    </cfRule>
  </conditionalFormatting>
  <conditionalFormatting sqref="W22">
    <cfRule type="expression" dxfId="38" priority="7">
      <formula>$A$12=2</formula>
    </cfRule>
  </conditionalFormatting>
  <conditionalFormatting sqref="Y10:Y15">
    <cfRule type="dataBar" priority="14">
      <dataBar showValue="0">
        <cfvo type="num" val="0"/>
        <cfvo type="num" val="1"/>
        <color theme="0" tint="-0.499984740745262"/>
      </dataBar>
      <extLst>
        <ext xmlns:x14="http://schemas.microsoft.com/office/spreadsheetml/2009/9/main" uri="{B025F937-C7B1-47D3-B67F-A62EFF666E3E}">
          <x14:id>{A220B885-A36A-480F-BB36-CA18B8A3B01A}</x14:id>
        </ext>
      </extLst>
    </cfRule>
  </conditionalFormatting>
  <conditionalFormatting sqref="Y25:Y31">
    <cfRule type="dataBar" priority="13">
      <dataBar showValue="0">
        <cfvo type="num" val="0"/>
        <cfvo type="num" val="1"/>
        <color theme="0" tint="-0.499984740745262"/>
      </dataBar>
      <extLst>
        <ext xmlns:x14="http://schemas.microsoft.com/office/spreadsheetml/2009/9/main" uri="{B025F937-C7B1-47D3-B67F-A62EFF666E3E}">
          <x14:id>{4E73FC3B-358B-45F0-A6EA-60EA122972E1}</x14:id>
        </ext>
      </extLst>
    </cfRule>
  </conditionalFormatting>
  <conditionalFormatting sqref="AA8:XFD8">
    <cfRule type="expression" dxfId="37" priority="5">
      <formula>$A$12=2</formula>
    </cfRule>
    <cfRule type="expression" dxfId="36" priority="6">
      <formula>$A$12=1</formula>
    </cfRule>
  </conditionalFormatting>
  <dataValidations count="3">
    <dataValidation type="list" allowBlank="1" showInputMessage="1" showErrorMessage="1" sqref="C6:D6" xr:uid="{00000000-0002-0000-0B00-000000000000}">
      <formula1>"absolut,relativ"</formula1>
    </dataValidation>
    <dataValidation type="list" allowBlank="1" showInputMessage="1" showErrorMessage="1" sqref="C55:E55" xr:uid="{00000000-0002-0000-0B00-000001000000}">
      <formula1>"absolut, Bevölkerung, Dauersiedlungsraum"</formula1>
    </dataValidation>
    <dataValidation type="list" allowBlank="1" showInputMessage="1" showErrorMessage="1" sqref="C3 D5" xr:uid="{00000000-0002-0000-0B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A220B885-A36A-480F-BB36-CA18B8A3B01A}">
            <x14:dataBar minLength="0" maxLength="100" gradient="0">
              <x14:cfvo type="num">
                <xm:f>0</xm:f>
              </x14:cfvo>
              <x14:cfvo type="num">
                <xm:f>1</xm:f>
              </x14:cfvo>
              <x14:negativeFillColor rgb="FFFF0000"/>
              <x14:axisColor rgb="FF000000"/>
            </x14:dataBar>
          </x14:cfRule>
          <xm:sqref>Y10:Y15</xm:sqref>
        </x14:conditionalFormatting>
        <x14:conditionalFormatting xmlns:xm="http://schemas.microsoft.com/office/excel/2006/main">
          <x14:cfRule type="dataBar" id="{4E73FC3B-358B-45F0-A6EA-60EA122972E1}">
            <x14:dataBar minLength="0" maxLength="100" gradient="0">
              <x14:cfvo type="num">
                <xm:f>0</xm:f>
              </x14:cfvo>
              <x14:cfvo type="num">
                <xm:f>1</xm:f>
              </x14:cfvo>
              <x14:negativeFillColor rgb="FFFF0000"/>
              <x14:axisColor rgb="FF000000"/>
            </x14:dataBar>
          </x14:cfRule>
          <xm:sqref>Y25:Y31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B00-000024000000}">
          <x14:colorSeries theme="0" tint="-0.34998626667073579"/>
          <x14:colorNegative rgb="FFD00000"/>
          <x14:colorAxis rgb="FF000000"/>
          <x14:colorMarkers rgb="FFD00000"/>
          <x14:colorFirst rgb="FFD00000"/>
          <x14:colorLast rgb="FFD00000"/>
          <x14:colorHigh rgb="FFD00000"/>
          <x14:colorLow rgb="FFD00000"/>
          <x14:sparklines>
            <x14:sparkline>
              <xm:f>St!J18:W18</xm:f>
              <xm:sqref>J17</xm:sqref>
            </x14:sparkline>
          </x14:sparklines>
        </x14:sparklineGroup>
        <x14:sparklineGroup manualMin="0" type="column" displayEmptyCellsAs="gap" minAxisType="custom" xr2:uid="{00000000-0003-0000-0B00-000023000000}">
          <x14:colorSeries theme="0" tint="-0.34998626667073579"/>
          <x14:colorNegative rgb="FFD00000"/>
          <x14:colorAxis rgb="FF000000"/>
          <x14:colorMarkers rgb="FFD00000"/>
          <x14:colorFirst rgb="FFD00000"/>
          <x14:colorLast rgb="FFD00000"/>
          <x14:colorHigh rgb="FFD00000"/>
          <x14:colorLow rgb="FFD00000"/>
          <x14:sparklines>
            <x14:sparkline>
              <xm:f>St!J20:W20</xm:f>
              <xm:sqref>J19</xm:sqref>
            </x14:sparkline>
          </x14:sparklines>
        </x14:sparklineGroup>
        <x14:sparklineGroup type="column" displayEmptyCellsAs="gap" xr2:uid="{00000000-0003-0000-0B00-000022000000}">
          <x14:colorSeries rgb="FF376092"/>
          <x14:colorNegative rgb="FFD00000"/>
          <x14:colorAxis rgb="FF000000"/>
          <x14:colorMarkers rgb="FFD00000"/>
          <x14:colorFirst rgb="FFD00000"/>
          <x14:colorLast rgb="FFD00000"/>
          <x14:colorHigh rgb="FFD00000"/>
          <x14:colorLow rgb="FFD00000"/>
          <x14:sparklines>
            <x14:sparkline>
              <xm:f>St!J43:W43</xm:f>
              <xm:sqref>J42</xm:sqref>
            </x14:sparkline>
          </x14:sparklines>
        </x14:sparklineGroup>
        <x14:sparklineGroup type="column" displayEmptyCellsAs="gap" xr2:uid="{00000000-0003-0000-0B00-000021000000}">
          <x14:colorSeries rgb="FF376092"/>
          <x14:colorNegative rgb="FFD00000"/>
          <x14:colorAxis rgb="FF000000"/>
          <x14:colorMarkers rgb="FFD00000"/>
          <x14:colorFirst rgb="FFD00000"/>
          <x14:colorLast rgb="FFD00000"/>
          <x14:colorHigh rgb="FFD00000"/>
          <x14:colorLow rgb="FFD00000"/>
          <x14:sparklines>
            <x14:sparkline>
              <xm:f>St!J47:W47</xm:f>
              <xm:sqref>J46</xm:sqref>
            </x14:sparkline>
          </x14:sparklines>
        </x14:sparklineGroup>
        <x14:sparklineGroup type="column" displayEmptyCellsAs="gap" xr2:uid="{00000000-0003-0000-0B00-000020000000}">
          <x14:colorSeries rgb="FF376092"/>
          <x14:colorNegative rgb="FFD00000"/>
          <x14:colorAxis rgb="FF000000"/>
          <x14:colorMarkers rgb="FFD00000"/>
          <x14:colorFirst rgb="FFD00000"/>
          <x14:colorLast rgb="FFD00000"/>
          <x14:colorHigh rgb="FFD00000"/>
          <x14:colorLow rgb="FFD00000"/>
          <x14:sparklines>
            <x14:sparkline>
              <xm:f>St!J51:W51</xm:f>
              <xm:sqref>J50</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9">
    <tabColor rgb="FFFFFF00"/>
    <pageSetUpPr fitToPage="1"/>
  </sheetPr>
  <dimension ref="A1:DX93"/>
  <sheetViews>
    <sheetView topLeftCell="B1" zoomScale="90" zoomScaleNormal="90" workbookViewId="0">
      <pane xSplit="3" ySplit="4" topLeftCell="E5" activePane="bottomRight" state="frozen"/>
      <selection activeCell="E5" sqref="E5"/>
      <selection pane="topRight" activeCell="E5" sqref="E5"/>
      <selection pane="bottomLeft" activeCell="E5" sqref="E5"/>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9" width="15.42578125" style="138" customWidth="1"/>
    <col min="20" max="20" width="27.42578125" style="138" bestFit="1" customWidth="1"/>
    <col min="21" max="21" width="30" style="186" bestFit="1" customWidth="1"/>
    <col min="22" max="22" width="9.5703125" style="138" customWidth="1"/>
    <col min="23" max="23" width="15.5703125" style="138" customWidth="1"/>
    <col min="24" max="24" width="14.140625" style="138" customWidth="1"/>
    <col min="25" max="66" width="11.42578125" style="138" customWidth="1"/>
    <col min="67" max="67" width="12.28515625" style="138" bestFit="1" customWidth="1"/>
    <col min="68" max="68" width="13.140625" style="138" bestFit="1" customWidth="1"/>
    <col min="69" max="69" width="12.85546875" style="138" bestFit="1" customWidth="1"/>
    <col min="70" max="16384" width="11.42578125" style="138"/>
  </cols>
  <sheetData>
    <row r="1" spans="1:69" s="239" customFormat="1" ht="53.25" customHeight="1" x14ac:dyDescent="0.3">
      <c r="A1" s="133" t="s">
        <v>147</v>
      </c>
      <c r="B1" s="366" t="s">
        <v>7540</v>
      </c>
      <c r="C1" s="366"/>
      <c r="D1" s="366"/>
      <c r="E1" s="381" t="str">
        <f xml:space="preserve"> VLOOKUP(BL,Konstanten!$E$38:$F$46,2,FALSE) &amp;"-Ergebnisse: Indikatoren zu Flächeninanspruchnahme und Versiegelung mit Stand 2022 (Baseline)"</f>
        <v>Tirol-Ergebnisse: Indikatoren zu Flächeninanspruchnahme und Versiegelung mit Stand 2022 (Baseline)</v>
      </c>
      <c r="F1" s="381"/>
      <c r="G1" s="381"/>
      <c r="H1" s="381"/>
      <c r="I1" s="381"/>
      <c r="J1" s="381"/>
      <c r="K1" s="381"/>
      <c r="L1" s="381"/>
      <c r="M1" s="381"/>
      <c r="N1" s="381"/>
      <c r="O1" s="381"/>
      <c r="P1" s="381"/>
      <c r="Q1" s="381"/>
      <c r="R1" s="381"/>
      <c r="S1" s="256"/>
      <c r="T1" s="256"/>
      <c r="U1" s="257"/>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row>
    <row r="2" spans="1:69" s="239" customFormat="1" ht="15" customHeight="1" x14ac:dyDescent="0.3">
      <c r="A2" s="133"/>
      <c r="B2" s="243"/>
      <c r="C2" s="243"/>
      <c r="D2" s="243"/>
      <c r="E2" s="381"/>
      <c r="F2" s="381"/>
      <c r="G2" s="381"/>
      <c r="H2" s="381"/>
      <c r="I2" s="381"/>
      <c r="J2" s="381"/>
      <c r="K2" s="381"/>
      <c r="L2" s="381"/>
      <c r="M2" s="381"/>
      <c r="N2" s="381"/>
      <c r="O2" s="381"/>
      <c r="P2" s="381"/>
      <c r="Q2" s="381"/>
      <c r="R2" s="381"/>
      <c r="S2" s="256"/>
      <c r="T2" s="256"/>
      <c r="U2" s="257"/>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row>
    <row r="3" spans="1:69" s="239" customFormat="1" ht="27" x14ac:dyDescent="0.3">
      <c r="A3" s="133"/>
      <c r="B3" s="228" t="s">
        <v>7517</v>
      </c>
      <c r="C3" s="242" t="s">
        <v>153</v>
      </c>
      <c r="D3" s="229"/>
      <c r="E3" s="381"/>
      <c r="F3" s="381"/>
      <c r="G3" s="381"/>
      <c r="H3" s="381"/>
      <c r="I3" s="381"/>
      <c r="J3" s="381"/>
      <c r="K3" s="381"/>
      <c r="L3" s="381"/>
      <c r="M3" s="381"/>
      <c r="N3" s="381"/>
      <c r="O3" s="381"/>
      <c r="P3" s="381"/>
      <c r="Q3" s="381"/>
      <c r="R3" s="381"/>
      <c r="S3" s="256"/>
      <c r="T3" s="256"/>
      <c r="U3" s="257"/>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row>
    <row r="4" spans="1:69" s="239" customFormat="1" ht="22.5" customHeight="1" x14ac:dyDescent="0.3">
      <c r="A4" s="131"/>
      <c r="B4" s="227"/>
      <c r="C4" s="228"/>
      <c r="D4" s="229"/>
      <c r="E4" s="381"/>
      <c r="F4" s="381"/>
      <c r="G4" s="381"/>
      <c r="H4" s="381"/>
      <c r="I4" s="381"/>
      <c r="J4" s="381"/>
      <c r="K4" s="381"/>
      <c r="L4" s="381"/>
      <c r="M4" s="381"/>
      <c r="N4" s="381"/>
      <c r="O4" s="381"/>
      <c r="P4" s="381"/>
      <c r="Q4" s="381"/>
      <c r="R4" s="381"/>
      <c r="U4" s="261"/>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row>
    <row r="5" spans="1:69" ht="52.5" customHeight="1" x14ac:dyDescent="0.3">
      <c r="A5" s="133">
        <f>+IF(Einheit = "ha", 1, 0.01)</f>
        <v>0.01</v>
      </c>
      <c r="C5" s="227"/>
      <c r="D5" s="231"/>
      <c r="E5" s="226" t="s">
        <v>7530</v>
      </c>
      <c r="F5" s="140"/>
      <c r="G5" s="140"/>
      <c r="H5" s="140"/>
      <c r="I5" s="140"/>
      <c r="J5" s="1"/>
      <c r="K5" s="1"/>
      <c r="L5" s="1"/>
      <c r="M5" s="1"/>
      <c r="N5" s="1"/>
      <c r="O5" s="1"/>
      <c r="P5" s="1"/>
      <c r="Q5" s="1"/>
      <c r="R5" s="1"/>
      <c r="S5" s="140"/>
      <c r="T5" s="140"/>
      <c r="U5" s="140"/>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row>
    <row r="6" spans="1:69"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146"/>
      <c r="W6" s="138"/>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row>
    <row r="7" spans="1:69" s="144" customFormat="1" ht="34.5" hidden="1" customHeight="1" x14ac:dyDescent="0.3">
      <c r="A7" s="133"/>
      <c r="B7" s="227"/>
      <c r="C7" s="230"/>
      <c r="D7" s="231"/>
      <c r="E7" s="139"/>
      <c r="F7" s="141"/>
      <c r="G7" s="141"/>
      <c r="H7" s="141"/>
      <c r="I7" s="142"/>
      <c r="J7" s="131">
        <f>Fak_Einheit/IF(denom_1="absolut",1,Fak_Einheit*T!FI_gesamt)</f>
        <v>0.01</v>
      </c>
      <c r="K7" s="131">
        <f>Fak_Einheit/IF(denom_1="absolut",1,Fak_Einheit*T!FI_gesamt)</f>
        <v>0.01</v>
      </c>
      <c r="L7" s="131">
        <f>Fak_Einheit/IF(denom_1="absolut",1,Fak_Einheit*T!FI_gesamt)</f>
        <v>0.01</v>
      </c>
      <c r="M7" s="131">
        <f>Fak_Einheit/IF(denom_1="absolut",1,Fak_Einheit*T!FI_gesamt)</f>
        <v>0.01</v>
      </c>
      <c r="N7" s="131">
        <f>Fak_Einheit/IF(denom_1="absolut",1,Fak_Einheit*T!FI_gesamt)</f>
        <v>0.01</v>
      </c>
      <c r="O7" s="131">
        <f>Fak_Einheit/IF(denom_1="absolut",1,Fak_Einheit*T!FI_gesamt)</f>
        <v>0.01</v>
      </c>
      <c r="P7" s="131">
        <f>Fak_Einheit/IF(denom_1="absolut",1,Fak_Einheit*T!FI_gesamt)</f>
        <v>0.01</v>
      </c>
      <c r="Q7" s="131">
        <f>Fak_Einheit/IF(denom_1="absolut",1,Fak_Einheit*T!FI_gesamt)</f>
        <v>0.01</v>
      </c>
      <c r="R7" s="131">
        <f>Fak_Einheit/IF(denom_1="absolut",1,Fak_Einheit*T!FI_gesamt)</f>
        <v>0.01</v>
      </c>
      <c r="S7" s="131">
        <f>Fak_Einheit/IF(denom_1="absolut",1,Fak_Einheit*T!FI_gesamt)</f>
        <v>0.01</v>
      </c>
      <c r="T7" s="143"/>
      <c r="U7" s="145"/>
      <c r="V7" s="146"/>
      <c r="W7" s="138"/>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row>
    <row r="8" spans="1:69" s="270" customFormat="1" ht="15" hidden="1" x14ac:dyDescent="0.25">
      <c r="B8" s="271"/>
      <c r="C8" s="272"/>
      <c r="D8" s="271"/>
      <c r="F8" s="363"/>
      <c r="G8" s="363"/>
      <c r="H8" s="363" t="s">
        <v>7523</v>
      </c>
      <c r="I8" s="363"/>
      <c r="J8" s="363">
        <v>3722.1926565460599</v>
      </c>
      <c r="K8" s="363">
        <v>7444.8506609605502</v>
      </c>
      <c r="L8" s="363">
        <v>2273.9248722621001</v>
      </c>
      <c r="M8" s="363">
        <v>4506.5007405734896</v>
      </c>
      <c r="N8" s="363">
        <v>5333.9266130927499</v>
      </c>
      <c r="O8" s="363">
        <v>2655.14984213564</v>
      </c>
      <c r="P8" s="363">
        <v>3389.5811451322702</v>
      </c>
      <c r="Q8" s="363">
        <v>2775.5337503163601</v>
      </c>
      <c r="R8" s="363">
        <v>4326.7091616392499</v>
      </c>
      <c r="S8" s="363">
        <v>36428.36944265847</v>
      </c>
      <c r="V8" s="382"/>
    </row>
    <row r="9" spans="1:69" s="274" customFormat="1" ht="93" customHeight="1" x14ac:dyDescent="0.4">
      <c r="B9" s="272"/>
      <c r="C9" s="272"/>
      <c r="D9" s="272"/>
      <c r="F9" s="275"/>
      <c r="G9" s="275"/>
      <c r="H9" s="275"/>
      <c r="I9" s="275"/>
      <c r="J9" s="278" t="s">
        <v>1</v>
      </c>
      <c r="K9" s="278" t="s">
        <v>2</v>
      </c>
      <c r="L9" s="278" t="s">
        <v>3</v>
      </c>
      <c r="M9" s="278" t="s">
        <v>9</v>
      </c>
      <c r="N9" s="278" t="s">
        <v>4</v>
      </c>
      <c r="O9" s="278" t="s">
        <v>5</v>
      </c>
      <c r="P9" s="278" t="s">
        <v>6</v>
      </c>
      <c r="Q9" s="278" t="s">
        <v>7</v>
      </c>
      <c r="R9" s="278" t="s">
        <v>8</v>
      </c>
      <c r="S9" s="279" t="str">
        <f>T!BL</f>
        <v>T</v>
      </c>
      <c r="V9" s="382"/>
      <c r="W9" s="276"/>
      <c r="X9" s="276"/>
      <c r="BO9" s="274" t="s">
        <v>7524</v>
      </c>
      <c r="BP9" s="274" t="s">
        <v>7525</v>
      </c>
      <c r="BQ9" s="274" t="s">
        <v>7526</v>
      </c>
    </row>
    <row r="10" spans="1:69" s="156" customFormat="1" ht="19.5" customHeight="1" thickBot="1" x14ac:dyDescent="0.45">
      <c r="B10" s="236"/>
      <c r="C10" s="237"/>
      <c r="D10" s="238"/>
      <c r="F10" s="265"/>
      <c r="G10" s="157"/>
      <c r="I10" s="192" t="s">
        <v>7515</v>
      </c>
      <c r="J10" s="286">
        <f>3722.19265654606*(+T!Fak_1)</f>
        <v>37.221926565460599</v>
      </c>
      <c r="K10" s="286">
        <f>7444.85066096055*(+T!Fak_1)</f>
        <v>74.448506609605502</v>
      </c>
      <c r="L10" s="286">
        <f>2273.9248722621*(+T!Fak_1)</f>
        <v>22.739248722620999</v>
      </c>
      <c r="M10" s="286">
        <f>4506.50074057349*(+T!Fak_1)</f>
        <v>45.065007405734896</v>
      </c>
      <c r="N10" s="286">
        <f>5333.92661309275*(+T!Fak_1)</f>
        <v>53.339266130927498</v>
      </c>
      <c r="O10" s="286">
        <f>2655.14984213564*(+T!Fak_1)</f>
        <v>26.551498421356399</v>
      </c>
      <c r="P10" s="286">
        <f>3389.58114513227*(+T!Fak_1)</f>
        <v>33.8958114513227</v>
      </c>
      <c r="Q10" s="286">
        <f>2775.53375031636*(+T!Fak_1)</f>
        <v>27.755337503163602</v>
      </c>
      <c r="R10" s="286">
        <f>4326.70916163925*(+T!Fak_1)</f>
        <v>43.267091616392499</v>
      </c>
      <c r="S10" s="287">
        <f>36428.3694426584*(+T!Fak_1)</f>
        <v>364.28369442658396</v>
      </c>
      <c r="T10" s="172" t="str">
        <f t="shared" ref="T10:T15" si="0">IF(denom_1="absolut",Einheit,"% FI gesamt")</f>
        <v>km²</v>
      </c>
      <c r="U10" s="160"/>
      <c r="V10" s="161">
        <f>+BP10/BO10</f>
        <v>0.60506408706256654</v>
      </c>
      <c r="W10" s="364" t="s">
        <v>7527</v>
      </c>
      <c r="X10" s="163"/>
      <c r="Y10" s="159"/>
      <c r="BO10" s="164">
        <f>+S10/$S$7</f>
        <v>36428.369442658397</v>
      </c>
      <c r="BP10" s="164">
        <f>+S25/$S$23</f>
        <v>22041.498100000001</v>
      </c>
      <c r="BQ10" s="164">
        <f>+BO10-BP10</f>
        <v>14386.871342658396</v>
      </c>
    </row>
    <row r="11" spans="1:69" s="147" customFormat="1" ht="19.5" customHeight="1" thickTop="1" thickBot="1" x14ac:dyDescent="0.35">
      <c r="B11" s="227"/>
      <c r="C11" s="228"/>
      <c r="D11" s="235"/>
      <c r="E11" s="148"/>
      <c r="F11" s="265"/>
      <c r="I11" s="152" t="s">
        <v>25</v>
      </c>
      <c r="J11" s="288">
        <f>1206.02693947238*(+T!Fak_1)</f>
        <v>12.0602693947238</v>
      </c>
      <c r="K11" s="288">
        <f>2176.93304248131*(+T!Fak_1)</f>
        <v>21.769330424813102</v>
      </c>
      <c r="L11" s="288">
        <f>590.421696886351*(+T!Fak_1)</f>
        <v>5.9042169688635102</v>
      </c>
      <c r="M11" s="288">
        <f>1223.35323575613*(+T!Fak_1)</f>
        <v>12.233532357561302</v>
      </c>
      <c r="N11" s="288">
        <f>1652.78454901697*(+T!Fak_1)</f>
        <v>16.5278454901697</v>
      </c>
      <c r="O11" s="288">
        <f>976.495669027025*(+T!Fak_1)</f>
        <v>9.7649566902702496</v>
      </c>
      <c r="P11" s="288">
        <f>1219.42975897346*(+T!Fak_1)</f>
        <v>12.1942975897346</v>
      </c>
      <c r="Q11" s="288">
        <f>922.45264802326*(+T!Fak_1)</f>
        <v>9.2245264802326012</v>
      </c>
      <c r="R11" s="288">
        <f>1355.63491898769*(+T!Fak_1)</f>
        <v>13.556349189876901</v>
      </c>
      <c r="S11" s="289">
        <f>11323.5324586246*(+T!Fak_1)</f>
        <v>113.23532458624601</v>
      </c>
      <c r="T11" s="172" t="str">
        <f t="shared" si="0"/>
        <v>km²</v>
      </c>
      <c r="U11" s="160"/>
      <c r="V11" s="161">
        <f t="shared" ref="V11:V15" si="1">+BP11/BO11</f>
        <v>0.80199796602190943</v>
      </c>
      <c r="W11" s="364"/>
      <c r="X11" s="163"/>
      <c r="Y11" s="159"/>
      <c r="BO11" s="164">
        <f t="shared" ref="BO11:BO15" si="2">+S11/$S$7</f>
        <v>11323.532458624601</v>
      </c>
      <c r="BP11" s="164">
        <f t="shared" ref="BP11:BP15" si="3">+S26/$S$23</f>
        <v>9081.4500000000007</v>
      </c>
      <c r="BQ11" s="164">
        <f t="shared" ref="BQ11:BQ15" si="4">+BO11-BP11</f>
        <v>2242.0824586245999</v>
      </c>
    </row>
    <row r="12" spans="1:69" s="147" customFormat="1" ht="19.5" customHeight="1" thickTop="1" thickBot="1" x14ac:dyDescent="0.35">
      <c r="A12" s="167"/>
      <c r="B12" s="227"/>
      <c r="C12" s="228"/>
      <c r="D12" s="235"/>
      <c r="E12" s="148"/>
      <c r="F12" s="265"/>
      <c r="I12" s="152" t="s">
        <v>7410</v>
      </c>
      <c r="J12" s="288">
        <f>2014.26773505004*(+T!Fak_1)</f>
        <v>20.142677350500403</v>
      </c>
      <c r="K12" s="288">
        <f>4245.79837180722*(+T!Fak_1)</f>
        <v>42.4579837180722</v>
      </c>
      <c r="L12" s="288">
        <f>1586.68854740947*(+T!Fak_1)</f>
        <v>15.866885474094699</v>
      </c>
      <c r="M12" s="288">
        <f>2117.57402369722*(+T!Fak_1)</f>
        <v>21.175740236972203</v>
      </c>
      <c r="N12" s="288">
        <f>2719.834679939*(+T!Fak_1)</f>
        <v>27.198346799390002</v>
      </c>
      <c r="O12" s="288">
        <f>1242.19500579284*(+T!Fak_1)</f>
        <v>12.421950057928401</v>
      </c>
      <c r="P12" s="288">
        <f>1559.50656941807*(+T!Fak_1)</f>
        <v>15.5950656941807</v>
      </c>
      <c r="Q12" s="288">
        <f>1479.87323821914*(+T!Fak_1)</f>
        <v>14.7987323821914</v>
      </c>
      <c r="R12" s="288">
        <f>2205.90608822772*(+T!Fak_1)</f>
        <v>22.059060882277201</v>
      </c>
      <c r="S12" s="289">
        <f>19171.6442595607*(+T!Fak_1)</f>
        <v>191.71644259560702</v>
      </c>
      <c r="T12" s="172" t="str">
        <f t="shared" si="0"/>
        <v>km²</v>
      </c>
      <c r="U12" s="160"/>
      <c r="V12" s="161">
        <f t="shared" si="1"/>
        <v>0.56677122488235554</v>
      </c>
      <c r="W12" s="364"/>
      <c r="X12" s="163"/>
      <c r="Y12" s="159"/>
      <c r="BO12" s="164">
        <f t="shared" si="2"/>
        <v>19171.6442595607</v>
      </c>
      <c r="BP12" s="164">
        <f t="shared" si="3"/>
        <v>10865.936299999999</v>
      </c>
      <c r="BQ12" s="164">
        <f t="shared" si="4"/>
        <v>8305.7079595607011</v>
      </c>
    </row>
    <row r="13" spans="1:69" s="147" customFormat="1" ht="19.5" customHeight="1" thickTop="1" thickBot="1" x14ac:dyDescent="0.35">
      <c r="B13" s="227"/>
      <c r="C13" s="228"/>
      <c r="D13" s="235"/>
      <c r="E13" s="148"/>
      <c r="F13" s="265"/>
      <c r="I13" s="152" t="s">
        <v>7409</v>
      </c>
      <c r="J13" s="288">
        <f>273.950211820881*(+T!Fak_1)</f>
        <v>2.7395021182088102</v>
      </c>
      <c r="K13" s="288">
        <f>648.40528566856*(+T!Fak_1)</f>
        <v>6.4840528566856008</v>
      </c>
      <c r="L13" s="288">
        <f>78.9266726024341*(+T!Fak_1)</f>
        <v>0.789266726024341</v>
      </c>
      <c r="M13" s="288">
        <f>689.482251522489*(+T!Fak_1)</f>
        <v>6.8948225152248908</v>
      </c>
      <c r="N13" s="288">
        <f>603.233677638686*(+T!Fak_1)</f>
        <v>6.0323367763868605</v>
      </c>
      <c r="O13" s="288">
        <f>275.010052559964*(+T!Fak_1)</f>
        <v>2.75010052559964</v>
      </c>
      <c r="P13" s="288">
        <f>343.524517140289*(+T!Fak_1)</f>
        <v>3.4352451714028902</v>
      </c>
      <c r="Q13" s="288">
        <f>165.092453974117*(+T!Fak_1)</f>
        <v>1.65092453974117</v>
      </c>
      <c r="R13" s="288">
        <f>506.617073971634*(+T!Fak_1)</f>
        <v>5.0661707397163402</v>
      </c>
      <c r="S13" s="289">
        <f>3584.24219689905*(+T!Fak_1)</f>
        <v>35.8424219689905</v>
      </c>
      <c r="T13" s="172" t="str">
        <f t="shared" si="0"/>
        <v>km²</v>
      </c>
      <c r="U13" s="160"/>
      <c r="V13" s="161">
        <f t="shared" si="1"/>
        <v>0.50639669427761069</v>
      </c>
      <c r="W13" s="364"/>
      <c r="X13" s="163"/>
      <c r="Y13" s="159"/>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4">
        <f t="shared" si="2"/>
        <v>3584.2421968990498</v>
      </c>
      <c r="BP13" s="164">
        <f t="shared" si="3"/>
        <v>1815.0483999999999</v>
      </c>
      <c r="BQ13" s="164">
        <f t="shared" si="4"/>
        <v>1769.1937968990499</v>
      </c>
    </row>
    <row r="14" spans="1:69" s="147" customFormat="1" ht="19.5" customHeight="1" thickTop="1" x14ac:dyDescent="0.3">
      <c r="B14" s="227"/>
      <c r="C14" s="228"/>
      <c r="D14" s="235"/>
      <c r="E14" s="148"/>
      <c r="F14" s="265"/>
      <c r="I14" s="152" t="s">
        <v>7549</v>
      </c>
      <c r="J14" s="288">
        <f>122.273759623294*(+T!Fak_1)</f>
        <v>1.2227375962329401</v>
      </c>
      <c r="K14" s="288">
        <f>257.842259820539*(+T!Fak_1)</f>
        <v>2.5784225982053903</v>
      </c>
      <c r="L14" s="288">
        <f>4.70067570357427*(+T!Fak_1)</f>
        <v>4.7006757035742704E-2</v>
      </c>
      <c r="M14" s="288">
        <f>337.108556076394*(+T!Fak_1)</f>
        <v>3.3710855607639401</v>
      </c>
      <c r="N14" s="288">
        <f>219.517249460246*(+T!Fak_1)</f>
        <v>2.1951724946024602</v>
      </c>
      <c r="O14" s="288">
        <f>58.1618244594655*(+T!Fak_1)</f>
        <v>0.58161824459465505</v>
      </c>
      <c r="P14" s="288">
        <f>186.886670045387*(+T!Fak_1)</f>
        <v>1.8688667004538702</v>
      </c>
      <c r="Q14" s="288">
        <f>103.801299892996*(+T!Fak_1)</f>
        <v>1.03801299892996</v>
      </c>
      <c r="R14" s="288">
        <f>195.590461381852*(+T!Fak_1)</f>
        <v>1.9559046138185201</v>
      </c>
      <c r="S14" s="290">
        <f>1485.88275646375*(+T!Fak_1)</f>
        <v>14.858827564637499</v>
      </c>
      <c r="T14" s="172" t="str">
        <f t="shared" si="0"/>
        <v>km²</v>
      </c>
      <c r="U14" s="160"/>
      <c r="V14" s="161">
        <f t="shared" si="1"/>
        <v>0.12299409169734081</v>
      </c>
      <c r="W14" s="364"/>
      <c r="X14" s="163"/>
      <c r="Y14" s="159"/>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4">
        <f t="shared" si="2"/>
        <v>1485.88275646375</v>
      </c>
      <c r="BP14" s="164">
        <f t="shared" si="3"/>
        <v>182.75479999999999</v>
      </c>
      <c r="BQ14" s="164">
        <f t="shared" si="4"/>
        <v>1303.12795646375</v>
      </c>
    </row>
    <row r="15" spans="1:69" s="147" customFormat="1" ht="19.5" customHeight="1" x14ac:dyDescent="0.3">
      <c r="B15" s="227"/>
      <c r="C15" s="228"/>
      <c r="D15" s="235"/>
      <c r="E15" s="148"/>
      <c r="F15" s="265"/>
      <c r="I15" s="152" t="s">
        <v>7519</v>
      </c>
      <c r="J15" s="288">
        <f>105.674010579472*(+T!Fak_1)</f>
        <v>1.0567401057947199</v>
      </c>
      <c r="K15" s="288">
        <f>115.871701182918*(+T!Fak_1)</f>
        <v>1.1587170118291801</v>
      </c>
      <c r="L15" s="288">
        <f>13.1872796602632*(+T!Fak_1)</f>
        <v>0.13187279660263201</v>
      </c>
      <c r="M15" s="288">
        <f>138.982673521261*(+T!Fak_1)</f>
        <v>1.3898267352126101</v>
      </c>
      <c r="N15" s="288">
        <f>138.556457037848*(+T!Fak_1)</f>
        <v>1.38556457037848</v>
      </c>
      <c r="O15" s="288">
        <f>103.287290296346*(+T!Fak_1)</f>
        <v>1.03287290296346</v>
      </c>
      <c r="P15" s="288">
        <f>80.2336295550554*(+T!Fak_1)</f>
        <v>0.80233629555055408</v>
      </c>
      <c r="Q15" s="288">
        <f>104.314110206851*(+T!Fak_1)</f>
        <v>1.04314110206851</v>
      </c>
      <c r="R15" s="288">
        <f>62.9606190703572*(+T!Fak_1)</f>
        <v>0.62960619070357193</v>
      </c>
      <c r="S15" s="290">
        <f>863.067771110372*(+T!Fak_1)</f>
        <v>8.6306777111037203</v>
      </c>
      <c r="T15" s="172" t="str">
        <f t="shared" si="0"/>
        <v>km²</v>
      </c>
      <c r="U15" s="160"/>
      <c r="V15" s="161">
        <f t="shared" si="1"/>
        <v>0.11158868772969593</v>
      </c>
      <c r="W15" s="364"/>
      <c r="X15" s="163"/>
      <c r="Y15" s="159"/>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4">
        <f t="shared" si="2"/>
        <v>863.06777111037206</v>
      </c>
      <c r="BP15" s="164">
        <f t="shared" si="3"/>
        <v>96.308599999999998</v>
      </c>
      <c r="BQ15" s="164">
        <f t="shared" si="4"/>
        <v>766.75917111037211</v>
      </c>
    </row>
    <row r="16" spans="1:69" s="147" customFormat="1" ht="21" customHeight="1" x14ac:dyDescent="0.3">
      <c r="B16" s="227"/>
      <c r="C16" s="228"/>
      <c r="D16" s="235"/>
      <c r="E16" s="148"/>
      <c r="F16" s="265"/>
      <c r="I16" s="152"/>
      <c r="J16" s="168"/>
      <c r="K16" s="168"/>
      <c r="L16" s="168"/>
      <c r="M16" s="168"/>
      <c r="N16" s="168"/>
      <c r="O16" s="168"/>
      <c r="P16" s="168"/>
      <c r="Q16" s="168"/>
      <c r="R16" s="168"/>
      <c r="S16" s="170"/>
      <c r="T16" s="172"/>
      <c r="U16" s="168"/>
    </row>
    <row r="17" spans="2:23" s="147" customFormat="1" ht="42.75" customHeight="1" x14ac:dyDescent="0.3">
      <c r="B17" s="227"/>
      <c r="C17" s="228"/>
      <c r="D17" s="235"/>
      <c r="E17" s="148"/>
      <c r="F17" s="265"/>
      <c r="I17" s="152" t="s">
        <v>7520</v>
      </c>
      <c r="J17" s="371"/>
      <c r="K17" s="371"/>
      <c r="L17" s="371"/>
      <c r="M17" s="371"/>
      <c r="N17" s="371"/>
      <c r="O17" s="371"/>
      <c r="P17" s="371"/>
      <c r="Q17" s="371"/>
      <c r="R17" s="371"/>
      <c r="S17" s="371"/>
      <c r="T17" s="172"/>
      <c r="U17" s="168"/>
    </row>
    <row r="18" spans="2:23" s="147" customFormat="1" ht="42.75" customHeight="1" x14ac:dyDescent="0.3">
      <c r="B18" s="227"/>
      <c r="C18" s="228"/>
      <c r="D18" s="235"/>
      <c r="E18" s="148"/>
      <c r="F18" s="265"/>
      <c r="J18" s="173">
        <f t="shared" ref="J18:S18" si="5">FI_gesamt/EW*10000</f>
        <v>604.85101424236018</v>
      </c>
      <c r="K18" s="173">
        <f t="shared" si="5"/>
        <v>407.00481423154361</v>
      </c>
      <c r="L18" s="173">
        <f t="shared" si="5"/>
        <v>174.13369623326568</v>
      </c>
      <c r="M18" s="173">
        <f t="shared" si="5"/>
        <v>690.39751517809373</v>
      </c>
      <c r="N18" s="173">
        <f t="shared" si="5"/>
        <v>476.24769980917239</v>
      </c>
      <c r="O18" s="173">
        <f t="shared" si="5"/>
        <v>596.68970338793656</v>
      </c>
      <c r="P18" s="173">
        <f t="shared" si="5"/>
        <v>694.33019483228941</v>
      </c>
      <c r="Q18" s="173">
        <f t="shared" si="5"/>
        <v>833.89428864209833</v>
      </c>
      <c r="R18" s="173">
        <f t="shared" si="5"/>
        <v>507.90721138662587</v>
      </c>
      <c r="S18" s="173">
        <f t="shared" si="5"/>
        <v>476.74746882822541</v>
      </c>
      <c r="T18" s="171" t="s">
        <v>7413</v>
      </c>
    </row>
    <row r="19" spans="2:23" s="147" customFormat="1" ht="42.75" customHeight="1" x14ac:dyDescent="0.3">
      <c r="B19" s="227"/>
      <c r="C19" s="228"/>
      <c r="D19" s="235"/>
      <c r="E19" s="148"/>
      <c r="F19" s="265"/>
      <c r="I19" s="152" t="s">
        <v>7550</v>
      </c>
      <c r="J19" s="372"/>
      <c r="K19" s="372"/>
      <c r="L19" s="372"/>
      <c r="M19" s="372"/>
      <c r="N19" s="372"/>
      <c r="O19" s="372"/>
      <c r="P19" s="372"/>
      <c r="Q19" s="372"/>
      <c r="R19" s="372"/>
      <c r="S19" s="372"/>
      <c r="T19" s="171"/>
      <c r="U19" s="168"/>
    </row>
    <row r="20" spans="2:23" s="147" customFormat="1" ht="66.75" customHeight="1" x14ac:dyDescent="0.3">
      <c r="B20" s="227"/>
      <c r="C20" s="228"/>
      <c r="D20" s="235"/>
      <c r="E20" s="148"/>
      <c r="F20" s="265"/>
      <c r="I20" s="245"/>
      <c r="J20" s="174">
        <f t="shared" ref="J20:S20" si="6">100*Fak_Einheit*FI_gesamt/DSR</f>
        <v>27.914576054079511</v>
      </c>
      <c r="K20" s="174">
        <f t="shared" si="6"/>
        <v>27.346421347407041</v>
      </c>
      <c r="L20" s="174">
        <f t="shared" si="6"/>
        <v>64.666824426509919</v>
      </c>
      <c r="M20" s="174">
        <f t="shared" si="6"/>
        <v>17.566074297644178</v>
      </c>
      <c r="N20" s="174">
        <f t="shared" si="6"/>
        <v>19.896995713768344</v>
      </c>
      <c r="O20" s="174">
        <f t="shared" si="6"/>
        <v>23.333217473371839</v>
      </c>
      <c r="P20" s="174">
        <f t="shared" si="6"/>
        <v>19.292967641758867</v>
      </c>
      <c r="Q20" s="174">
        <f t="shared" si="6"/>
        <v>24.675250241151055</v>
      </c>
      <c r="R20" s="174">
        <f t="shared" si="6"/>
        <v>21.046349419531648</v>
      </c>
      <c r="S20" s="174">
        <f t="shared" si="6"/>
        <v>0.23159766711617844</v>
      </c>
      <c r="T20" s="373" t="s">
        <v>7418</v>
      </c>
      <c r="U20" s="373"/>
      <c r="V20" s="373"/>
      <c r="W20" s="266"/>
    </row>
    <row r="21" spans="2:23" ht="51" customHeight="1" x14ac:dyDescent="0.3">
      <c r="G21" s="176"/>
      <c r="H21" s="176"/>
      <c r="I21" s="369" t="s">
        <v>7474</v>
      </c>
      <c r="J21" s="369"/>
      <c r="K21" s="369"/>
      <c r="L21" s="369"/>
      <c r="M21" s="369"/>
      <c r="N21" s="369"/>
      <c r="O21" s="369"/>
      <c r="P21" s="369"/>
      <c r="Q21" s="369"/>
      <c r="R21" s="369"/>
      <c r="S21" s="369"/>
      <c r="T21" s="369"/>
      <c r="U21" s="369"/>
      <c r="V21" s="175"/>
    </row>
    <row r="22" spans="2:23" ht="49.5" hidden="1" customHeight="1" x14ac:dyDescent="0.3">
      <c r="H22" s="177" t="s">
        <v>7522</v>
      </c>
      <c r="I22" s="138"/>
      <c r="J22" s="138">
        <v>2200.2501000000002</v>
      </c>
      <c r="K22" s="138">
        <v>4332.1194999999998</v>
      </c>
      <c r="L22" s="138">
        <v>1397.2992999999999</v>
      </c>
      <c r="M22" s="138">
        <v>2521.9694</v>
      </c>
      <c r="N22" s="138">
        <v>3465.5807</v>
      </c>
      <c r="O22" s="138">
        <v>1708.9835</v>
      </c>
      <c r="P22" s="138">
        <v>1975.8786</v>
      </c>
      <c r="Q22" s="138">
        <v>1547.5476000000001</v>
      </c>
      <c r="R22" s="138">
        <v>2891.8694</v>
      </c>
      <c r="S22" s="138">
        <v>22041.498100000001</v>
      </c>
      <c r="U22" s="138"/>
    </row>
    <row r="23" spans="2:23" ht="18" hidden="1" x14ac:dyDescent="0.35">
      <c r="B23" s="232"/>
      <c r="C23" s="233"/>
      <c r="D23" s="239"/>
      <c r="E23" s="138"/>
      <c r="H23" s="177" t="s">
        <v>7521</v>
      </c>
      <c r="I23" s="138"/>
      <c r="J23" s="138">
        <f>Fak_Einheit/IF(denom_1="absolut",1,Fak_Einheit*T!VS_gesamt)</f>
        <v>0.01</v>
      </c>
      <c r="K23" s="138">
        <f>Fak_Einheit/IF(denom_1="absolut",1,Fak_Einheit*T!VS_gesamt)</f>
        <v>0.01</v>
      </c>
      <c r="L23" s="138">
        <f>Fak_Einheit/IF(denom_1="absolut",1,Fak_Einheit*T!VS_gesamt)</f>
        <v>0.01</v>
      </c>
      <c r="M23" s="138">
        <f>Fak_Einheit/IF(denom_1="absolut",1,Fak_Einheit*T!VS_gesamt)</f>
        <v>0.01</v>
      </c>
      <c r="N23" s="138">
        <f>Fak_Einheit/IF(denom_1="absolut",1,Fak_Einheit*T!VS_gesamt)</f>
        <v>0.01</v>
      </c>
      <c r="O23" s="138">
        <f>Fak_Einheit/IF(denom_1="absolut",1,Fak_Einheit*T!VS_gesamt)</f>
        <v>0.01</v>
      </c>
      <c r="P23" s="138">
        <f>Fak_Einheit/IF(denom_1="absolut",1,Fak_Einheit*T!VS_gesamt)</f>
        <v>0.01</v>
      </c>
      <c r="Q23" s="138">
        <f>Fak_Einheit/IF(denom_1="absolut",1,Fak_Einheit*T!VS_gesamt)</f>
        <v>0.01</v>
      </c>
      <c r="R23" s="138">
        <f>Fak_Einheit/IF(denom_1="absolut",1,Fak_Einheit*T!VS_gesamt)</f>
        <v>0.01</v>
      </c>
      <c r="S23" s="138">
        <f>Fak_Einheit/IF(denom_1="absolut",1,Fak_Einheit*T!VS_gesamt)</f>
        <v>0.01</v>
      </c>
      <c r="U23" s="138"/>
    </row>
    <row r="24" spans="2:23" ht="86.25" customHeight="1" x14ac:dyDescent="0.4">
      <c r="G24" s="144"/>
      <c r="H24" s="210"/>
      <c r="I24" s="210"/>
      <c r="J24" s="278" t="str">
        <f t="shared" ref="J24:R24" si="7">+J9</f>
        <v>Imst</v>
      </c>
      <c r="K24" s="278" t="str">
        <f t="shared" si="7"/>
        <v>Innsbruck-Land</v>
      </c>
      <c r="L24" s="278" t="str">
        <f t="shared" si="7"/>
        <v>Innsbruck-Stadt</v>
      </c>
      <c r="M24" s="278" t="str">
        <f t="shared" si="7"/>
        <v>Kitzbühel</v>
      </c>
      <c r="N24" s="278" t="str">
        <f t="shared" si="7"/>
        <v>Kufstein</v>
      </c>
      <c r="O24" s="278" t="str">
        <f t="shared" si="7"/>
        <v>Landeck</v>
      </c>
      <c r="P24" s="278" t="str">
        <f t="shared" si="7"/>
        <v>Lienz</v>
      </c>
      <c r="Q24" s="278" t="str">
        <f t="shared" si="7"/>
        <v>Reutte</v>
      </c>
      <c r="R24" s="278" t="str">
        <f t="shared" si="7"/>
        <v>Schwaz</v>
      </c>
      <c r="S24" s="279" t="str">
        <f>T!BL</f>
        <v>T</v>
      </c>
      <c r="T24" s="210"/>
      <c r="U24" s="147"/>
      <c r="V24" s="147"/>
      <c r="W24" s="147"/>
    </row>
    <row r="25" spans="2:23" ht="19.5" customHeight="1" thickBot="1" x14ac:dyDescent="0.35">
      <c r="G25" s="146"/>
      <c r="I25" s="158" t="s">
        <v>7516</v>
      </c>
      <c r="J25" s="280">
        <f>2200.2501*(+T!Fak_2)</f>
        <v>22.002501000000002</v>
      </c>
      <c r="K25" s="280">
        <f>4332.1195*(+T!Fak_2)</f>
        <v>43.321194999999996</v>
      </c>
      <c r="L25" s="280">
        <f>1397.2993*(+T!Fak_2)</f>
        <v>13.972992999999999</v>
      </c>
      <c r="M25" s="280">
        <f>2521.9694*(+T!Fak_2)</f>
        <v>25.219694</v>
      </c>
      <c r="N25" s="280">
        <f>3465.5807*(+T!Fak_2)</f>
        <v>34.655807000000003</v>
      </c>
      <c r="O25" s="280">
        <f>1708.9835*(+T!Fak_2)</f>
        <v>17.089835000000001</v>
      </c>
      <c r="P25" s="280">
        <f>1975.8786*(+T!Fak_2)</f>
        <v>19.758786000000001</v>
      </c>
      <c r="Q25" s="280">
        <f>1547.5476*(+T!Fak_2)</f>
        <v>15.475476000000002</v>
      </c>
      <c r="R25" s="280">
        <f>2891.8694*(+T!Fak_2)</f>
        <v>28.918694000000002</v>
      </c>
      <c r="S25" s="281">
        <f>22041.4981*(+T!Fak_2)</f>
        <v>220.41498100000001</v>
      </c>
      <c r="T25" s="159" t="str">
        <f t="shared" ref="T25:T30" si="8">IF(denom_1="absolut",Einheit,"% VS gesamt")</f>
        <v>km²</v>
      </c>
      <c r="U25" s="160"/>
      <c r="V25" s="161">
        <f>BP10/BO10</f>
        <v>0.60506408706256654</v>
      </c>
      <c r="W25" s="364" t="s">
        <v>7528</v>
      </c>
    </row>
    <row r="26" spans="2:23" ht="19.5" customHeight="1" thickTop="1" thickBot="1" x14ac:dyDescent="0.35">
      <c r="F26" s="138" t="s">
        <v>7411</v>
      </c>
      <c r="G26" s="144"/>
      <c r="I26" s="148" t="s">
        <v>25</v>
      </c>
      <c r="J26" s="282">
        <f>933.2228*(+T!Fak_2)</f>
        <v>9.3322280000000006</v>
      </c>
      <c r="K26" s="282">
        <f>1724.1194*(+T!Fak_2)</f>
        <v>17.241194</v>
      </c>
      <c r="L26" s="282">
        <f>479.3671*(+T!Fak_2)</f>
        <v>4.7936709999999998</v>
      </c>
      <c r="M26" s="282">
        <f>1001.174*(+T!Fak_2)</f>
        <v>10.01174</v>
      </c>
      <c r="N26" s="282">
        <f>1361.9804*(+T!Fak_2)</f>
        <v>13.619804</v>
      </c>
      <c r="O26" s="282">
        <f>785.916*(+T!Fak_2)</f>
        <v>7.859160000000001</v>
      </c>
      <c r="P26" s="282">
        <f>954.0805*(+T!Fak_2)</f>
        <v>9.5408050000000006</v>
      </c>
      <c r="Q26" s="282">
        <f>708.2432*(+T!Fak_2)</f>
        <v>7.0824319999999998</v>
      </c>
      <c r="R26" s="282">
        <f>1133.3466*(+T!Fak_2)</f>
        <v>11.333466000000001</v>
      </c>
      <c r="S26" s="283">
        <f>9081.45*(+T!Fak_2)</f>
        <v>90.81450000000001</v>
      </c>
      <c r="T26" s="159" t="str">
        <f t="shared" si="8"/>
        <v>km²</v>
      </c>
      <c r="U26" s="160"/>
      <c r="V26" s="161">
        <f t="shared" ref="V26:V30" si="9">BP11/BO11</f>
        <v>0.80199796602190943</v>
      </c>
      <c r="W26" s="364"/>
    </row>
    <row r="27" spans="2:23" ht="19.5" customHeight="1" thickTop="1" thickBot="1" x14ac:dyDescent="0.35">
      <c r="G27" s="222"/>
      <c r="I27" s="148" t="s">
        <v>7410</v>
      </c>
      <c r="J27" s="282">
        <f>1108.2029*(+T!Fak_2)</f>
        <v>11.082029</v>
      </c>
      <c r="K27" s="282">
        <f>2264.1887*(+T!Fak_2)</f>
        <v>22.641887000000001</v>
      </c>
      <c r="L27" s="282">
        <f>890.1723*(+T!Fak_2)</f>
        <v>8.9017230000000005</v>
      </c>
      <c r="M27" s="282">
        <f>1135.4657*(+T!Fak_2)</f>
        <v>11.354657</v>
      </c>
      <c r="N27" s="282">
        <f>1690.0776*(+T!Fak_2)</f>
        <v>16.900776</v>
      </c>
      <c r="O27" s="282">
        <f>774.7931*(+T!Fak_2)</f>
        <v>7.7479310000000003</v>
      </c>
      <c r="P27" s="282">
        <f>832.6866*(+T!Fak_2)</f>
        <v>8.3268660000000008</v>
      </c>
      <c r="Q27" s="282">
        <f>750.8386*(+T!Fak_2)</f>
        <v>7.5083860000000007</v>
      </c>
      <c r="R27" s="282">
        <f>1419.5108*(+T!Fak_2)</f>
        <v>14.195108000000001</v>
      </c>
      <c r="S27" s="283">
        <f>10865.9363*(+T!Fak_2)</f>
        <v>108.659363</v>
      </c>
      <c r="T27" s="159" t="str">
        <f t="shared" si="8"/>
        <v>km²</v>
      </c>
      <c r="U27" s="160"/>
      <c r="V27" s="161">
        <f t="shared" si="9"/>
        <v>0.56677122488235554</v>
      </c>
      <c r="W27" s="364"/>
    </row>
    <row r="28" spans="2:23" ht="19.5" customHeight="1" thickTop="1" thickBot="1" x14ac:dyDescent="0.35">
      <c r="G28" s="222"/>
      <c r="I28" s="148" t="s">
        <v>7409</v>
      </c>
      <c r="J28" s="282">
        <f>129.2394*(+T!Fak_2)</f>
        <v>1.2923939999999998</v>
      </c>
      <c r="K28" s="282">
        <f>288.2933*(+T!Fak_2)</f>
        <v>2.882933</v>
      </c>
      <c r="L28" s="282">
        <f>25.3721*(+T!Fak_2)</f>
        <v>0.25372099999999997</v>
      </c>
      <c r="M28" s="282">
        <f>346.5269*(+T!Fak_2)</f>
        <v>3.4652690000000002</v>
      </c>
      <c r="N28" s="282">
        <f>359.4252*(+T!Fak_2)</f>
        <v>3.5942520000000004</v>
      </c>
      <c r="O28" s="282">
        <f>130.5892*(+T!Fak_2)</f>
        <v>1.3058920000000001</v>
      </c>
      <c r="P28" s="282">
        <f>167.6592*(+T!Fak_2)</f>
        <v>1.6765920000000001</v>
      </c>
      <c r="Q28" s="282">
        <f>68.9597*(+T!Fak_2)</f>
        <v>0.68959700000000002</v>
      </c>
      <c r="R28" s="282">
        <f>298.9834*(+T!Fak_2)</f>
        <v>2.9898340000000001</v>
      </c>
      <c r="S28" s="283">
        <f>1815.0484*(+T!Fak_2)</f>
        <v>18.150483999999999</v>
      </c>
      <c r="T28" s="159" t="str">
        <f t="shared" si="8"/>
        <v>km²</v>
      </c>
      <c r="U28" s="160"/>
      <c r="V28" s="161">
        <f t="shared" si="9"/>
        <v>0.50639669427761069</v>
      </c>
      <c r="W28" s="364"/>
    </row>
    <row r="29" spans="2:23" ht="19.5" customHeight="1" thickTop="1" x14ac:dyDescent="0.3">
      <c r="G29" s="222"/>
      <c r="I29" s="148" t="s">
        <v>7549</v>
      </c>
      <c r="J29" s="282">
        <f>12.7859*(+T!Fak_2)</f>
        <v>0.127859</v>
      </c>
      <c r="K29" s="282">
        <f>39.0712*(+T!Fak_2)</f>
        <v>0.390712</v>
      </c>
      <c r="L29" s="282">
        <f>0.4079*(+T!Fak_2)</f>
        <v>4.0790000000000002E-3</v>
      </c>
      <c r="M29" s="282">
        <f>27.738*(+T!Fak_2)</f>
        <v>0.27738000000000002</v>
      </c>
      <c r="N29" s="282">
        <f>32.3451*(+T!Fak_2)</f>
        <v>0.32345100000000004</v>
      </c>
      <c r="O29" s="282">
        <f>11.7155*(+T!Fak_2)</f>
        <v>0.11715500000000001</v>
      </c>
      <c r="P29" s="282">
        <f>13.6114*(+T!Fak_2)</f>
        <v>0.13611400000000001</v>
      </c>
      <c r="Q29" s="282">
        <f>14.7371*(+T!Fak_2)</f>
        <v>0.147371</v>
      </c>
      <c r="R29" s="282">
        <f>30.3427*(+T!Fak_2)</f>
        <v>0.303427</v>
      </c>
      <c r="S29" s="204">
        <f>182.7548*(+T!Fak_2)</f>
        <v>1.827548</v>
      </c>
      <c r="T29" s="159" t="str">
        <f t="shared" si="8"/>
        <v>km²</v>
      </c>
      <c r="U29" s="160"/>
      <c r="V29" s="161">
        <f t="shared" si="9"/>
        <v>0.12299409169734081</v>
      </c>
      <c r="W29" s="364"/>
    </row>
    <row r="30" spans="2:23" ht="19.5" customHeight="1" x14ac:dyDescent="0.3">
      <c r="G30" s="222"/>
      <c r="I30" s="148" t="s">
        <v>7519</v>
      </c>
      <c r="J30" s="282">
        <f>16.7991*(+T!Fak_2)</f>
        <v>0.167991</v>
      </c>
      <c r="K30" s="282">
        <f>16.4469*(+T!Fak_2)</f>
        <v>0.164469</v>
      </c>
      <c r="L30" s="282">
        <f>1.9799*(+T!Fak_2)</f>
        <v>1.9799000000000001E-2</v>
      </c>
      <c r="M30" s="282">
        <f>11.0648*(+T!Fak_2)</f>
        <v>0.110648</v>
      </c>
      <c r="N30" s="282">
        <f>21.7524*(+T!Fak_2)</f>
        <v>0.21752400000000002</v>
      </c>
      <c r="O30" s="282">
        <f>5.9697*(+T!Fak_2)</f>
        <v>5.9697E-2</v>
      </c>
      <c r="P30" s="282">
        <f>7.8409*(+T!Fak_2)</f>
        <v>7.8409000000000006E-2</v>
      </c>
      <c r="Q30" s="282">
        <f>4.769*(+T!Fak_2)</f>
        <v>4.7690000000000003E-2</v>
      </c>
      <c r="R30" s="282">
        <f>9.6859*(+T!Fak_2)</f>
        <v>9.6859000000000001E-2</v>
      </c>
      <c r="S30" s="204">
        <f>96.3086*(+T!Fak_2)</f>
        <v>0.963086</v>
      </c>
      <c r="T30" s="159" t="str">
        <f t="shared" si="8"/>
        <v>km²</v>
      </c>
      <c r="U30" s="160"/>
      <c r="V30" s="161">
        <f t="shared" si="9"/>
        <v>0.11158868772969593</v>
      </c>
      <c r="W30" s="364"/>
    </row>
    <row r="31" spans="2:23" ht="19.5" customHeight="1" x14ac:dyDescent="0.3">
      <c r="G31" s="222"/>
      <c r="I31" s="148"/>
      <c r="J31" s="284"/>
      <c r="K31" s="284"/>
      <c r="L31" s="284"/>
      <c r="M31" s="284"/>
      <c r="N31" s="284"/>
      <c r="O31" s="284"/>
      <c r="P31" s="284"/>
      <c r="Q31" s="284"/>
      <c r="R31" s="284"/>
      <c r="S31" s="284"/>
      <c r="T31" s="159"/>
      <c r="U31" s="160"/>
      <c r="V31" s="189"/>
      <c r="W31" s="147"/>
    </row>
    <row r="32" spans="2:23" ht="19.5" customHeight="1" x14ac:dyDescent="0.3">
      <c r="G32" s="144"/>
      <c r="I32" s="148" t="s">
        <v>7514</v>
      </c>
      <c r="J32" s="282">
        <f t="shared" ref="J32:S32" si="10">+VS_gesamt*10000/EW</f>
        <v>357.53751279676311</v>
      </c>
      <c r="K32" s="282">
        <f t="shared" si="10"/>
        <v>236.8339638526553</v>
      </c>
      <c r="L32" s="282">
        <f t="shared" si="10"/>
        <v>107.00304782325686</v>
      </c>
      <c r="M32" s="282">
        <f t="shared" si="10"/>
        <v>386.3666084505316</v>
      </c>
      <c r="N32" s="282">
        <f t="shared" si="10"/>
        <v>309.42961097866947</v>
      </c>
      <c r="O32" s="282">
        <f t="shared" si="10"/>
        <v>384.05849701110162</v>
      </c>
      <c r="P32" s="282">
        <f t="shared" si="10"/>
        <v>404.74386496783973</v>
      </c>
      <c r="Q32" s="282">
        <f t="shared" si="10"/>
        <v>464.952409566158</v>
      </c>
      <c r="R32" s="282">
        <f t="shared" si="10"/>
        <v>339.47308861680773</v>
      </c>
      <c r="S32" s="282">
        <f t="shared" si="10"/>
        <v>288.46277198593907</v>
      </c>
      <c r="T32" s="224" t="s">
        <v>7513</v>
      </c>
      <c r="U32" s="147"/>
      <c r="V32" s="147"/>
      <c r="W32" s="147"/>
    </row>
    <row r="33" spans="7:35" ht="19.5" customHeight="1" x14ac:dyDescent="0.3">
      <c r="G33" s="144"/>
      <c r="I33" s="148" t="s">
        <v>7472</v>
      </c>
      <c r="J33" s="285">
        <f>100*Fak_Einheit*VS_gesamt/T!DSR</f>
        <v>16.500771029793693</v>
      </c>
      <c r="K33" s="285">
        <f>100*Fak_Einheit*VS_gesamt/T!DSR</f>
        <v>15.912738961379425</v>
      </c>
      <c r="L33" s="285">
        <f>100*Fak_Einheit*VS_gesamt/T!DSR</f>
        <v>39.736980586564492</v>
      </c>
      <c r="M33" s="285">
        <f>100*Fak_Einheit*VS_gesamt/T!DSR</f>
        <v>9.830488089778374</v>
      </c>
      <c r="N33" s="285">
        <f>100*Fak_Einheit*VS_gesamt/T!DSR</f>
        <v>12.927557751612296</v>
      </c>
      <c r="O33" s="285">
        <f>100*Fak_Einheit*VS_gesamt/T!DSR</f>
        <v>15.018392947582303</v>
      </c>
      <c r="P33" s="285">
        <f>100*Fak_Einheit*VS_gesamt/T!DSR</f>
        <v>11.246393067942396</v>
      </c>
      <c r="Q33" s="285">
        <f>100*Fak_Einheit*VS_gesamt/T!DSR</f>
        <v>13.758119239494105</v>
      </c>
      <c r="R33" s="285">
        <f>100*Fak_Einheit*VS_gesamt/T!DSR</f>
        <v>14.066878912885425</v>
      </c>
      <c r="S33" s="285">
        <f>100*Fak_Einheit*VS_gesamt/T!DSR</f>
        <v>0.14013143101947043</v>
      </c>
      <c r="T33" s="210" t="s">
        <v>7418</v>
      </c>
      <c r="U33" s="147"/>
      <c r="V33" s="147"/>
      <c r="W33" s="147"/>
    </row>
    <row r="34" spans="7:35" ht="19.5" customHeight="1" x14ac:dyDescent="0.3">
      <c r="G34" s="144"/>
      <c r="I34" s="148"/>
      <c r="J34" s="285"/>
      <c r="K34" s="285"/>
      <c r="L34" s="285"/>
      <c r="M34" s="285"/>
      <c r="N34" s="285"/>
      <c r="O34" s="285"/>
      <c r="P34" s="285"/>
      <c r="Q34" s="285"/>
      <c r="R34" s="285"/>
      <c r="S34" s="285"/>
      <c r="T34" s="210"/>
      <c r="U34" s="147"/>
      <c r="V34" s="147"/>
      <c r="W34" s="147"/>
    </row>
    <row r="35" spans="7:35" ht="19.5" customHeight="1" x14ac:dyDescent="0.3">
      <c r="G35" s="144"/>
      <c r="I35" s="369" t="s">
        <v>7415</v>
      </c>
      <c r="J35" s="369"/>
      <c r="K35" s="369"/>
      <c r="L35" s="369"/>
      <c r="M35" s="369"/>
      <c r="N35" s="369"/>
      <c r="O35" s="369"/>
      <c r="P35" s="369"/>
      <c r="Q35" s="369"/>
      <c r="R35" s="369"/>
      <c r="S35" s="369"/>
      <c r="T35" s="369"/>
      <c r="U35" s="369"/>
      <c r="V35" s="147"/>
      <c r="W35" s="147"/>
    </row>
    <row r="36" spans="7:35" ht="19.5" customHeight="1" x14ac:dyDescent="0.3">
      <c r="G36" s="144"/>
      <c r="I36" s="148"/>
      <c r="J36" s="285"/>
      <c r="K36" s="285"/>
      <c r="L36" s="285"/>
      <c r="M36" s="285"/>
      <c r="N36" s="285"/>
      <c r="O36" s="285"/>
      <c r="P36" s="285"/>
      <c r="Q36" s="285"/>
      <c r="R36" s="285"/>
      <c r="S36" s="285"/>
      <c r="T36" s="210"/>
      <c r="U36" s="147"/>
      <c r="V36" s="147"/>
      <c r="W36" s="147"/>
    </row>
    <row r="37" spans="7:35" ht="19.5" customHeight="1" x14ac:dyDescent="0.3">
      <c r="G37" s="144"/>
      <c r="I37" s="148"/>
      <c r="J37" s="285"/>
      <c r="K37" s="285"/>
      <c r="L37" s="285"/>
      <c r="M37" s="285"/>
      <c r="N37" s="285"/>
      <c r="O37" s="285"/>
      <c r="P37" s="285"/>
      <c r="Q37" s="285"/>
      <c r="R37" s="285"/>
      <c r="S37" s="285"/>
      <c r="T37" s="210"/>
      <c r="U37" s="147"/>
      <c r="V37" s="147"/>
      <c r="W37" s="147"/>
    </row>
    <row r="38" spans="7:35" ht="90.75" customHeight="1" x14ac:dyDescent="0.4">
      <c r="G38" s="144"/>
      <c r="I38" s="148"/>
      <c r="J38" s="338" t="str">
        <f>J24</f>
        <v>Imst</v>
      </c>
      <c r="K38" s="338" t="str">
        <f t="shared" ref="K38:R38" si="11">K24</f>
        <v>Innsbruck-Land</v>
      </c>
      <c r="L38" s="338" t="str">
        <f t="shared" si="11"/>
        <v>Innsbruck-Stadt</v>
      </c>
      <c r="M38" s="338" t="str">
        <f t="shared" si="11"/>
        <v>Kitzbühel</v>
      </c>
      <c r="N38" s="338" t="str">
        <f t="shared" si="11"/>
        <v>Kufstein</v>
      </c>
      <c r="O38" s="338" t="str">
        <f t="shared" si="11"/>
        <v>Landeck</v>
      </c>
      <c r="P38" s="338" t="str">
        <f t="shared" si="11"/>
        <v>Lienz</v>
      </c>
      <c r="Q38" s="338" t="str">
        <f t="shared" si="11"/>
        <v>Reutte</v>
      </c>
      <c r="R38" s="338" t="str">
        <f t="shared" si="11"/>
        <v>Schwaz</v>
      </c>
      <c r="S38" s="277" t="str">
        <f>T!BL</f>
        <v>T</v>
      </c>
      <c r="T38" s="339"/>
      <c r="U38" s="339"/>
      <c r="V38" s="339"/>
      <c r="W38" s="339"/>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36"/>
      <c r="U39" s="336"/>
      <c r="V39" s="336"/>
      <c r="W39" s="336"/>
      <c r="X39" s="336"/>
      <c r="Y39" s="336"/>
      <c r="Z39" s="336"/>
      <c r="AA39" s="336"/>
      <c r="AB39" s="336"/>
      <c r="AC39" s="336"/>
      <c r="AD39" s="336"/>
      <c r="AE39" s="336"/>
      <c r="AF39" s="336"/>
      <c r="AG39" s="336"/>
      <c r="AH39" s="336"/>
    </row>
    <row r="40" spans="7:35" ht="19.5" customHeight="1" x14ac:dyDescent="0.3">
      <c r="G40" s="144"/>
      <c r="I40" s="148"/>
      <c r="J40" s="191">
        <f>Fak_1*2282.227553</f>
        <v>22.822275530000002</v>
      </c>
      <c r="K40" s="191">
        <f>Fak_1*4684.917639</f>
        <v>46.849176390000004</v>
      </c>
      <c r="L40" s="191">
        <f>Fak_1*1708.040647</f>
        <v>17.08040647</v>
      </c>
      <c r="M40" s="191">
        <f>Fak_1*2340.563175</f>
        <v>23.405631749999998</v>
      </c>
      <c r="N40" s="191">
        <f>Fak_1*3042.088775</f>
        <v>30.420887750000002</v>
      </c>
      <c r="O40" s="191">
        <f>Fak_1*1458.144229</f>
        <v>14.58144229</v>
      </c>
      <c r="P40" s="191">
        <f>Fak_1*1790.997999</f>
        <v>17.90997999</v>
      </c>
      <c r="Q40" s="191">
        <f>Fak_1*1747.681434</f>
        <v>17.476814340000001</v>
      </c>
      <c r="R40" s="191">
        <f>Fak_1*2593.906008</f>
        <v>25.939060080000001</v>
      </c>
      <c r="S40" s="191">
        <f>Fak_1*21648.567458</f>
        <v>216.48567458000002</v>
      </c>
      <c r="T40" s="210"/>
      <c r="U40" s="147"/>
      <c r="V40" s="147"/>
      <c r="W40" s="147"/>
    </row>
    <row r="41" spans="7:35" ht="19.5" customHeight="1" x14ac:dyDescent="0.3">
      <c r="G41" s="144"/>
      <c r="I41" s="148"/>
      <c r="J41" s="378" t="s">
        <v>7548</v>
      </c>
      <c r="K41" s="378"/>
      <c r="L41" s="378"/>
      <c r="M41" s="378"/>
      <c r="N41" s="378"/>
      <c r="O41" s="378"/>
      <c r="P41" s="378"/>
      <c r="Q41" s="378"/>
      <c r="R41" s="378"/>
      <c r="S41" s="378"/>
      <c r="T41" s="336"/>
      <c r="U41" s="336"/>
      <c r="V41" s="336"/>
      <c r="W41" s="336"/>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384"/>
      <c r="P42" s="384"/>
      <c r="Q42" s="384"/>
      <c r="R42" s="384"/>
      <c r="S42" s="384"/>
      <c r="T42" s="210"/>
      <c r="U42" s="147"/>
      <c r="V42" s="147"/>
      <c r="W42" s="147"/>
    </row>
    <row r="43" spans="7:35" ht="19.5" customHeight="1" x14ac:dyDescent="0.3">
      <c r="G43" s="144"/>
      <c r="I43" s="307" t="s">
        <v>7546</v>
      </c>
      <c r="J43" s="191">
        <f t="shared" ref="J43:S43" si="12">100*J44/Baulandwidmung</f>
        <v>18.531951664681348</v>
      </c>
      <c r="K43" s="191">
        <f t="shared" si="12"/>
        <v>15.734311588823216</v>
      </c>
      <c r="L43" s="191">
        <f t="shared" si="12"/>
        <v>17.686669432053627</v>
      </c>
      <c r="M43" s="191">
        <f t="shared" si="12"/>
        <v>12.09851334177297</v>
      </c>
      <c r="N43" s="191">
        <f t="shared" si="12"/>
        <v>14.248201057183152</v>
      </c>
      <c r="O43" s="191">
        <f t="shared" si="12"/>
        <v>20.09714061008707</v>
      </c>
      <c r="P43" s="191">
        <f t="shared" si="12"/>
        <v>20.065455137339882</v>
      </c>
      <c r="Q43" s="191">
        <f t="shared" si="12"/>
        <v>21.861042153749857</v>
      </c>
      <c r="R43" s="191">
        <f t="shared" si="12"/>
        <v>16.989903244019164</v>
      </c>
      <c r="S43" s="191">
        <f t="shared" si="12"/>
        <v>16.878591713234645</v>
      </c>
      <c r="T43" s="210"/>
      <c r="U43" s="147"/>
      <c r="V43" s="147"/>
      <c r="W43" s="147"/>
    </row>
    <row r="44" spans="7:35" ht="19.5" customHeight="1" x14ac:dyDescent="0.3">
      <c r="G44" s="144"/>
      <c r="I44" s="152" t="str">
        <f>"in " &amp; Einheit</f>
        <v>in km²</v>
      </c>
      <c r="J44" s="191">
        <f>Fak_1*422.941307</f>
        <v>4.2294130699999997</v>
      </c>
      <c r="K44" s="191">
        <f>Fak_1*737.139539</f>
        <v>7.37139539</v>
      </c>
      <c r="L44" s="191">
        <f>Fak_1*302.095503</f>
        <v>3.0209550300000001</v>
      </c>
      <c r="M44" s="191">
        <f>Fak_1*283.173348</f>
        <v>2.83173348</v>
      </c>
      <c r="N44" s="191">
        <f>Fak_1*433.442925</f>
        <v>4.3344292500000003</v>
      </c>
      <c r="O44" s="191">
        <f>Fak_1*293.045296</f>
        <v>2.9304529600000002</v>
      </c>
      <c r="P44" s="191">
        <f>Fak_1*359.3719</f>
        <v>3.5937190000000001</v>
      </c>
      <c r="Q44" s="191">
        <f>Fak_1*382.061375</f>
        <v>3.8206137500000001</v>
      </c>
      <c r="R44" s="191">
        <f>Fak_1*440.702121</f>
        <v>4.4070212099999999</v>
      </c>
      <c r="S44" s="191">
        <f>Fak_1*3653.973313</f>
        <v>36.539733130000002</v>
      </c>
      <c r="T44" s="210"/>
      <c r="U44" s="147"/>
      <c r="V44" s="147"/>
      <c r="W44" s="147"/>
    </row>
    <row r="45" spans="7:35" ht="19.5" customHeight="1" x14ac:dyDescent="0.3">
      <c r="G45" s="144"/>
      <c r="I45" s="148"/>
      <c r="J45" s="378" t="s">
        <v>7476</v>
      </c>
      <c r="K45" s="378"/>
      <c r="L45" s="378"/>
      <c r="M45" s="378"/>
      <c r="N45" s="378"/>
      <c r="O45" s="378"/>
      <c r="P45" s="378"/>
      <c r="Q45" s="378"/>
      <c r="R45" s="378"/>
      <c r="S45" s="378"/>
      <c r="T45" s="336"/>
      <c r="U45" s="336"/>
      <c r="V45" s="336"/>
      <c r="W45" s="336"/>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384"/>
      <c r="P46" s="384"/>
      <c r="Q46" s="384"/>
      <c r="R46" s="384"/>
      <c r="S46" s="384"/>
      <c r="T46" s="210"/>
      <c r="U46" s="147"/>
      <c r="V46" s="147"/>
      <c r="W46" s="147"/>
    </row>
    <row r="47" spans="7:35" ht="19.5" customHeight="1" x14ac:dyDescent="0.3">
      <c r="G47" s="144"/>
      <c r="I47" s="307" t="s">
        <v>7546</v>
      </c>
      <c r="J47" s="191">
        <f t="shared" ref="J47:S47" si="13">100*J48/Baulandwidmung</f>
        <v>11.741152526520214</v>
      </c>
      <c r="K47" s="191">
        <f t="shared" si="13"/>
        <v>9.3729546138559137</v>
      </c>
      <c r="L47" s="191">
        <f t="shared" si="13"/>
        <v>7.1047547500197163</v>
      </c>
      <c r="M47" s="191">
        <f t="shared" si="13"/>
        <v>9.5270445755005131</v>
      </c>
      <c r="N47" s="191">
        <f t="shared" si="13"/>
        <v>10.593185105191415</v>
      </c>
      <c r="O47" s="191">
        <f t="shared" si="13"/>
        <v>14.809867138321337</v>
      </c>
      <c r="P47" s="191">
        <f t="shared" si="13"/>
        <v>12.92527569150009</v>
      </c>
      <c r="Q47" s="191">
        <f t="shared" si="13"/>
        <v>15.323627681221909</v>
      </c>
      <c r="R47" s="191">
        <f t="shared" si="13"/>
        <v>14.958133363481533</v>
      </c>
      <c r="S47" s="191">
        <f t="shared" si="13"/>
        <v>11.441479838356148</v>
      </c>
      <c r="T47" s="210"/>
      <c r="U47" s="147"/>
      <c r="V47" s="147"/>
      <c r="W47" s="147"/>
    </row>
    <row r="48" spans="7:35" ht="19.5" customHeight="1" x14ac:dyDescent="0.3">
      <c r="G48" s="144"/>
      <c r="I48" s="152" t="str">
        <f>"in " &amp; Einheit</f>
        <v>in km²</v>
      </c>
      <c r="J48" s="191">
        <f>Fak_1*267.959818</f>
        <v>2.6795981799999997</v>
      </c>
      <c r="K48" s="191">
        <f>Fak_1*439.115204</f>
        <v>4.3911520400000006</v>
      </c>
      <c r="L48" s="191">
        <f>Fak_1*121.352099</f>
        <v>1.2135209899999999</v>
      </c>
      <c r="M48" s="191">
        <f>Fak_1*222.986497</f>
        <v>2.2298649700000004</v>
      </c>
      <c r="N48" s="191">
        <f>Fak_1*322.254095</f>
        <v>3.22254095</v>
      </c>
      <c r="O48" s="191">
        <f>Fak_1*215.949223</f>
        <v>2.1594922300000001</v>
      </c>
      <c r="P48" s="191">
        <f>Fak_1*231.491429</f>
        <v>2.3149142900000004</v>
      </c>
      <c r="Q48" s="191">
        <f>Fak_1*267.808196</f>
        <v>2.6780819600000001</v>
      </c>
      <c r="R48" s="191">
        <f>Fak_1*387.99992</f>
        <v>3.8799991999999999</v>
      </c>
      <c r="S48" s="191">
        <f>Fak_1*2476.916481</f>
        <v>24.769164810000003</v>
      </c>
      <c r="T48" s="210"/>
      <c r="U48" s="147"/>
      <c r="V48" s="147"/>
      <c r="W48" s="147"/>
    </row>
    <row r="49" spans="1:69" ht="19.5" customHeight="1" x14ac:dyDescent="0.3">
      <c r="G49" s="144"/>
      <c r="I49" s="148"/>
      <c r="J49" s="378" t="s">
        <v>7420</v>
      </c>
      <c r="K49" s="378"/>
      <c r="L49" s="378"/>
      <c r="M49" s="378"/>
      <c r="N49" s="378"/>
      <c r="O49" s="378"/>
      <c r="P49" s="378"/>
      <c r="Q49" s="378"/>
      <c r="R49" s="378"/>
      <c r="S49" s="378"/>
      <c r="T49" s="336"/>
      <c r="U49" s="336"/>
      <c r="V49" s="336"/>
      <c r="W49" s="336"/>
      <c r="X49" s="336"/>
      <c r="Y49" s="336"/>
      <c r="Z49" s="336"/>
      <c r="AA49" s="336"/>
      <c r="AB49" s="336"/>
      <c r="AC49" s="336"/>
      <c r="AD49" s="336"/>
      <c r="AE49" s="336"/>
      <c r="AF49" s="336"/>
      <c r="AG49" s="336"/>
      <c r="AH49" s="336"/>
    </row>
    <row r="50" spans="1:69" ht="19.5" customHeight="1" x14ac:dyDescent="0.3">
      <c r="G50" s="144"/>
      <c r="I50" s="307"/>
      <c r="J50" s="384"/>
      <c r="K50" s="384"/>
      <c r="L50" s="384"/>
      <c r="M50" s="384"/>
      <c r="N50" s="384"/>
      <c r="O50" s="384"/>
      <c r="P50" s="384"/>
      <c r="Q50" s="384"/>
      <c r="R50" s="384"/>
      <c r="S50" s="384"/>
      <c r="T50" s="210"/>
      <c r="U50" s="147"/>
      <c r="V50" s="147"/>
      <c r="W50" s="147"/>
    </row>
    <row r="51" spans="1:69" ht="19.5" customHeight="1" x14ac:dyDescent="0.3">
      <c r="G51" s="144"/>
      <c r="I51" s="307" t="s">
        <v>7546</v>
      </c>
      <c r="J51" s="191">
        <f t="shared" ref="J51:S51" si="14">100*J52/Baulandwidmung</f>
        <v>26.246267039086963</v>
      </c>
      <c r="K51" s="191">
        <f t="shared" si="14"/>
        <v>28.042392102338511</v>
      </c>
      <c r="L51" s="191">
        <f t="shared" si="14"/>
        <v>26.492231949793872</v>
      </c>
      <c r="M51" s="191">
        <f t="shared" si="14"/>
        <v>31.499090384518251</v>
      </c>
      <c r="N51" s="191">
        <f t="shared" si="14"/>
        <v>30.05625442341011</v>
      </c>
      <c r="O51" s="191">
        <f t="shared" si="14"/>
        <v>30.037714533930373</v>
      </c>
      <c r="P51" s="191">
        <f t="shared" si="14"/>
        <v>27.903305435239627</v>
      </c>
      <c r="Q51" s="191">
        <f t="shared" si="14"/>
        <v>21.801503843176945</v>
      </c>
      <c r="R51" s="191">
        <f t="shared" si="14"/>
        <v>30.871543206665027</v>
      </c>
      <c r="S51" s="191">
        <f t="shared" si="14"/>
        <v>28.345502111883892</v>
      </c>
      <c r="T51" s="210"/>
      <c r="U51" s="147"/>
      <c r="V51" s="147"/>
      <c r="W51" s="147"/>
    </row>
    <row r="52" spans="1:69" ht="19.5" customHeight="1" x14ac:dyDescent="0.3">
      <c r="G52" s="144"/>
      <c r="I52" s="152" t="str">
        <f>"in " &amp; Einheit</f>
        <v>in km²</v>
      </c>
      <c r="J52" s="191">
        <f>Fak_1*598.999538</f>
        <v>5.9899953800000008</v>
      </c>
      <c r="K52" s="191">
        <f>Fak_1*1313.762974</f>
        <v>13.13762974</v>
      </c>
      <c r="L52" s="191">
        <f>Fak_1*452.49809</f>
        <v>4.5249809000000001</v>
      </c>
      <c r="M52" s="191">
        <f>Fak_1*737.25611</f>
        <v>7.3725611000000004</v>
      </c>
      <c r="N52" s="191">
        <f>Fak_1*914.337942</f>
        <v>9.1433794200000005</v>
      </c>
      <c r="O52" s="191">
        <f>Fak_1*437.993201</f>
        <v>4.3799320100000001</v>
      </c>
      <c r="P52" s="191">
        <f>Fak_1*499.747642</f>
        <v>4.9974764199999999</v>
      </c>
      <c r="Q52" s="191">
        <f>Fak_1*381.020835</f>
        <v>3.8102083499999999</v>
      </c>
      <c r="R52" s="191">
        <f>Fak_1*800.778814</f>
        <v>8.0077881400000006</v>
      </c>
      <c r="S52" s="191">
        <f>Fak_1*6136.395146</f>
        <v>61.363951460000003</v>
      </c>
      <c r="T52" s="210"/>
      <c r="U52" s="147"/>
      <c r="V52" s="147"/>
      <c r="W52" s="147"/>
    </row>
    <row r="53" spans="1:69" ht="19.5" customHeight="1" x14ac:dyDescent="0.3">
      <c r="G53" s="144"/>
      <c r="I53" s="148"/>
      <c r="J53" s="285"/>
      <c r="K53" s="285"/>
      <c r="L53" s="285"/>
      <c r="M53" s="285"/>
      <c r="N53" s="285"/>
      <c r="O53" s="285"/>
      <c r="P53" s="285"/>
      <c r="Q53" s="285"/>
      <c r="R53" s="285"/>
      <c r="S53" s="285"/>
      <c r="T53" s="210"/>
      <c r="U53" s="147"/>
      <c r="V53" s="147"/>
      <c r="W53" s="147"/>
    </row>
    <row r="54" spans="1:69" s="144" customFormat="1" ht="74.25" customHeight="1" x14ac:dyDescent="0.6">
      <c r="B54" s="227"/>
      <c r="C54" s="228"/>
      <c r="D54" s="229"/>
      <c r="E54" s="244" t="s">
        <v>7408</v>
      </c>
      <c r="F54" s="188"/>
      <c r="G54" s="187"/>
      <c r="H54" s="187"/>
    </row>
    <row r="55" spans="1:69"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"&amp;T!Einheit, IF(Versatz = 2, "in m² pro Einwohner:in", "in Prozent des Dauersiedlungsraums"))</f>
        <v>Flächeninanspruchnahme in km²</v>
      </c>
      <c r="J55" s="369"/>
      <c r="K55" s="369"/>
      <c r="L55" s="369"/>
      <c r="M55" s="369"/>
      <c r="N55" s="369"/>
      <c r="O55" s="369"/>
      <c r="P55" s="369"/>
      <c r="Q55" s="369"/>
      <c r="R55" s="369"/>
      <c r="S55" s="369"/>
      <c r="T55" s="369"/>
      <c r="U55" s="369"/>
    </row>
    <row r="56" spans="1:69" x14ac:dyDescent="0.3">
      <c r="F56" s="181"/>
      <c r="G56" s="137"/>
      <c r="H56" s="178"/>
      <c r="I56" s="180"/>
      <c r="J56" s="137"/>
      <c r="K56" s="137"/>
      <c r="L56" s="137"/>
      <c r="M56" s="137"/>
      <c r="N56" s="137"/>
      <c r="O56" s="137"/>
      <c r="P56" s="137"/>
      <c r="Q56" s="137"/>
      <c r="R56" s="137"/>
      <c r="S56" s="137"/>
      <c r="T56" s="137"/>
      <c r="U56" s="137"/>
      <c r="V56" s="136"/>
    </row>
    <row r="57" spans="1:69" hidden="1" x14ac:dyDescent="0.3">
      <c r="F57" s="137"/>
      <c r="G57" s="137"/>
      <c r="H57" s="178" t="s">
        <v>7532</v>
      </c>
      <c r="I57" s="180"/>
      <c r="J57" s="137">
        <f t="shared" ref="J57:S57" si="15">IF(Versatz = 1, Fak_Einheit, IF(Versatz = 2, 10000/J59, 100*Fak_Einheit/J60))</f>
        <v>0.01</v>
      </c>
      <c r="K57" s="137">
        <f t="shared" si="15"/>
        <v>0.01</v>
      </c>
      <c r="L57" s="137">
        <f t="shared" si="15"/>
        <v>0.01</v>
      </c>
      <c r="M57" s="137">
        <f t="shared" si="15"/>
        <v>0.01</v>
      </c>
      <c r="N57" s="137">
        <f t="shared" si="15"/>
        <v>0.01</v>
      </c>
      <c r="O57" s="137">
        <f t="shared" si="15"/>
        <v>0.01</v>
      </c>
      <c r="P57" s="137">
        <f t="shared" si="15"/>
        <v>0.01</v>
      </c>
      <c r="Q57" s="137">
        <f t="shared" si="15"/>
        <v>0.01</v>
      </c>
      <c r="R57" s="137">
        <f t="shared" si="15"/>
        <v>0.01</v>
      </c>
      <c r="S57" s="137">
        <f t="shared" si="15"/>
        <v>0.01</v>
      </c>
      <c r="T57" s="137"/>
      <c r="U57" s="137"/>
      <c r="V57" s="136"/>
    </row>
    <row r="58" spans="1:69" hidden="1" x14ac:dyDescent="0.3">
      <c r="F58" s="137"/>
      <c r="G58" s="137"/>
      <c r="H58" s="178" t="s">
        <v>7531</v>
      </c>
      <c r="I58" s="180"/>
      <c r="J58" s="137">
        <v>1</v>
      </c>
      <c r="K58" s="137">
        <v>1</v>
      </c>
      <c r="L58" s="137">
        <v>1</v>
      </c>
      <c r="M58" s="137">
        <v>1</v>
      </c>
      <c r="N58" s="137">
        <v>1</v>
      </c>
      <c r="O58" s="137">
        <v>1</v>
      </c>
      <c r="P58" s="137">
        <v>1</v>
      </c>
      <c r="Q58" s="137">
        <v>1</v>
      </c>
      <c r="R58" s="137">
        <v>1</v>
      </c>
      <c r="S58" s="137">
        <v>1</v>
      </c>
      <c r="T58" s="137"/>
      <c r="U58" s="137"/>
      <c r="V58" s="136"/>
    </row>
    <row r="59" spans="1:69" x14ac:dyDescent="0.3">
      <c r="F59" s="149"/>
      <c r="G59" s="149"/>
      <c r="H59" s="192" t="s">
        <v>159</v>
      </c>
      <c r="I59" s="154"/>
      <c r="J59" s="193">
        <v>61539</v>
      </c>
      <c r="K59" s="193">
        <v>182918</v>
      </c>
      <c r="L59" s="193">
        <v>130585</v>
      </c>
      <c r="M59" s="193">
        <v>65274</v>
      </c>
      <c r="N59" s="193">
        <v>111999</v>
      </c>
      <c r="O59" s="193">
        <v>44498</v>
      </c>
      <c r="P59" s="193">
        <v>48818</v>
      </c>
      <c r="Q59" s="193">
        <v>33284</v>
      </c>
      <c r="R59" s="193">
        <v>85187</v>
      </c>
      <c r="S59" s="193">
        <v>764102</v>
      </c>
      <c r="T59" s="194" t="s">
        <v>163</v>
      </c>
      <c r="U59" s="194"/>
      <c r="V59" s="195"/>
      <c r="W59" s="147"/>
      <c r="X59" s="147"/>
    </row>
    <row r="60" spans="1:69" x14ac:dyDescent="0.3">
      <c r="F60" s="150"/>
      <c r="G60" s="150"/>
      <c r="H60" s="192" t="s">
        <v>171</v>
      </c>
      <c r="I60" s="154"/>
      <c r="J60" s="193">
        <f>13334.2259948171*(+T!Fak_Einheit)</f>
        <v>133.34225994817101</v>
      </c>
      <c r="K60" s="193">
        <f>27224.222747034*(+T!Fak_Einheit)</f>
        <v>272.24222747034003</v>
      </c>
      <c r="L60" s="193">
        <f>3516.3700899621*(+T!Fak_Einheit)</f>
        <v>35.163700899620999</v>
      </c>
      <c r="M60" s="193">
        <f>25654.569508327*(+T!Fak_Einheit)</f>
        <v>256.54569508327</v>
      </c>
      <c r="N60" s="193">
        <f>26807.6984577213*(+T!Fak_Einheit)</f>
        <v>268.07698457721301</v>
      </c>
      <c r="O60" s="193">
        <f>11379.2701120869*(+T!Fak_Einheit)</f>
        <v>113.79270112086901</v>
      </c>
      <c r="P60" s="193">
        <f>17568.9982384859*(+T!Fak_Einheit)</f>
        <v>175.68998238485901</v>
      </c>
      <c r="Q60" s="193">
        <f>11248.2496557931*(+T!Fak_Einheit)</f>
        <v>112.48249655793101</v>
      </c>
      <c r="R60" s="193">
        <f>20558.0030787854*(+T!Fak_Einheit)</f>
        <v>205.58003078785401</v>
      </c>
      <c r="S60" s="193">
        <v>157291.60788301282</v>
      </c>
      <c r="T60" s="194" t="str">
        <f t="shared" ref="T60" si="16">Einheit</f>
        <v>km²</v>
      </c>
      <c r="U60" s="194"/>
      <c r="V60" s="195"/>
      <c r="W60" s="147"/>
      <c r="X60" s="147"/>
    </row>
    <row r="61" spans="1:69" x14ac:dyDescent="0.3">
      <c r="F61" s="150"/>
      <c r="G61" s="150"/>
      <c r="H61" s="192"/>
      <c r="I61" s="154"/>
      <c r="J61" s="193"/>
      <c r="K61" s="193"/>
      <c r="L61" s="193"/>
      <c r="M61" s="193"/>
      <c r="N61" s="193"/>
      <c r="O61" s="193"/>
      <c r="P61" s="193"/>
      <c r="Q61" s="193"/>
      <c r="R61" s="193"/>
      <c r="S61" s="193"/>
      <c r="T61" s="194"/>
      <c r="U61" s="194"/>
      <c r="V61" s="195"/>
      <c r="W61" s="147"/>
      <c r="X61" s="147"/>
    </row>
    <row r="62" spans="1:69" s="144" customFormat="1" ht="112.5" customHeight="1" x14ac:dyDescent="0.4">
      <c r="B62" s="227"/>
      <c r="C62" s="228"/>
      <c r="D62" s="229"/>
      <c r="E62" s="131"/>
      <c r="F62" s="210"/>
      <c r="G62" s="196"/>
      <c r="H62" s="210"/>
      <c r="I62" s="148"/>
      <c r="J62" s="278" t="str">
        <f t="shared" ref="J62:S62" si="17">+J24</f>
        <v>Imst</v>
      </c>
      <c r="K62" s="278" t="str">
        <f t="shared" si="17"/>
        <v>Innsbruck-Land</v>
      </c>
      <c r="L62" s="278" t="str">
        <f t="shared" si="17"/>
        <v>Innsbruck-Stadt</v>
      </c>
      <c r="M62" s="278" t="str">
        <f t="shared" si="17"/>
        <v>Kitzbühel</v>
      </c>
      <c r="N62" s="278" t="str">
        <f t="shared" si="17"/>
        <v>Kufstein</v>
      </c>
      <c r="O62" s="278" t="str">
        <f t="shared" si="17"/>
        <v>Landeck</v>
      </c>
      <c r="P62" s="278" t="str">
        <f t="shared" si="17"/>
        <v>Lienz</v>
      </c>
      <c r="Q62" s="278" t="str">
        <f t="shared" si="17"/>
        <v>Reutte</v>
      </c>
      <c r="R62" s="278" t="str">
        <f t="shared" si="17"/>
        <v>Schwaz</v>
      </c>
      <c r="S62" s="279" t="str">
        <f t="shared" si="17"/>
        <v>T</v>
      </c>
      <c r="T62" s="211"/>
      <c r="U62" s="210"/>
      <c r="V62" s="210"/>
      <c r="W62" s="210"/>
      <c r="X62" s="210"/>
    </row>
    <row r="63" spans="1:69" s="144" customFormat="1" ht="24" customHeight="1" x14ac:dyDescent="0.25">
      <c r="B63" s="227"/>
      <c r="C63" s="228"/>
      <c r="D63" s="229"/>
      <c r="E63" s="131"/>
      <c r="F63" s="198" t="s">
        <v>25</v>
      </c>
      <c r="G63" s="196">
        <v>101</v>
      </c>
      <c r="H63" s="148" t="str">
        <f>+VLOOKUP($G63,Konstanten!$A$2:$B$15,2,FALSE)</f>
        <v>Autobahn u. Schnellstraße</v>
      </c>
      <c r="I63" s="148"/>
      <c r="J63" s="267">
        <f>Fak_3*106.745207497078</f>
        <v>1.0674520749707801</v>
      </c>
      <c r="K63" s="267">
        <f>Fak_3*296.189434792353</f>
        <v>2.96189434792353</v>
      </c>
      <c r="L63" s="267">
        <f>Fak_3*58.8569148286937</f>
        <v>0.58856914828693696</v>
      </c>
      <c r="M63" s="267">
        <f>Fak_3*0</f>
        <v>0</v>
      </c>
      <c r="N63" s="267">
        <f>Fak_3*193.895216449295</f>
        <v>1.9389521644929499</v>
      </c>
      <c r="O63" s="267">
        <f>Fak_3*71.1843670641123</f>
        <v>0.71184367064112297</v>
      </c>
      <c r="P63" s="267">
        <f>Fak_3*0</f>
        <v>0</v>
      </c>
      <c r="Q63" s="267">
        <f>Fak_3*0</f>
        <v>0</v>
      </c>
      <c r="R63" s="267">
        <f>Fak_3*96.5700042151215</f>
        <v>0.96570004215121508</v>
      </c>
      <c r="S63" s="267">
        <f>Fak_3*823.441144846653</f>
        <v>8.2344114484665294</v>
      </c>
      <c r="T63" s="213"/>
      <c r="U63" s="220">
        <f t="shared" ref="U63:U76" si="18">+BD63/BC63</f>
        <v>0.62529156358129656</v>
      </c>
      <c r="V63" s="367" t="s">
        <v>7527</v>
      </c>
      <c r="X63" s="210"/>
      <c r="BC63" s="144">
        <v>110.40250823890199</v>
      </c>
      <c r="BD63" s="144">
        <v>69.033756999999994</v>
      </c>
      <c r="BE63" s="144">
        <f>+BC63-BD63</f>
        <v>41.368751238901993</v>
      </c>
      <c r="BP63" s="214"/>
      <c r="BQ63" s="214"/>
    </row>
    <row r="64" spans="1:69" s="144" customFormat="1" ht="24" customHeight="1" x14ac:dyDescent="0.25">
      <c r="B64" s="227"/>
      <c r="C64" s="228"/>
      <c r="D64" s="229"/>
      <c r="E64" s="131"/>
      <c r="F64" s="198"/>
      <c r="G64" s="196">
        <v>102</v>
      </c>
      <c r="H64" s="148" t="str">
        <f>+VLOOKUP($G64,Konstanten!$A$2:$B$15,2,FALSE)</f>
        <v>Landesstraße B + L</v>
      </c>
      <c r="I64" s="148"/>
      <c r="J64" s="267">
        <f>Fak_3*367.307023057529</f>
        <v>3.6730702305752905</v>
      </c>
      <c r="K64" s="267">
        <f>Fak_3*456.737890526487</f>
        <v>4.5673789052648699</v>
      </c>
      <c r="L64" s="267">
        <f>Fak_3*64.155276355238</f>
        <v>0.64155276355238</v>
      </c>
      <c r="M64" s="267">
        <f>Fak_3*283.45089056779</f>
        <v>2.8345089056778998</v>
      </c>
      <c r="N64" s="267">
        <f>Fak_3*311.867668342224</f>
        <v>3.1186766834222404</v>
      </c>
      <c r="O64" s="267">
        <f>Fak_3*296.249707434831</f>
        <v>2.9624970743483101</v>
      </c>
      <c r="P64" s="267">
        <f>Fak_3*354.758328016831</f>
        <v>3.5475832801683103</v>
      </c>
      <c r="Q64" s="267">
        <f>Fak_3*363.641687208458</f>
        <v>3.6364168720845802</v>
      </c>
      <c r="R64" s="267">
        <f>Fak_3*311.775152254508</f>
        <v>3.1177515225450798</v>
      </c>
      <c r="S64" s="267">
        <f>Fak_3*2809.9436237639</f>
        <v>28.099436237639001</v>
      </c>
      <c r="T64" s="213"/>
      <c r="U64" s="220">
        <f t="shared" si="18"/>
        <v>0.74842676287368548</v>
      </c>
      <c r="V64" s="367"/>
      <c r="X64" s="210"/>
      <c r="BC64" s="144">
        <v>429.83434045676199</v>
      </c>
      <c r="BD64" s="144">
        <v>321.699524</v>
      </c>
      <c r="BE64" s="144">
        <f t="shared" ref="BE64:BE76" si="19">+BC64-BD64</f>
        <v>108.134816456762</v>
      </c>
      <c r="BP64" s="214"/>
      <c r="BQ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Fak_3*672.137079242769</f>
        <v>6.72137079242769</v>
      </c>
      <c r="K65" s="267">
        <f>Fak_3*1245.49603548353</f>
        <v>12.454960354835301</v>
      </c>
      <c r="L65" s="267">
        <f>Fak_3*397.65996878182</f>
        <v>3.9765996878181999</v>
      </c>
      <c r="M65" s="267">
        <f>Fak_3*815.674183674211</f>
        <v>8.1567418367421105</v>
      </c>
      <c r="N65" s="267">
        <f>Fak_3*1005.23611682915</f>
        <v>10.052361168291499</v>
      </c>
      <c r="O65" s="267">
        <f>Fak_3*546.02343261473</f>
        <v>5.4602343261473001</v>
      </c>
      <c r="P65" s="267">
        <f>Fak_3*787.701841480323</f>
        <v>7.8770184148032296</v>
      </c>
      <c r="Q65" s="267">
        <f>Fak_3*503.628230216152</f>
        <v>5.0362823021615206</v>
      </c>
      <c r="R65" s="267">
        <f>Fak_3*861.337271359519</f>
        <v>8.6133727135951901</v>
      </c>
      <c r="S65" s="267">
        <f>Fak_3*6834.8941596822</f>
        <v>68.348941596822002</v>
      </c>
      <c r="T65" s="213"/>
      <c r="U65" s="220">
        <f t="shared" si="18"/>
        <v>0.77800703868448506</v>
      </c>
      <c r="V65" s="367"/>
      <c r="X65" s="210"/>
      <c r="BC65" s="144">
        <v>1051.88642686803</v>
      </c>
      <c r="BD65" s="144">
        <v>818.37504400000012</v>
      </c>
      <c r="BE65" s="144">
        <f t="shared" si="19"/>
        <v>233.51138286802984</v>
      </c>
      <c r="BP65" s="214"/>
      <c r="BQ65" s="214"/>
    </row>
    <row r="66" spans="2:128" s="144" customFormat="1" ht="24" customHeight="1" x14ac:dyDescent="0.25">
      <c r="B66" s="227"/>
      <c r="C66" s="228"/>
      <c r="D66" s="229"/>
      <c r="E66" s="131"/>
      <c r="F66" s="198"/>
      <c r="G66" s="196">
        <v>104</v>
      </c>
      <c r="H66" s="148" t="str">
        <f>+VLOOKUP($G66,Konstanten!$A$2:$B$15,2,FALSE)</f>
        <v>Schiene</v>
      </c>
      <c r="I66" s="148"/>
      <c r="J66" s="267">
        <f>Fak_3*59.8376296749994</f>
        <v>0.59837629674999404</v>
      </c>
      <c r="K66" s="267">
        <f>Fak_3*178.509681678947</f>
        <v>1.7850968167894701</v>
      </c>
      <c r="L66" s="267">
        <f>Fak_3*69.7495369205991</f>
        <v>0.69749536920599098</v>
      </c>
      <c r="M66" s="267">
        <f>Fak_3*124.228161514126</f>
        <v>1.2422816151412601</v>
      </c>
      <c r="N66" s="267">
        <f>Fak_3*141.785547396302</f>
        <v>1.41785547396302</v>
      </c>
      <c r="O66" s="267">
        <f>Fak_3*63.0381619133528</f>
        <v>0.63038161913352808</v>
      </c>
      <c r="P66" s="267">
        <f>Fak_3*76.969589476308</f>
        <v>0.76969589476308009</v>
      </c>
      <c r="Q66" s="267">
        <f>Fak_3*55.1827305986495</f>
        <v>0.55182730598649499</v>
      </c>
      <c r="R66" s="267">
        <f>Fak_3*85.952491158541</f>
        <v>0.85952491158541</v>
      </c>
      <c r="S66" s="267">
        <f>Fak_3*855.253530331824</f>
        <v>8.5525353033182405</v>
      </c>
      <c r="T66" s="213"/>
      <c r="U66" s="220">
        <f t="shared" si="18"/>
        <v>0.50588581842325953</v>
      </c>
      <c r="V66" s="367"/>
      <c r="X66" s="210"/>
      <c r="BC66" s="144">
        <v>127.56757285891301</v>
      </c>
      <c r="BD66" s="144">
        <v>64.534626000000003</v>
      </c>
      <c r="BE66" s="144">
        <f t="shared" si="19"/>
        <v>63.032946858913007</v>
      </c>
      <c r="BP66" s="214"/>
      <c r="BQ66" s="214"/>
    </row>
    <row r="67" spans="2:128" s="144" customFormat="1" ht="24" customHeight="1" x14ac:dyDescent="0.25">
      <c r="B67" s="227"/>
      <c r="C67" s="228"/>
      <c r="D67" s="229"/>
      <c r="E67" s="131"/>
      <c r="F67" s="200"/>
      <c r="G67" s="215"/>
      <c r="H67" s="216"/>
      <c r="I67" s="217" t="s">
        <v>7535</v>
      </c>
      <c r="J67" s="268">
        <f>Fak_3*1206.02693947238</f>
        <v>12.0602693947238</v>
      </c>
      <c r="K67" s="268">
        <f>Fak_3*2176.93304248131</f>
        <v>21.769330424813102</v>
      </c>
      <c r="L67" s="268">
        <f>Fak_3*590.421696886351</f>
        <v>5.9042169688635102</v>
      </c>
      <c r="M67" s="268">
        <f>Fak_3*1223.35323575613</f>
        <v>12.233532357561302</v>
      </c>
      <c r="N67" s="268">
        <f>Fak_3*1652.78454901697</f>
        <v>16.5278454901697</v>
      </c>
      <c r="O67" s="268">
        <f>Fak_3*976.495669027025</f>
        <v>9.7649566902702496</v>
      </c>
      <c r="P67" s="268">
        <f>Fak_3*1219.42975897346</f>
        <v>12.1942975897346</v>
      </c>
      <c r="Q67" s="268">
        <f>Fak_3*922.45264802326</f>
        <v>9.2245264802326012</v>
      </c>
      <c r="R67" s="268">
        <f>Fak_3*1355.63491898769</f>
        <v>13.556349189876901</v>
      </c>
      <c r="S67" s="268">
        <f>Fak_3*11323.5324586246</f>
        <v>113.23532458624601</v>
      </c>
      <c r="T67" s="213"/>
      <c r="U67" s="220">
        <f t="shared" si="18"/>
        <v>0.7406232068794526</v>
      </c>
      <c r="V67" s="367"/>
      <c r="X67" s="210"/>
      <c r="BC67" s="144">
        <v>1719.6908484226101</v>
      </c>
      <c r="BD67" s="144">
        <v>1273.642951</v>
      </c>
      <c r="BE67" s="144">
        <f t="shared" si="19"/>
        <v>446.04789742261005</v>
      </c>
      <c r="BP67" s="214"/>
      <c r="BQ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Fak_3*798.977642751158</f>
        <v>7.9897764275115799</v>
      </c>
      <c r="K68" s="267">
        <f>Fak_3*1958.03718117006</f>
        <v>19.580371811700601</v>
      </c>
      <c r="L68" s="267">
        <f>Fak_3*768.538761710332</f>
        <v>7.68538761710332</v>
      </c>
      <c r="M68" s="267">
        <f>Fak_3*1075.90877798798</f>
        <v>10.759087779879801</v>
      </c>
      <c r="N68" s="267">
        <f>Fak_3*1320.94475126634</f>
        <v>13.209447512663401</v>
      </c>
      <c r="O68" s="267">
        <f>Fak_3*373.734401752472</f>
        <v>3.7373440175247201</v>
      </c>
      <c r="P68" s="267">
        <f>Fak_3*685.033682066277</f>
        <v>6.8503368206627702</v>
      </c>
      <c r="Q68" s="267">
        <f>Fak_3*550.064492974227</f>
        <v>5.500644929742271</v>
      </c>
      <c r="R68" s="267">
        <f>Fak_3*945.435864651616</f>
        <v>9.4543586465161606</v>
      </c>
      <c r="S68" s="267">
        <f>Fak_3*8476.67555633047</f>
        <v>84.766755563304713</v>
      </c>
      <c r="T68" s="213"/>
      <c r="U68" s="220">
        <f t="shared" si="18"/>
        <v>0.39295521959753704</v>
      </c>
      <c r="V68" s="367"/>
      <c r="X68" s="210"/>
      <c r="BC68" s="144">
        <v>1112.6431516746302</v>
      </c>
      <c r="BD68" s="144">
        <v>437.21893399999999</v>
      </c>
      <c r="BE68" s="144">
        <f t="shared" si="19"/>
        <v>675.4242176746302</v>
      </c>
      <c r="BP68" s="214"/>
      <c r="BQ68" s="214"/>
    </row>
    <row r="69" spans="2:128" s="144" customFormat="1" ht="24" customHeight="1" x14ac:dyDescent="0.25">
      <c r="B69" s="227"/>
      <c r="C69" s="228"/>
      <c r="D69" s="229"/>
      <c r="E69" s="131"/>
      <c r="F69" s="198"/>
      <c r="G69" s="197">
        <v>212</v>
      </c>
      <c r="H69" s="148" t="str">
        <f>+VLOOKUP($G69,Konstanten!$A$2:$B$15,2,FALSE)</f>
        <v>gemischte bauliche Nutzung</v>
      </c>
      <c r="I69" s="148"/>
      <c r="J69" s="267">
        <f>Fak_3*639.495591700607</f>
        <v>6.3949559170060697</v>
      </c>
      <c r="K69" s="267">
        <f>Fak_3*1153.49514184561</f>
        <v>11.534951418456101</v>
      </c>
      <c r="L69" s="267">
        <f>Fak_3*322.133367254567</f>
        <v>3.2213336725456703</v>
      </c>
      <c r="M69" s="267">
        <f>Fak_3*411.592496215167</f>
        <v>4.11592496215167</v>
      </c>
      <c r="N69" s="267">
        <f>Fak_3*546.491398883842</f>
        <v>5.4649139888384193</v>
      </c>
      <c r="O69" s="267">
        <f>Fak_3*531.69650435274</f>
        <v>5.3169650435274001</v>
      </c>
      <c r="P69" s="267">
        <f>Fak_3*300.419863026421</f>
        <v>3.0041986302642103</v>
      </c>
      <c r="Q69" s="267">
        <f>Fak_3*553.2146328838</f>
        <v>5.5321463288380004</v>
      </c>
      <c r="R69" s="267">
        <f>Fak_3*524.142751134565</f>
        <v>5.2414275113456492</v>
      </c>
      <c r="S69" s="267">
        <f>Fak_3*4982.68174729732</f>
        <v>49.826817472973197</v>
      </c>
      <c r="T69" s="213"/>
      <c r="U69" s="220">
        <f t="shared" si="18"/>
        <v>0.47014924161630484</v>
      </c>
      <c r="V69" s="367"/>
      <c r="X69" s="210"/>
      <c r="BC69" s="144">
        <v>1091.9388516614299</v>
      </c>
      <c r="BD69" s="144">
        <v>513.37422300000003</v>
      </c>
      <c r="BE69" s="144">
        <f t="shared" si="19"/>
        <v>578.56462866142988</v>
      </c>
      <c r="BP69" s="214"/>
      <c r="BQ69" s="214"/>
    </row>
    <row r="70" spans="2:128" s="144" customFormat="1" ht="24" customHeight="1" x14ac:dyDescent="0.25">
      <c r="B70" s="227"/>
      <c r="C70" s="228"/>
      <c r="D70" s="229"/>
      <c r="E70" s="131"/>
      <c r="F70" s="198"/>
      <c r="G70" s="197">
        <v>213</v>
      </c>
      <c r="H70" s="148" t="str">
        <f>+VLOOKUP($G70,Konstanten!$A$2:$B$15,2,FALSE)</f>
        <v>betriebliche Nutzung</v>
      </c>
      <c r="I70" s="148"/>
      <c r="J70" s="267">
        <f>Fak_3*176.135609017007</f>
        <v>1.76135609017007</v>
      </c>
      <c r="K70" s="267">
        <f>Fak_3*416.371348916479</f>
        <v>4.16371348916479</v>
      </c>
      <c r="L70" s="267">
        <f>Fak_3*173.128162728627</f>
        <v>1.7312816272862699</v>
      </c>
      <c r="M70" s="267">
        <f>Fak_3*130.878760005288</f>
        <v>1.30878760005288</v>
      </c>
      <c r="N70" s="267">
        <f>Fak_3*294.453933266368</f>
        <v>2.94453933266368</v>
      </c>
      <c r="O70" s="267">
        <f>Fak_3*69.1658708251003</f>
        <v>0.69165870825100295</v>
      </c>
      <c r="P70" s="267">
        <f>Fak_3*162.907690326297</f>
        <v>1.6290769032629699</v>
      </c>
      <c r="Q70" s="267">
        <f>Fak_3*100.656873190077</f>
        <v>1.0065687319007699</v>
      </c>
      <c r="R70" s="267">
        <f>Fak_3*240.729033342077</f>
        <v>2.4072903334207703</v>
      </c>
      <c r="S70" s="267">
        <f>Fak_3*1764.42728161732</f>
        <v>17.644272816173199</v>
      </c>
      <c r="T70" s="213"/>
      <c r="U70" s="220">
        <f t="shared" si="18"/>
        <v>0.67934740484148592</v>
      </c>
      <c r="V70" s="367"/>
      <c r="X70" s="210"/>
      <c r="BC70" s="144">
        <v>435.91739350075102</v>
      </c>
      <c r="BD70" s="144">
        <v>296.13935000000004</v>
      </c>
      <c r="BE70" s="144">
        <f t="shared" si="19"/>
        <v>139.77804350075098</v>
      </c>
      <c r="BP70" s="214"/>
      <c r="BQ70" s="214"/>
    </row>
    <row r="71" spans="2:128" s="144" customFormat="1" ht="24" customHeight="1" x14ac:dyDescent="0.25">
      <c r="B71" s="227"/>
      <c r="C71" s="228"/>
      <c r="D71" s="229"/>
      <c r="E71" s="131"/>
      <c r="F71" s="198"/>
      <c r="G71" s="197">
        <v>214</v>
      </c>
      <c r="H71" s="148" t="str">
        <f>+VLOOKUP($G71,Konstanten!$A$2:$B$15,2,FALSE)</f>
        <v>sonstige bauliche Nutzung</v>
      </c>
      <c r="I71" s="148"/>
      <c r="J71" s="267">
        <f>Fak_3*399.658891581267</f>
        <v>3.9965889158126702</v>
      </c>
      <c r="K71" s="267">
        <f>Fak_3*717.89876214766</f>
        <v>7.1789876214766002</v>
      </c>
      <c r="L71" s="267">
        <f>Fak_3*322.888255715949</f>
        <v>3.2288825571594901</v>
      </c>
      <c r="M71" s="267">
        <f>Fak_3*499.196643923486</f>
        <v>4.9919664392348606</v>
      </c>
      <c r="N71" s="267">
        <f>Fak_3*557.944596522449</f>
        <v>5.5794459652244903</v>
      </c>
      <c r="O71" s="267">
        <f>Fak_3*267.598228862523</f>
        <v>2.6759822886252302</v>
      </c>
      <c r="P71" s="267">
        <f>Fak_3*411.145334525736</f>
        <v>4.1114533452573605</v>
      </c>
      <c r="Q71" s="267">
        <f>Fak_3*275.937239171032</f>
        <v>2.7593723917103201</v>
      </c>
      <c r="R71" s="267">
        <f>Fak_3*495.598439099459</f>
        <v>4.9559843909945895</v>
      </c>
      <c r="S71" s="267">
        <f>Fak_3*3947.86639154956</f>
        <v>39.478663915495602</v>
      </c>
      <c r="T71" s="213"/>
      <c r="U71" s="220">
        <f t="shared" si="18"/>
        <v>0.49709310254569294</v>
      </c>
      <c r="V71" s="367"/>
      <c r="X71" s="210"/>
      <c r="BC71" s="144">
        <v>153.25834860683301</v>
      </c>
      <c r="BD71" s="144">
        <v>76.183667999999997</v>
      </c>
      <c r="BE71" s="144">
        <f t="shared" si="19"/>
        <v>77.074680606833013</v>
      </c>
      <c r="BP71" s="214"/>
      <c r="BQ71" s="214"/>
    </row>
    <row r="72" spans="2:128" s="144" customFormat="1" ht="24" customHeight="1" x14ac:dyDescent="0.25">
      <c r="B72" s="227"/>
      <c r="C72" s="228"/>
      <c r="D72" s="229"/>
      <c r="E72" s="131"/>
      <c r="F72" s="200"/>
      <c r="G72" s="215"/>
      <c r="H72" s="216"/>
      <c r="I72" s="217" t="s">
        <v>7536</v>
      </c>
      <c r="J72" s="268">
        <f>Fak_3*2014.26773505004</f>
        <v>20.142677350500403</v>
      </c>
      <c r="K72" s="268">
        <f>Fak_3*4245.80243407982</f>
        <v>42.458024340798204</v>
      </c>
      <c r="L72" s="268">
        <f>Fak_3*1586.68854740947</f>
        <v>15.866885474094699</v>
      </c>
      <c r="M72" s="268">
        <f>Fak_3*2117.57667813192</f>
        <v>21.175766781319197</v>
      </c>
      <c r="N72" s="268">
        <f>Fak_3*2719.834679939</f>
        <v>27.198346799390002</v>
      </c>
      <c r="O72" s="268">
        <f>Fak_3*1242.19500579284</f>
        <v>12.421950057928401</v>
      </c>
      <c r="P72" s="268">
        <f>Fak_3*1559.50656994473</f>
        <v>15.5950656994473</v>
      </c>
      <c r="Q72" s="268">
        <f>Fak_3*1479.87323821914</f>
        <v>14.7987323821914</v>
      </c>
      <c r="R72" s="268">
        <f>Fak_3*2205.90608822772</f>
        <v>22.059060882277201</v>
      </c>
      <c r="S72" s="268">
        <f>Fak_3*19171.6509767947</f>
        <v>191.716509767947</v>
      </c>
      <c r="T72" s="213"/>
      <c r="U72" s="220">
        <f t="shared" si="18"/>
        <v>0.47352572969419021</v>
      </c>
      <c r="V72" s="367"/>
      <c r="X72" s="210"/>
      <c r="BC72" s="144">
        <v>2793.75774544365</v>
      </c>
      <c r="BD72" s="144">
        <v>1322.9161750000001</v>
      </c>
      <c r="BE72" s="144">
        <f t="shared" si="19"/>
        <v>1470.84157044365</v>
      </c>
      <c r="BP72" s="214"/>
      <c r="BQ72" s="214"/>
    </row>
    <row r="73" spans="2:128" s="144" customFormat="1" ht="24" customHeight="1" x14ac:dyDescent="0.25">
      <c r="B73" s="227"/>
      <c r="C73" s="228"/>
      <c r="D73" s="229"/>
      <c r="E73" s="131"/>
      <c r="F73" s="200" t="s">
        <v>7409</v>
      </c>
      <c r="G73" s="215"/>
      <c r="H73" s="216"/>
      <c r="I73" s="217" t="s">
        <v>7537</v>
      </c>
      <c r="J73" s="268">
        <f>Fak_3*273.950211820881</f>
        <v>2.7395021182088102</v>
      </c>
      <c r="K73" s="268">
        <f>Fak_3*648.40528566856</f>
        <v>6.4840528566856008</v>
      </c>
      <c r="L73" s="268">
        <f>Fak_3*78.9266726024341</f>
        <v>0.789266726024341</v>
      </c>
      <c r="M73" s="268">
        <f>Fak_3*689.482251522489</f>
        <v>6.8948225152248908</v>
      </c>
      <c r="N73" s="268">
        <f>Fak_3*603.233677638686</f>
        <v>6.0323367763868605</v>
      </c>
      <c r="O73" s="268">
        <f>Fak_3*275.010052559964</f>
        <v>2.75010052559964</v>
      </c>
      <c r="P73" s="268">
        <f>Fak_3*343.524517140289</f>
        <v>3.4352451714028902</v>
      </c>
      <c r="Q73" s="268">
        <f>Fak_3*165.092453974117</f>
        <v>1.65092453974117</v>
      </c>
      <c r="R73" s="268">
        <f>Fak_3*506.617073971634</f>
        <v>5.0661707397163402</v>
      </c>
      <c r="S73" s="268">
        <f>Fak_3*3584.24219689905</f>
        <v>35.8424219689905</v>
      </c>
      <c r="T73" s="213"/>
      <c r="U73" s="220">
        <f t="shared" si="18"/>
        <v>0.44779624681110691</v>
      </c>
      <c r="V73" s="367"/>
      <c r="X73" s="210"/>
      <c r="BC73" s="144">
        <v>659.18180668565299</v>
      </c>
      <c r="BD73" s="144">
        <v>295.17913900000002</v>
      </c>
      <c r="BE73" s="144">
        <f t="shared" si="19"/>
        <v>364.00266768565297</v>
      </c>
      <c r="BP73" s="214"/>
      <c r="BQ73" s="214"/>
      <c r="DV73" s="330"/>
      <c r="DW73" s="330"/>
      <c r="DX73" s="330"/>
    </row>
    <row r="74" spans="2:128" s="144" customFormat="1" ht="24" customHeight="1" x14ac:dyDescent="0.25">
      <c r="B74" s="227"/>
      <c r="C74" s="228"/>
      <c r="D74" s="229"/>
      <c r="E74" s="131"/>
      <c r="F74" s="321" t="s">
        <v>7549</v>
      </c>
      <c r="G74" s="199"/>
      <c r="H74" s="200"/>
      <c r="I74" s="217" t="s">
        <v>7538</v>
      </c>
      <c r="J74" s="268">
        <f>Fak_3*122.273759623294</f>
        <v>1.2227375962329401</v>
      </c>
      <c r="K74" s="268">
        <f>Fak_3*257.842259820539</f>
        <v>2.5784225982053903</v>
      </c>
      <c r="L74" s="268">
        <f>Fak_3*4.70067570357426</f>
        <v>4.70067570357426E-2</v>
      </c>
      <c r="M74" s="268">
        <f>Fak_3*337.108556076394</f>
        <v>3.3710855607639401</v>
      </c>
      <c r="N74" s="268">
        <f>Fak_3*219.517249460246</f>
        <v>2.1951724946024602</v>
      </c>
      <c r="O74" s="268">
        <f>Fak_3*58.1618244594655</f>
        <v>0.58161824459465505</v>
      </c>
      <c r="P74" s="268">
        <f>Fak_3*186.886670045387</f>
        <v>1.8688667004538702</v>
      </c>
      <c r="Q74" s="268">
        <f>Fak_3*103.801299892996</f>
        <v>1.03801299892996</v>
      </c>
      <c r="R74" s="268">
        <f>Fak_3*195.590461381852</f>
        <v>1.9559046138185201</v>
      </c>
      <c r="S74" s="268">
        <f>Fak_3*1485.88275646375</f>
        <v>14.858827564637499</v>
      </c>
      <c r="T74" s="213"/>
      <c r="U74" s="220">
        <f t="shared" si="18"/>
        <v>0.16709269428718873</v>
      </c>
      <c r="V74" s="367"/>
      <c r="X74" s="210"/>
      <c r="BC74" s="144">
        <v>330.24510877272303</v>
      </c>
      <c r="BD74" s="144">
        <v>55.181545</v>
      </c>
      <c r="BE74" s="144">
        <f t="shared" si="19"/>
        <v>275.063563772723</v>
      </c>
      <c r="BP74" s="214"/>
      <c r="BQ74" s="214"/>
      <c r="DV74" s="330"/>
      <c r="DW74" s="330"/>
      <c r="DX74" s="330"/>
    </row>
    <row r="75" spans="2:128" s="144" customFormat="1" ht="24" customHeight="1" x14ac:dyDescent="0.25">
      <c r="B75" s="227"/>
      <c r="C75" s="228"/>
      <c r="D75" s="229"/>
      <c r="E75" s="131"/>
      <c r="F75" s="322" t="s">
        <v>7519</v>
      </c>
      <c r="G75" s="199"/>
      <c r="H75" s="200"/>
      <c r="I75" s="217" t="s">
        <v>7539</v>
      </c>
      <c r="J75" s="268">
        <f>Fak_3*105.674010579472</f>
        <v>1.0567401057947199</v>
      </c>
      <c r="K75" s="268">
        <f>Fak_3*115.871701182918</f>
        <v>1.1587170118291801</v>
      </c>
      <c r="L75" s="268">
        <f>Fak_3*13.1872796602632</f>
        <v>0.13187279660263201</v>
      </c>
      <c r="M75" s="268">
        <f>Fak_3*138.982673521261</f>
        <v>1.3898267352126101</v>
      </c>
      <c r="N75" s="268">
        <f>Fak_3*138.556457037848</f>
        <v>1.38556457037848</v>
      </c>
      <c r="O75" s="268">
        <f>Fak_3*103.287290296346</f>
        <v>1.03287290296346</v>
      </c>
      <c r="P75" s="268">
        <f>Fak_3*80.2336295550553</f>
        <v>0.80233629555055308</v>
      </c>
      <c r="Q75" s="268">
        <f>Fak_3*104.314110206851</f>
        <v>1.04314110206851</v>
      </c>
      <c r="R75" s="268">
        <f>Fak_3*62.9606190703572</f>
        <v>0.62960619070357193</v>
      </c>
      <c r="S75" s="268">
        <f>Fak_3*863.067771110371</f>
        <v>8.6306777111037114</v>
      </c>
      <c r="T75" s="213"/>
      <c r="U75" s="220">
        <f t="shared" si="18"/>
        <v>0.11640789345535361</v>
      </c>
      <c r="V75" s="367"/>
      <c r="X75" s="210"/>
      <c r="BC75" s="144">
        <v>145.07992111786899</v>
      </c>
      <c r="BD75" s="144">
        <v>16.888448</v>
      </c>
      <c r="BE75" s="144">
        <f t="shared" si="19"/>
        <v>128.19147311786898</v>
      </c>
      <c r="BP75" s="214"/>
      <c r="BQ75" s="214"/>
      <c r="DV75" s="330"/>
      <c r="DW75" s="330"/>
      <c r="DX75" s="330"/>
    </row>
    <row r="76" spans="2:128" s="208" customFormat="1" ht="24" customHeight="1" x14ac:dyDescent="0.25">
      <c r="B76" s="240"/>
      <c r="C76" s="230"/>
      <c r="D76" s="241"/>
      <c r="E76" s="183"/>
      <c r="F76" s="202" t="s">
        <v>7416</v>
      </c>
      <c r="G76" s="203"/>
      <c r="H76" s="201"/>
      <c r="I76" s="204" t="s">
        <v>7533</v>
      </c>
      <c r="J76" s="269">
        <f t="shared" ref="J76:S76" si="20">+SUM(J75,J74,J73,J72,J67)</f>
        <v>37.221926565460677</v>
      </c>
      <c r="K76" s="269">
        <f t="shared" si="20"/>
        <v>74.448547232331478</v>
      </c>
      <c r="L76" s="269">
        <f t="shared" si="20"/>
        <v>22.739248722620928</v>
      </c>
      <c r="M76" s="269">
        <f t="shared" si="20"/>
        <v>45.06503395008194</v>
      </c>
      <c r="N76" s="269">
        <f t="shared" si="20"/>
        <v>53.339266130927498</v>
      </c>
      <c r="O76" s="269">
        <f t="shared" si="20"/>
        <v>26.551498421356406</v>
      </c>
      <c r="P76" s="269">
        <f t="shared" si="20"/>
        <v>33.895811456589215</v>
      </c>
      <c r="Q76" s="269">
        <f t="shared" si="20"/>
        <v>27.755337503163641</v>
      </c>
      <c r="R76" s="269">
        <f t="shared" si="20"/>
        <v>43.267091616392534</v>
      </c>
      <c r="S76" s="269">
        <f t="shared" si="20"/>
        <v>364.28376159892468</v>
      </c>
      <c r="T76" s="206"/>
      <c r="U76" s="220">
        <f t="shared" si="18"/>
        <v>0.52475772773011986</v>
      </c>
      <c r="V76" s="367"/>
      <c r="X76" s="202"/>
      <c r="BC76" s="208">
        <v>5647.9554304425055</v>
      </c>
      <c r="BD76" s="208">
        <v>2963.808258</v>
      </c>
      <c r="BE76" s="144">
        <f t="shared" si="19"/>
        <v>2684.1471724425055</v>
      </c>
      <c r="BP76" s="209"/>
      <c r="BQ76" s="209"/>
    </row>
    <row r="77" spans="2:128" ht="66" customHeight="1" x14ac:dyDescent="0.4">
      <c r="F77" s="365"/>
      <c r="G77" s="365"/>
      <c r="H77" s="365"/>
      <c r="U77" s="138"/>
    </row>
    <row r="78" spans="2:128" ht="22.5" x14ac:dyDescent="0.3">
      <c r="I78" s="369" t="str">
        <f xml:space="preserve"> "Versiegelung " &amp; IF(Versatz = 1, "in "&amp;T!Einheit, IF(Versatz = 2, "in m² pro Einwohner:in", "in Prozent des Dauersiedlungsraums"))</f>
        <v>Versiegelung in km²</v>
      </c>
      <c r="J78" s="369"/>
      <c r="K78" s="369"/>
      <c r="L78" s="369"/>
      <c r="M78" s="369"/>
      <c r="N78" s="369"/>
      <c r="O78" s="369"/>
      <c r="P78" s="369"/>
      <c r="Q78" s="369"/>
      <c r="R78" s="369"/>
      <c r="S78" s="369"/>
      <c r="T78" s="369"/>
      <c r="U78" s="369"/>
    </row>
    <row r="79" spans="2:128" ht="114" customHeight="1" x14ac:dyDescent="0.4">
      <c r="B79" s="247"/>
      <c r="C79" s="233"/>
      <c r="D79" s="248"/>
      <c r="E79" s="249"/>
      <c r="F79" s="147"/>
      <c r="G79" s="250"/>
      <c r="H79" s="147"/>
      <c r="I79" s="152"/>
      <c r="J79" s="278" t="str">
        <f t="shared" ref="J79:S79" si="21">+J24</f>
        <v>Imst</v>
      </c>
      <c r="K79" s="278" t="str">
        <f t="shared" si="21"/>
        <v>Innsbruck-Land</v>
      </c>
      <c r="L79" s="278" t="str">
        <f t="shared" si="21"/>
        <v>Innsbruck-Stadt</v>
      </c>
      <c r="M79" s="278" t="str">
        <f t="shared" si="21"/>
        <v>Kitzbühel</v>
      </c>
      <c r="N79" s="278" t="str">
        <f t="shared" si="21"/>
        <v>Kufstein</v>
      </c>
      <c r="O79" s="278" t="str">
        <f t="shared" si="21"/>
        <v>Landeck</v>
      </c>
      <c r="P79" s="278" t="str">
        <f t="shared" si="21"/>
        <v>Lienz</v>
      </c>
      <c r="Q79" s="278" t="str">
        <f t="shared" si="21"/>
        <v>Reutte</v>
      </c>
      <c r="R79" s="278" t="str">
        <f t="shared" si="21"/>
        <v>Schwaz</v>
      </c>
      <c r="S79" s="277" t="str">
        <f t="shared" si="21"/>
        <v>T</v>
      </c>
      <c r="T79" s="252"/>
      <c r="U79" s="151"/>
      <c r="V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Fak_3*71.5243</f>
        <v>0.71524299999999996</v>
      </c>
      <c r="K80" s="267">
        <f>Fak_3*203.7867</f>
        <v>2.0378669999999999</v>
      </c>
      <c r="L80" s="267">
        <f>Fak_3*40.681</f>
        <v>0.40681</v>
      </c>
      <c r="M80" s="267">
        <f>Fak_3*0</f>
        <v>0</v>
      </c>
      <c r="N80" s="267">
        <f>Fak_3*133.1013</f>
        <v>1.3310130000000002</v>
      </c>
      <c r="O80" s="267">
        <f>Fak_3*48.7</f>
        <v>0.48700000000000004</v>
      </c>
      <c r="P80" s="267">
        <f>Fak_3*0</f>
        <v>0</v>
      </c>
      <c r="Q80" s="267">
        <f>Fak_3*0</f>
        <v>0</v>
      </c>
      <c r="R80" s="267">
        <f>Fak_3*63.3079</f>
        <v>0.63307899999999995</v>
      </c>
      <c r="S80" s="267">
        <f>Fak_3*561.1012</f>
        <v>5.6110119999999997</v>
      </c>
      <c r="T80" s="213"/>
      <c r="U80" s="219"/>
      <c r="V80" s="210"/>
    </row>
    <row r="81" spans="2:22" s="144" customFormat="1" ht="24" customHeight="1" x14ac:dyDescent="0.25">
      <c r="B81" s="227"/>
      <c r="C81" s="228"/>
      <c r="D81" s="229"/>
      <c r="E81" s="131"/>
      <c r="F81" s="198"/>
      <c r="G81" s="196">
        <v>102</v>
      </c>
      <c r="H81" s="148" t="str">
        <f>+VLOOKUP($G81,Konstanten!$A$2:$B$15,2,FALSE)</f>
        <v>Landesstraße B + L</v>
      </c>
      <c r="I81" s="148"/>
      <c r="J81" s="267">
        <f>Fak_3*249.417</f>
        <v>2.49417</v>
      </c>
      <c r="K81" s="267">
        <f>Fak_3*332.1551</f>
        <v>3.3215509999999999</v>
      </c>
      <c r="L81" s="267">
        <f>Fak_3*49.6247</f>
        <v>0.49624699999999999</v>
      </c>
      <c r="M81" s="267">
        <f>Fak_3*208.4944</f>
        <v>2.0849440000000001</v>
      </c>
      <c r="N81" s="267">
        <f>Fak_3*235.7936</f>
        <v>2.357936</v>
      </c>
      <c r="O81" s="267">
        <f>Fak_3*223.4068</f>
        <v>2.2340680000000002</v>
      </c>
      <c r="P81" s="267">
        <f>Fak_3*258.7122</f>
        <v>2.5871219999999999</v>
      </c>
      <c r="Q81" s="267">
        <f>Fak_3*246.2241</f>
        <v>2.4622410000000001</v>
      </c>
      <c r="R81" s="267">
        <f>Fak_3*243.2607</f>
        <v>2.4326070000000004</v>
      </c>
      <c r="S81" s="267">
        <f>Fak_3*2047.0886</f>
        <v>20.470886</v>
      </c>
      <c r="T81" s="213"/>
      <c r="U81" s="219"/>
      <c r="V81" s="210"/>
    </row>
    <row r="82" spans="2:22" s="144" customFormat="1" ht="24" customHeight="1" x14ac:dyDescent="0.25">
      <c r="B82" s="227"/>
      <c r="C82" s="228"/>
      <c r="D82" s="229"/>
      <c r="E82" s="131"/>
      <c r="F82" s="198"/>
      <c r="G82" s="196">
        <v>103</v>
      </c>
      <c r="H82" s="148" t="str">
        <f>+VLOOKUP($G82,Konstanten!$A$2:$B$15,2,FALSE)</f>
        <v>Gemeinde- und sonstige Straßen</v>
      </c>
      <c r="I82" s="148"/>
      <c r="J82" s="267">
        <f>Fak_3*581.5454</f>
        <v>5.8154539999999999</v>
      </c>
      <c r="K82" s="267">
        <f>Fak_3*1086.444</f>
        <v>10.86444</v>
      </c>
      <c r="L82" s="267">
        <f>Fak_3*337.1268</f>
        <v>3.3712680000000002</v>
      </c>
      <c r="M82" s="267">
        <f>Fak_3*730.1069</f>
        <v>7.301069</v>
      </c>
      <c r="N82" s="267">
        <f>Fak_3*896.9879</f>
        <v>8.9698790000000006</v>
      </c>
      <c r="O82" s="267">
        <f>Fak_3*482.7889</f>
        <v>4.8278889999999999</v>
      </c>
      <c r="P82" s="267">
        <f>Fak_3*663.128</f>
        <v>6.6312800000000003</v>
      </c>
      <c r="Q82" s="267">
        <f>Fak_3*439.6973</f>
        <v>4.396973</v>
      </c>
      <c r="R82" s="267">
        <f>Fak_3*768.4173</f>
        <v>7.6841729999999995</v>
      </c>
      <c r="S82" s="267">
        <f>Fak_3*5986.2425</f>
        <v>59.862425000000002</v>
      </c>
      <c r="T82" s="213"/>
      <c r="U82" s="219"/>
      <c r="V82" s="210"/>
    </row>
    <row r="83" spans="2:22" s="144" customFormat="1" ht="24" customHeight="1" x14ac:dyDescent="0.25">
      <c r="B83" s="227"/>
      <c r="C83" s="228"/>
      <c r="D83" s="229"/>
      <c r="E83" s="131"/>
      <c r="F83" s="198"/>
      <c r="G83" s="196">
        <v>104</v>
      </c>
      <c r="H83" s="148" t="str">
        <f>+VLOOKUP($G83,Konstanten!$A$2:$B$15,2,FALSE)</f>
        <v>Schiene</v>
      </c>
      <c r="I83" s="148"/>
      <c r="J83" s="267">
        <f>Fak_3*30.7361</f>
        <v>0.307361</v>
      </c>
      <c r="K83" s="267">
        <f>Fak_3*101.7336</f>
        <v>1.017336</v>
      </c>
      <c r="L83" s="267">
        <f>Fak_3*51.9346</f>
        <v>0.51934600000000009</v>
      </c>
      <c r="M83" s="267">
        <f>Fak_3*62.5727</f>
        <v>0.62572700000000003</v>
      </c>
      <c r="N83" s="267">
        <f>Fak_3*96.0976</f>
        <v>0.96097600000000005</v>
      </c>
      <c r="O83" s="267">
        <f>Fak_3*31.0203</f>
        <v>0.31020300000000001</v>
      </c>
      <c r="P83" s="267">
        <f>Fak_3*32.2403</f>
        <v>0.322403</v>
      </c>
      <c r="Q83" s="267">
        <f>Fak_3*22.3218</f>
        <v>0.223218</v>
      </c>
      <c r="R83" s="267">
        <f>Fak_3*58.3607</f>
        <v>0.58360699999999999</v>
      </c>
      <c r="S83" s="267">
        <f>Fak_3*487.0177</f>
        <v>4.870177</v>
      </c>
      <c r="T83" s="213"/>
      <c r="U83" s="219"/>
      <c r="V83" s="210"/>
    </row>
    <row r="84" spans="2:22" s="144" customFormat="1" ht="24" customHeight="1" x14ac:dyDescent="0.25">
      <c r="B84" s="227"/>
      <c r="C84" s="228"/>
      <c r="D84" s="229"/>
      <c r="E84" s="131"/>
      <c r="F84" s="200"/>
      <c r="G84" s="215"/>
      <c r="H84" s="216"/>
      <c r="I84" s="217" t="s">
        <v>7535</v>
      </c>
      <c r="J84" s="268">
        <f>Fak_3*933.2228</f>
        <v>9.3322280000000006</v>
      </c>
      <c r="K84" s="268">
        <f>Fak_3*1724.1194</f>
        <v>17.241194</v>
      </c>
      <c r="L84" s="268">
        <f>Fak_3*479.3671</f>
        <v>4.7936709999999998</v>
      </c>
      <c r="M84" s="268">
        <f>Fak_3*1001.174</f>
        <v>10.01174</v>
      </c>
      <c r="N84" s="268">
        <f>Fak_3*1361.9804</f>
        <v>13.619804</v>
      </c>
      <c r="O84" s="268">
        <f>Fak_3*785.916</f>
        <v>7.859160000000001</v>
      </c>
      <c r="P84" s="268">
        <f>Fak_3*954.0805</f>
        <v>9.5408050000000006</v>
      </c>
      <c r="Q84" s="268">
        <f>Fak_3*708.2432</f>
        <v>7.0824319999999998</v>
      </c>
      <c r="R84" s="268">
        <f>Fak_3*1133.3466</f>
        <v>11.333466000000001</v>
      </c>
      <c r="S84" s="268">
        <f>Fak_3*9081.45</f>
        <v>90.81450000000001</v>
      </c>
      <c r="T84" s="213"/>
      <c r="U84" s="219"/>
      <c r="V84" s="210"/>
    </row>
    <row r="85" spans="2:22" s="144" customFormat="1" ht="24" customHeight="1" x14ac:dyDescent="0.25">
      <c r="B85" s="227"/>
      <c r="C85" s="228"/>
      <c r="D85" s="229"/>
      <c r="E85" s="131"/>
      <c r="F85" s="198" t="s">
        <v>7410</v>
      </c>
      <c r="G85" s="197">
        <v>211</v>
      </c>
      <c r="H85" s="148" t="str">
        <f>+VLOOKUP($G85,Konstanten!$A$2:$B$15,2,FALSE)</f>
        <v>Wohnnutzung</v>
      </c>
      <c r="I85" s="148"/>
      <c r="J85" s="267">
        <f>Fak_3*374.3337</f>
        <v>3.7433370000000004</v>
      </c>
      <c r="K85" s="267">
        <f>Fak_3*883.5138</f>
        <v>8.8351379999999988</v>
      </c>
      <c r="L85" s="267">
        <f>Fak_3*382.4889</f>
        <v>3.8248890000000002</v>
      </c>
      <c r="M85" s="267">
        <f>Fak_3*504.3932</f>
        <v>5.0439319999999999</v>
      </c>
      <c r="N85" s="267">
        <f>Fak_3*718.3724</f>
        <v>7.1837239999999998</v>
      </c>
      <c r="O85" s="267">
        <f>Fak_3*203.916</f>
        <v>2.0391599999999999</v>
      </c>
      <c r="P85" s="267">
        <f>Fak_3*314.4935</f>
        <v>3.1449349999999998</v>
      </c>
      <c r="Q85" s="267">
        <f>Fak_3*237.1941</f>
        <v>2.3719410000000001</v>
      </c>
      <c r="R85" s="267">
        <f>Fak_3*539.2805</f>
        <v>5.3928050000000001</v>
      </c>
      <c r="S85" s="267">
        <f>Fak_3*4157.9861</f>
        <v>41.579861000000001</v>
      </c>
      <c r="T85" s="213"/>
      <c r="U85" s="219"/>
      <c r="V85" s="210"/>
    </row>
    <row r="86" spans="2:22" s="144" customFormat="1" ht="24" customHeight="1" x14ac:dyDescent="0.25">
      <c r="B86" s="227"/>
      <c r="C86" s="228"/>
      <c r="D86" s="229"/>
      <c r="E86" s="131"/>
      <c r="F86" s="198"/>
      <c r="G86" s="197">
        <v>212</v>
      </c>
      <c r="H86" s="148" t="str">
        <f>+VLOOKUP($G86,Konstanten!$A$2:$B$15,2,FALSE)</f>
        <v>gemischte bauliche Nutzung</v>
      </c>
      <c r="I86" s="148"/>
      <c r="J86" s="267">
        <f>Fak_3*374.1549</f>
        <v>3.741549</v>
      </c>
      <c r="K86" s="267">
        <f>Fak_3*650.6573</f>
        <v>6.5065729999999995</v>
      </c>
      <c r="L86" s="267">
        <f>Fak_3*210.1681</f>
        <v>2.1016810000000001</v>
      </c>
      <c r="M86" s="267">
        <f>Fak_3*269.4175</f>
        <v>2.6941750000000004</v>
      </c>
      <c r="N86" s="267">
        <f>Fak_3*374.7836</f>
        <v>3.7478359999999999</v>
      </c>
      <c r="O86" s="267">
        <f>Fak_3*351.1746</f>
        <v>3.511746</v>
      </c>
      <c r="P86" s="267">
        <f>Fak_3*185.5739</f>
        <v>1.855739</v>
      </c>
      <c r="Q86" s="267">
        <f>Fak_3*304.4315</f>
        <v>3.0443150000000005</v>
      </c>
      <c r="R86" s="267">
        <f>Fak_3*363.2072</f>
        <v>3.632072</v>
      </c>
      <c r="S86" s="267">
        <f>Fak_3*3083.5686</f>
        <v>30.835686000000003</v>
      </c>
      <c r="T86" s="213"/>
      <c r="U86" s="219"/>
      <c r="V86" s="210"/>
    </row>
    <row r="87" spans="2:22" s="144" customFormat="1" ht="24" customHeight="1" x14ac:dyDescent="0.25">
      <c r="B87" s="227"/>
      <c r="C87" s="228"/>
      <c r="D87" s="229"/>
      <c r="E87" s="131"/>
      <c r="F87" s="198"/>
      <c r="G87" s="197">
        <v>213</v>
      </c>
      <c r="H87" s="148" t="str">
        <f>+VLOOKUP($G87,Konstanten!$A$2:$B$15,2,FALSE)</f>
        <v>betriebliche Nutzung</v>
      </c>
      <c r="I87" s="148"/>
      <c r="J87" s="267">
        <f>Fak_3*135.0587</f>
        <v>1.350587</v>
      </c>
      <c r="K87" s="267">
        <f>Fak_3*327.9582</f>
        <v>3.279582</v>
      </c>
      <c r="L87" s="267">
        <f>Fak_3*156.397</f>
        <v>1.5639699999999999</v>
      </c>
      <c r="M87" s="267">
        <f>Fak_3*92.0511</f>
        <v>0.92051100000000008</v>
      </c>
      <c r="N87" s="267">
        <f>Fak_3*245.5917</f>
        <v>2.4559169999999999</v>
      </c>
      <c r="O87" s="267">
        <f>Fak_3*52.9731</f>
        <v>0.52973100000000006</v>
      </c>
      <c r="P87" s="267">
        <f>Fak_3*119.9072</f>
        <v>1.1990720000000001</v>
      </c>
      <c r="Q87" s="267">
        <f>Fak_3*52.5481</f>
        <v>0.52548099999999998</v>
      </c>
      <c r="R87" s="267">
        <f>Fak_3*193.4804</f>
        <v>1.934804</v>
      </c>
      <c r="S87" s="267">
        <f>Fak_3*1375.9655</f>
        <v>13.759655</v>
      </c>
      <c r="T87" s="213"/>
      <c r="U87" s="219"/>
      <c r="V87" s="210"/>
    </row>
    <row r="88" spans="2:22" s="144" customFormat="1" ht="24" customHeight="1" x14ac:dyDescent="0.25">
      <c r="B88" s="227"/>
      <c r="C88" s="228"/>
      <c r="D88" s="229"/>
      <c r="E88" s="131"/>
      <c r="F88" s="198"/>
      <c r="G88" s="197">
        <v>214</v>
      </c>
      <c r="H88" s="148" t="str">
        <f>+VLOOKUP($G88,Konstanten!$A$2:$B$15,2,FALSE)</f>
        <v>sonstige bauliche Nutzung</v>
      </c>
      <c r="I88" s="148"/>
      <c r="J88" s="267">
        <f>Fak_3*224.6556</f>
        <v>2.246556</v>
      </c>
      <c r="K88" s="267">
        <f>Fak_3*402.0594</f>
        <v>4.020594</v>
      </c>
      <c r="L88" s="267">
        <f>Fak_3*141.1183</f>
        <v>1.4111830000000001</v>
      </c>
      <c r="M88" s="267">
        <f>Fak_3*269.6039</f>
        <v>2.6960390000000003</v>
      </c>
      <c r="N88" s="267">
        <f>Fak_3*351.3299</f>
        <v>3.5132989999999999</v>
      </c>
      <c r="O88" s="267">
        <f>Fak_3*166.7294</f>
        <v>1.6672940000000001</v>
      </c>
      <c r="P88" s="267">
        <f>Fak_3*212.712</f>
        <v>2.1271200000000001</v>
      </c>
      <c r="Q88" s="267">
        <f>Fak_3*156.6649</f>
        <v>1.566649</v>
      </c>
      <c r="R88" s="267">
        <f>Fak_3*323.5427</f>
        <v>3.2354270000000005</v>
      </c>
      <c r="S88" s="267">
        <f>Fak_3*2248.4161</f>
        <v>22.484161</v>
      </c>
      <c r="T88" s="213"/>
      <c r="U88" s="219"/>
      <c r="V88" s="210"/>
    </row>
    <row r="89" spans="2:22" s="144" customFormat="1" ht="24" customHeight="1" x14ac:dyDescent="0.25">
      <c r="B89" s="227"/>
      <c r="C89" s="228"/>
      <c r="D89" s="229"/>
      <c r="E89" s="131"/>
      <c r="F89" s="200"/>
      <c r="G89" s="215"/>
      <c r="H89" s="216"/>
      <c r="I89" s="217" t="s">
        <v>7536</v>
      </c>
      <c r="J89" s="268">
        <f>Fak_3*1108.2029</f>
        <v>11.082029</v>
      </c>
      <c r="K89" s="268">
        <f>Fak_3*2264.1887</f>
        <v>22.641887000000001</v>
      </c>
      <c r="L89" s="268">
        <f>Fak_3*890.1723</f>
        <v>8.9017230000000005</v>
      </c>
      <c r="M89" s="268">
        <f>Fak_3*1135.4657</f>
        <v>11.354657</v>
      </c>
      <c r="N89" s="268">
        <f>Fak_3*1690.0776</f>
        <v>16.900776</v>
      </c>
      <c r="O89" s="268">
        <f>Fak_3*774.7931</f>
        <v>7.7479310000000003</v>
      </c>
      <c r="P89" s="268">
        <f>Fak_3*832.6866</f>
        <v>8.3268660000000008</v>
      </c>
      <c r="Q89" s="268">
        <f>Fak_3*750.8386</f>
        <v>7.5083860000000007</v>
      </c>
      <c r="R89" s="268">
        <f>Fak_3*1419.5108</f>
        <v>14.195108000000001</v>
      </c>
      <c r="S89" s="268">
        <f>Fak_3*10865.9363</f>
        <v>108.659363</v>
      </c>
      <c r="T89" s="213"/>
      <c r="U89" s="219"/>
      <c r="V89" s="210"/>
    </row>
    <row r="90" spans="2:22" s="144" customFormat="1" ht="24" customHeight="1" x14ac:dyDescent="0.25">
      <c r="B90" s="227"/>
      <c r="C90" s="228"/>
      <c r="D90" s="229"/>
      <c r="E90" s="131"/>
      <c r="F90" s="200" t="s">
        <v>7409</v>
      </c>
      <c r="G90" s="215"/>
      <c r="H90" s="216"/>
      <c r="I90" s="217" t="s">
        <v>7537</v>
      </c>
      <c r="J90" s="268">
        <f>Fak_3*129.2394</f>
        <v>1.2923939999999998</v>
      </c>
      <c r="K90" s="268">
        <f>Fak_3*288.2933</f>
        <v>2.882933</v>
      </c>
      <c r="L90" s="268">
        <f>Fak_3*25.3721</f>
        <v>0.25372099999999997</v>
      </c>
      <c r="M90" s="268">
        <f>Fak_3*346.5269</f>
        <v>3.4652690000000002</v>
      </c>
      <c r="N90" s="268">
        <f>Fak_3*359.4252</f>
        <v>3.5942520000000004</v>
      </c>
      <c r="O90" s="268">
        <f>Fak_3*130.5892</f>
        <v>1.3058920000000001</v>
      </c>
      <c r="P90" s="268">
        <f>Fak_3*167.6592</f>
        <v>1.6765920000000001</v>
      </c>
      <c r="Q90" s="268">
        <f>Fak_3*68.9597</f>
        <v>0.68959700000000002</v>
      </c>
      <c r="R90" s="268">
        <f>Fak_3*298.9834</f>
        <v>2.9898340000000001</v>
      </c>
      <c r="S90" s="268">
        <f>Fak_3*1815.0484</f>
        <v>18.150483999999999</v>
      </c>
      <c r="T90" s="213"/>
      <c r="U90" s="219"/>
      <c r="V90" s="210"/>
    </row>
    <row r="91" spans="2:22" s="144" customFormat="1" ht="24" customHeight="1" x14ac:dyDescent="0.25">
      <c r="B91" s="227"/>
      <c r="C91" s="228"/>
      <c r="D91" s="229"/>
      <c r="E91" s="131"/>
      <c r="F91" s="321" t="s">
        <v>7549</v>
      </c>
      <c r="G91" s="199"/>
      <c r="H91" s="200"/>
      <c r="I91" s="217" t="s">
        <v>7538</v>
      </c>
      <c r="J91" s="268">
        <f>Fak_3*12.7859</f>
        <v>0.127859</v>
      </c>
      <c r="K91" s="268">
        <f>Fak_3*39.0712</f>
        <v>0.390712</v>
      </c>
      <c r="L91" s="268">
        <f>Fak_3*0.4079</f>
        <v>4.0790000000000002E-3</v>
      </c>
      <c r="M91" s="268">
        <f>Fak_3*27.738</f>
        <v>0.27738000000000002</v>
      </c>
      <c r="N91" s="268">
        <f>Fak_3*32.3451</f>
        <v>0.32345100000000004</v>
      </c>
      <c r="O91" s="268">
        <f>Fak_3*11.7155</f>
        <v>0.11715500000000001</v>
      </c>
      <c r="P91" s="268">
        <f>Fak_3*13.6114</f>
        <v>0.13611400000000001</v>
      </c>
      <c r="Q91" s="268">
        <f>Fak_3*14.7371</f>
        <v>0.147371</v>
      </c>
      <c r="R91" s="268">
        <f>Fak_3*30.3427</f>
        <v>0.303427</v>
      </c>
      <c r="S91" s="268">
        <f>Fak_3*182.7548</f>
        <v>1.827548</v>
      </c>
      <c r="T91" s="213"/>
      <c r="U91" s="219"/>
      <c r="V91" s="210"/>
    </row>
    <row r="92" spans="2:22" s="144" customFormat="1" ht="24" customHeight="1" x14ac:dyDescent="0.25">
      <c r="B92" s="227"/>
      <c r="C92" s="228"/>
      <c r="D92" s="229"/>
      <c r="E92" s="131"/>
      <c r="F92" s="322" t="s">
        <v>7519</v>
      </c>
      <c r="G92" s="199"/>
      <c r="H92" s="200"/>
      <c r="I92" s="217" t="s">
        <v>7539</v>
      </c>
      <c r="J92" s="268">
        <f>Fak_3*16.7991</f>
        <v>0.167991</v>
      </c>
      <c r="K92" s="268">
        <f>Fak_3*16.4469</f>
        <v>0.164469</v>
      </c>
      <c r="L92" s="268">
        <f>Fak_3*1.9799</f>
        <v>1.9799000000000001E-2</v>
      </c>
      <c r="M92" s="268">
        <f>Fak_3*11.0648</f>
        <v>0.110648</v>
      </c>
      <c r="N92" s="268">
        <f>Fak_3*21.7524</f>
        <v>0.21752400000000002</v>
      </c>
      <c r="O92" s="268">
        <f>Fak_3*5.9697</f>
        <v>5.9697E-2</v>
      </c>
      <c r="P92" s="268">
        <f>Fak_3*7.8409</f>
        <v>7.8409000000000006E-2</v>
      </c>
      <c r="Q92" s="268">
        <f>Fak_3*4.769</f>
        <v>4.7690000000000003E-2</v>
      </c>
      <c r="R92" s="268">
        <f>Fak_3*9.6859</f>
        <v>9.6859000000000001E-2</v>
      </c>
      <c r="S92" s="268">
        <f>Fak_3*96.3086</f>
        <v>0.963086</v>
      </c>
      <c r="T92" s="213"/>
      <c r="U92" s="219"/>
      <c r="V92" s="210"/>
    </row>
    <row r="93" spans="2:22" s="208" customFormat="1" ht="24" customHeight="1" x14ac:dyDescent="0.25">
      <c r="B93" s="240"/>
      <c r="C93" s="230"/>
      <c r="D93" s="241"/>
      <c r="E93" s="183"/>
      <c r="F93" s="202" t="s">
        <v>7597</v>
      </c>
      <c r="G93" s="203"/>
      <c r="H93" s="201"/>
      <c r="I93" s="204" t="s">
        <v>7533</v>
      </c>
      <c r="J93" s="269">
        <f t="shared" ref="J93:S93" si="22">+SUM(J84,J89,J90,J91,J92)</f>
        <v>22.002501000000002</v>
      </c>
      <c r="K93" s="269">
        <f t="shared" si="22"/>
        <v>43.321195000000003</v>
      </c>
      <c r="L93" s="269">
        <f t="shared" si="22"/>
        <v>13.972993000000002</v>
      </c>
      <c r="M93" s="269">
        <f t="shared" si="22"/>
        <v>25.219694</v>
      </c>
      <c r="N93" s="269">
        <f t="shared" si="22"/>
        <v>34.655806999999996</v>
      </c>
      <c r="O93" s="269">
        <f t="shared" si="22"/>
        <v>17.089835000000001</v>
      </c>
      <c r="P93" s="269">
        <f t="shared" si="22"/>
        <v>19.758786000000001</v>
      </c>
      <c r="Q93" s="269">
        <f t="shared" si="22"/>
        <v>15.475476</v>
      </c>
      <c r="R93" s="269">
        <f t="shared" si="22"/>
        <v>28.918693999999999</v>
      </c>
      <c r="S93" s="269">
        <f t="shared" si="22"/>
        <v>220.41498100000001</v>
      </c>
      <c r="T93" s="206"/>
      <c r="U93" s="207"/>
      <c r="V93" s="202"/>
    </row>
  </sheetData>
  <mergeCells count="22">
    <mergeCell ref="F77:H77"/>
    <mergeCell ref="I78:U78"/>
    <mergeCell ref="J19:S19"/>
    <mergeCell ref="T20:V20"/>
    <mergeCell ref="I21:U21"/>
    <mergeCell ref="J42:S42"/>
    <mergeCell ref="J41:S41"/>
    <mergeCell ref="J45:S45"/>
    <mergeCell ref="J46:S46"/>
    <mergeCell ref="J49:S49"/>
    <mergeCell ref="J50:S50"/>
    <mergeCell ref="W25:W30"/>
    <mergeCell ref="I55:U55"/>
    <mergeCell ref="V63:V76"/>
    <mergeCell ref="B1:D1"/>
    <mergeCell ref="E1:R4"/>
    <mergeCell ref="I6:U6"/>
    <mergeCell ref="V8:V9"/>
    <mergeCell ref="W10:W15"/>
    <mergeCell ref="J17:S17"/>
    <mergeCell ref="I35:U35"/>
    <mergeCell ref="J39:S39"/>
  </mergeCells>
  <conditionalFormatting sqref="A8:U8 A23:XFD23 J22:R22">
    <cfRule type="expression" dxfId="35" priority="12">
      <formula>$A$12=2</formula>
    </cfRule>
  </conditionalFormatting>
  <conditionalFormatting sqref="A8:U8 A23:XFD23">
    <cfRule type="expression" dxfId="34" priority="9">
      <formula>$A$12=1</formula>
    </cfRule>
  </conditionalFormatting>
  <conditionalFormatting sqref="J39">
    <cfRule type="expression" dxfId="33" priority="4">
      <formula>$C$8 = "relativ"</formula>
    </cfRule>
  </conditionalFormatting>
  <conditionalFormatting sqref="J41">
    <cfRule type="expression" dxfId="32" priority="3">
      <formula>$C$8 = "relativ"</formula>
    </cfRule>
  </conditionalFormatting>
  <conditionalFormatting sqref="J45">
    <cfRule type="expression" dxfId="31" priority="2">
      <formula>$C$8 = "relativ"</formula>
    </cfRule>
  </conditionalFormatting>
  <conditionalFormatting sqref="J49">
    <cfRule type="expression" dxfId="30" priority="1">
      <formula>$C$8 = "relativ"</formula>
    </cfRule>
  </conditionalFormatting>
  <conditionalFormatting sqref="J10:S15 J25:S30">
    <cfRule type="expression" dxfId="29" priority="10">
      <formula>$C$6 = "relativ"</formula>
    </cfRule>
  </conditionalFormatting>
  <conditionalFormatting sqref="J22:S22">
    <cfRule type="expression" dxfId="28" priority="8">
      <formula>$A$12=1</formula>
    </cfRule>
  </conditionalFormatting>
  <conditionalFormatting sqref="J31:S31">
    <cfRule type="expression" dxfId="27" priority="11">
      <formula>$A$12=2</formula>
    </cfRule>
  </conditionalFormatting>
  <conditionalFormatting sqref="S22">
    <cfRule type="expression" dxfId="26" priority="7">
      <formula>$A$12=2</formula>
    </cfRule>
  </conditionalFormatting>
  <conditionalFormatting sqref="U10:U15">
    <cfRule type="dataBar" priority="14">
      <dataBar showValue="0">
        <cfvo type="num" val="0"/>
        <cfvo type="num" val="1"/>
        <color theme="0" tint="-0.499984740745262"/>
      </dataBar>
      <extLst>
        <ext xmlns:x14="http://schemas.microsoft.com/office/spreadsheetml/2009/9/main" uri="{B025F937-C7B1-47D3-B67F-A62EFF666E3E}">
          <x14:id>{8307359E-A871-499D-B659-A89F20082384}</x14:id>
        </ext>
      </extLst>
    </cfRule>
  </conditionalFormatting>
  <conditionalFormatting sqref="U25:U31">
    <cfRule type="dataBar" priority="13">
      <dataBar showValue="0">
        <cfvo type="num" val="0"/>
        <cfvo type="num" val="1"/>
        <color theme="0" tint="-0.499984740745262"/>
      </dataBar>
      <extLst>
        <ext xmlns:x14="http://schemas.microsoft.com/office/spreadsheetml/2009/9/main" uri="{B025F937-C7B1-47D3-B67F-A62EFF666E3E}">
          <x14:id>{60467D3B-E361-455D-825D-C981B2CD00FF}</x14:id>
        </ext>
      </extLst>
    </cfRule>
  </conditionalFormatting>
  <conditionalFormatting sqref="W8:XFD8">
    <cfRule type="expression" dxfId="25" priority="5">
      <formula>$A$12=2</formula>
    </cfRule>
    <cfRule type="expression" dxfId="24" priority="6">
      <formula>$A$12=1</formula>
    </cfRule>
  </conditionalFormatting>
  <dataValidations count="3">
    <dataValidation type="list" allowBlank="1" showInputMessage="1" showErrorMessage="1" sqref="C6:D6" xr:uid="{00000000-0002-0000-0C00-000000000000}">
      <formula1>"absolut,relativ"</formula1>
    </dataValidation>
    <dataValidation type="list" allowBlank="1" showInputMessage="1" showErrorMessage="1" sqref="C55:E55" xr:uid="{00000000-0002-0000-0C00-000001000000}">
      <formula1>"absolut, Bevölkerung, Dauersiedlungsraum"</formula1>
    </dataValidation>
    <dataValidation type="list" allowBlank="1" showInputMessage="1" showErrorMessage="1" sqref="C3 D5" xr:uid="{00000000-0002-0000-0C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8307359E-A871-499D-B659-A89F20082384}">
            <x14:dataBar minLength="0" maxLength="100" gradient="0">
              <x14:cfvo type="num">
                <xm:f>0</xm:f>
              </x14:cfvo>
              <x14:cfvo type="num">
                <xm:f>1</xm:f>
              </x14:cfvo>
              <x14:negativeFillColor rgb="FFFF0000"/>
              <x14:axisColor rgb="FF000000"/>
            </x14:dataBar>
          </x14:cfRule>
          <xm:sqref>U10:U15</xm:sqref>
        </x14:conditionalFormatting>
        <x14:conditionalFormatting xmlns:xm="http://schemas.microsoft.com/office/excel/2006/main">
          <x14:cfRule type="dataBar" id="{60467D3B-E361-455D-825D-C981B2CD00FF}">
            <x14:dataBar minLength="0" maxLength="100" gradient="0">
              <x14:cfvo type="num">
                <xm:f>0</xm:f>
              </x14:cfvo>
              <x14:cfvo type="num">
                <xm:f>1</xm:f>
              </x14:cfvo>
              <x14:negativeFillColor rgb="FFFF0000"/>
              <x14:axisColor rgb="FF000000"/>
            </x14:dataBar>
          </x14:cfRule>
          <xm:sqref>U25:U31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C00-000029000000}">
          <x14:colorSeries theme="0" tint="-0.34998626667073579"/>
          <x14:colorNegative rgb="FFD00000"/>
          <x14:colorAxis rgb="FF000000"/>
          <x14:colorMarkers rgb="FFD00000"/>
          <x14:colorFirst rgb="FFD00000"/>
          <x14:colorLast rgb="FFD00000"/>
          <x14:colorHigh rgb="FFD00000"/>
          <x14:colorLow rgb="FFD00000"/>
          <x14:sparklines>
            <x14:sparkline>
              <xm:f>T!J18:S18</xm:f>
              <xm:sqref>J17</xm:sqref>
            </x14:sparkline>
          </x14:sparklines>
        </x14:sparklineGroup>
        <x14:sparklineGroup manualMin="0" type="column" displayEmptyCellsAs="gap" minAxisType="custom" xr2:uid="{00000000-0003-0000-0C00-000028000000}">
          <x14:colorSeries theme="0" tint="-0.34998626667073579"/>
          <x14:colorNegative rgb="FFD00000"/>
          <x14:colorAxis rgb="FF000000"/>
          <x14:colorMarkers rgb="FFD00000"/>
          <x14:colorFirst rgb="FFD00000"/>
          <x14:colorLast rgb="FFD00000"/>
          <x14:colorHigh rgb="FFD00000"/>
          <x14:colorLow rgb="FFD00000"/>
          <x14:sparklines>
            <x14:sparkline>
              <xm:f>T!J20:S20</xm:f>
              <xm:sqref>J19</xm:sqref>
            </x14:sparkline>
          </x14:sparklines>
        </x14:sparklineGroup>
        <x14:sparklineGroup type="column" displayEmptyCellsAs="gap" xr2:uid="{00000000-0003-0000-0C00-000027000000}">
          <x14:colorSeries rgb="FF376092"/>
          <x14:colorNegative rgb="FFD00000"/>
          <x14:colorAxis rgb="FF000000"/>
          <x14:colorMarkers rgb="FFD00000"/>
          <x14:colorFirst rgb="FFD00000"/>
          <x14:colorLast rgb="FFD00000"/>
          <x14:colorHigh rgb="FFD00000"/>
          <x14:colorLow rgb="FFD00000"/>
          <x14:sparklines>
            <x14:sparkline>
              <xm:f>T!J43:S43</xm:f>
              <xm:sqref>J42</xm:sqref>
            </x14:sparkline>
          </x14:sparklines>
        </x14:sparklineGroup>
        <x14:sparklineGroup type="column" displayEmptyCellsAs="gap" xr2:uid="{00000000-0003-0000-0C00-000026000000}">
          <x14:colorSeries rgb="FF376092"/>
          <x14:colorNegative rgb="FFD00000"/>
          <x14:colorAxis rgb="FF000000"/>
          <x14:colorMarkers rgb="FFD00000"/>
          <x14:colorFirst rgb="FFD00000"/>
          <x14:colorLast rgb="FFD00000"/>
          <x14:colorHigh rgb="FFD00000"/>
          <x14:colorLow rgb="FFD00000"/>
          <x14:sparklines>
            <x14:sparkline>
              <xm:f>T!J47:S47</xm:f>
              <xm:sqref>J46</xm:sqref>
            </x14:sparkline>
          </x14:sparklines>
        </x14:sparklineGroup>
        <x14:sparklineGroup type="column" displayEmptyCellsAs="gap" xr2:uid="{00000000-0003-0000-0C00-000025000000}">
          <x14:colorSeries rgb="FF376092"/>
          <x14:colorNegative rgb="FFD00000"/>
          <x14:colorAxis rgb="FF000000"/>
          <x14:colorMarkers rgb="FFD00000"/>
          <x14:colorFirst rgb="FFD00000"/>
          <x14:colorLast rgb="FFD00000"/>
          <x14:colorHigh rgb="FFD00000"/>
          <x14:colorLow rgb="FFD00000"/>
          <x14:sparklines>
            <x14:sparkline>
              <xm:f>T!J51:S51</xm:f>
              <xm:sqref>J50</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tabColor rgb="FFFFFF00"/>
    <pageSetUpPr fitToPage="1"/>
  </sheetPr>
  <dimension ref="A1:DX93"/>
  <sheetViews>
    <sheetView topLeftCell="B1" zoomScale="90" zoomScaleNormal="90" workbookViewId="0">
      <pane xSplit="3" ySplit="4" topLeftCell="E5" activePane="bottomRight" state="frozen"/>
      <selection activeCell="E5" sqref="E5"/>
      <selection pane="topRight" activeCell="E5" sqref="E5"/>
      <selection pane="bottomLeft" activeCell="E5" sqref="E5"/>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4" width="15.42578125" style="138" customWidth="1"/>
    <col min="15" max="15" width="27.42578125" style="138" bestFit="1" customWidth="1"/>
    <col min="16" max="16" width="30" style="186" bestFit="1" customWidth="1"/>
    <col min="17" max="17" width="9.5703125" style="138" customWidth="1"/>
    <col min="18" max="18" width="15.5703125" style="138" customWidth="1"/>
    <col min="19" max="19" width="14.140625" style="138" customWidth="1"/>
    <col min="20" max="61" width="11.42578125" style="138" customWidth="1"/>
    <col min="62" max="62" width="12.28515625" style="138" bestFit="1" customWidth="1"/>
    <col min="63" max="63" width="13.140625" style="138" bestFit="1" customWidth="1"/>
    <col min="64" max="64" width="12.85546875" style="138" bestFit="1" customWidth="1"/>
    <col min="65" max="16384" width="11.42578125" style="138"/>
  </cols>
  <sheetData>
    <row r="1" spans="1:64" s="239" customFormat="1" ht="53.25" customHeight="1" x14ac:dyDescent="0.9">
      <c r="A1" s="133" t="s">
        <v>148</v>
      </c>
      <c r="B1" s="366" t="s">
        <v>7540</v>
      </c>
      <c r="C1" s="366"/>
      <c r="D1" s="366"/>
      <c r="E1" s="381" t="str">
        <f xml:space="preserve"> VLOOKUP(BL,Konstanten!$E$38:$F$46,2,FALSE) &amp;"-Ergebnisse: Indikatoren zu Flächeninanspruchnahme und Versiegelung mit Stand 2022 (Baseline)"</f>
        <v>Vorarlberg-Ergebnisse: Indikatoren zu Flächeninanspruchnahme und Versiegelung mit Stand 2022 (Baseline)</v>
      </c>
      <c r="F1" s="381"/>
      <c r="G1" s="381"/>
      <c r="H1" s="381"/>
      <c r="I1" s="381"/>
      <c r="J1" s="381"/>
      <c r="K1" s="381"/>
      <c r="L1" s="381"/>
      <c r="M1" s="381"/>
      <c r="N1" s="316"/>
      <c r="O1" s="316"/>
      <c r="P1" s="317"/>
      <c r="Q1" s="318"/>
      <c r="R1" s="31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row>
    <row r="2" spans="1:64" s="239" customFormat="1" ht="15" customHeight="1" x14ac:dyDescent="0.9">
      <c r="A2" s="133"/>
      <c r="B2" s="243"/>
      <c r="C2" s="243"/>
      <c r="D2" s="243"/>
      <c r="E2" s="381"/>
      <c r="F2" s="381"/>
      <c r="G2" s="381"/>
      <c r="H2" s="381"/>
      <c r="I2" s="381"/>
      <c r="J2" s="381"/>
      <c r="K2" s="381"/>
      <c r="L2" s="381"/>
      <c r="M2" s="381"/>
      <c r="N2" s="316"/>
      <c r="O2" s="316"/>
      <c r="P2" s="317"/>
      <c r="Q2" s="318"/>
      <c r="R2" s="31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row>
    <row r="3" spans="1:64" s="239" customFormat="1" ht="51.75" x14ac:dyDescent="0.9">
      <c r="A3" s="133"/>
      <c r="B3" s="228" t="s">
        <v>7517</v>
      </c>
      <c r="C3" s="242" t="s">
        <v>153</v>
      </c>
      <c r="D3" s="229"/>
      <c r="E3" s="381"/>
      <c r="F3" s="381"/>
      <c r="G3" s="381"/>
      <c r="H3" s="381"/>
      <c r="I3" s="381"/>
      <c r="J3" s="381"/>
      <c r="K3" s="381"/>
      <c r="L3" s="381"/>
      <c r="M3" s="381"/>
      <c r="N3" s="316"/>
      <c r="O3" s="316"/>
      <c r="P3" s="317"/>
      <c r="Q3" s="318"/>
      <c r="R3" s="31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row>
    <row r="4" spans="1:64" s="239" customFormat="1" ht="22.5" customHeight="1" x14ac:dyDescent="0.9">
      <c r="A4" s="131"/>
      <c r="B4" s="227"/>
      <c r="C4" s="228"/>
      <c r="D4" s="229"/>
      <c r="E4" s="381"/>
      <c r="F4" s="381"/>
      <c r="G4" s="381"/>
      <c r="H4" s="381"/>
      <c r="I4" s="381"/>
      <c r="J4" s="381"/>
      <c r="K4" s="381"/>
      <c r="L4" s="381"/>
      <c r="M4" s="381"/>
      <c r="N4" s="319"/>
      <c r="O4" s="319"/>
      <c r="P4" s="320"/>
      <c r="Q4" s="318"/>
      <c r="R4" s="31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row>
    <row r="5" spans="1:64" ht="52.5" customHeight="1" x14ac:dyDescent="0.3">
      <c r="A5" s="133">
        <f>+IF(Einheit = "ha", 1, 0.01)</f>
        <v>0.01</v>
      </c>
      <c r="C5" s="227"/>
      <c r="D5" s="231"/>
      <c r="E5" s="226" t="s">
        <v>7530</v>
      </c>
      <c r="F5" s="140"/>
      <c r="G5" s="140"/>
      <c r="H5" s="140"/>
      <c r="I5" s="140"/>
      <c r="J5" s="1"/>
      <c r="K5" s="1"/>
      <c r="L5" s="1"/>
      <c r="M5" s="1"/>
      <c r="N5" s="140"/>
      <c r="O5" s="140"/>
      <c r="P5" s="140"/>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row>
    <row r="6" spans="1:64" s="144" customFormat="1" ht="42" customHeight="1" x14ac:dyDescent="0.3">
      <c r="A6" s="133"/>
      <c r="B6" s="228" t="s">
        <v>160</v>
      </c>
      <c r="C6" s="242" t="s">
        <v>161</v>
      </c>
      <c r="D6" s="231"/>
      <c r="E6" s="139"/>
      <c r="F6" s="141"/>
      <c r="G6" s="141"/>
      <c r="H6" s="141"/>
      <c r="I6" s="368" t="s">
        <v>7448</v>
      </c>
      <c r="J6" s="368"/>
      <c r="K6" s="368"/>
      <c r="L6" s="368"/>
      <c r="M6" s="368"/>
      <c r="N6" s="368"/>
      <c r="O6" s="368"/>
      <c r="P6" s="368"/>
      <c r="Q6" s="146"/>
      <c r="R6" s="138"/>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row>
    <row r="7" spans="1:64" s="144" customFormat="1" ht="34.5" hidden="1" customHeight="1" x14ac:dyDescent="0.3">
      <c r="A7" s="133"/>
      <c r="B7" s="227"/>
      <c r="C7" s="230"/>
      <c r="D7" s="231"/>
      <c r="E7" s="139"/>
      <c r="F7" s="141"/>
      <c r="G7" s="141"/>
      <c r="H7" s="141"/>
      <c r="I7" s="142"/>
      <c r="J7" s="131">
        <f>Fak_Einheit/IF(denom_1="absolut",1,Fak_Einheit*V!FI_gesamt)</f>
        <v>0.01</v>
      </c>
      <c r="K7" s="131">
        <f>Fak_Einheit/IF(denom_1="absolut",1,Fak_Einheit*V!FI_gesamt)</f>
        <v>0.01</v>
      </c>
      <c r="L7" s="131">
        <f>Fak_Einheit/IF(denom_1="absolut",1,Fak_Einheit*V!FI_gesamt)</f>
        <v>0.01</v>
      </c>
      <c r="M7" s="131">
        <f>Fak_Einheit/IF(denom_1="absolut",1,Fak_Einheit*V!FI_gesamt)</f>
        <v>0.01</v>
      </c>
      <c r="N7" s="131">
        <f>Fak_Einheit/IF(denom_1="absolut",1,Fak_Einheit*V!FI_gesamt)</f>
        <v>0.01</v>
      </c>
      <c r="O7" s="143"/>
      <c r="P7" s="145"/>
      <c r="Q7" s="146"/>
      <c r="R7" s="138"/>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row>
    <row r="8" spans="1:64" s="270" customFormat="1" ht="16.5" hidden="1" x14ac:dyDescent="0.25">
      <c r="B8" s="271"/>
      <c r="C8" s="272"/>
      <c r="D8" s="271"/>
      <c r="H8" s="273" t="s">
        <v>7523</v>
      </c>
      <c r="J8">
        <v>3632.6861440630701</v>
      </c>
      <c r="K8">
        <v>5571.7416618515699</v>
      </c>
      <c r="L8">
        <v>3012.7292732474498</v>
      </c>
      <c r="M8">
        <v>4357.4754856335703</v>
      </c>
      <c r="N8">
        <v>16574.632564795662</v>
      </c>
      <c r="Q8" s="382"/>
    </row>
    <row r="9" spans="1:64" s="274" customFormat="1" ht="93" customHeight="1" x14ac:dyDescent="0.4">
      <c r="B9" s="272"/>
      <c r="C9" s="272"/>
      <c r="D9" s="272"/>
      <c r="F9" s="275"/>
      <c r="G9" s="275"/>
      <c r="H9" s="275"/>
      <c r="I9" s="275"/>
      <c r="J9" s="278" t="s">
        <v>115</v>
      </c>
      <c r="K9" s="278" t="s">
        <v>117</v>
      </c>
      <c r="L9" s="278" t="s">
        <v>118</v>
      </c>
      <c r="M9" s="278" t="s">
        <v>119</v>
      </c>
      <c r="N9" s="279" t="str">
        <f>V!BL</f>
        <v>V</v>
      </c>
      <c r="Q9" s="382"/>
      <c r="R9" s="276"/>
      <c r="S9" s="276"/>
      <c r="BJ9" s="274" t="s">
        <v>7524</v>
      </c>
      <c r="BK9" s="274" t="s">
        <v>7525</v>
      </c>
      <c r="BL9" s="274" t="s">
        <v>7526</v>
      </c>
    </row>
    <row r="10" spans="1:64" s="156" customFormat="1" ht="19.5" customHeight="1" thickBot="1" x14ac:dyDescent="0.45">
      <c r="B10" s="236"/>
      <c r="C10" s="237"/>
      <c r="D10" s="238"/>
      <c r="F10" s="265"/>
      <c r="G10" s="157"/>
      <c r="I10" s="192" t="s">
        <v>7515</v>
      </c>
      <c r="J10" s="286">
        <f>3632.68614406307*(+V!Fak_1)</f>
        <v>36.326861440630701</v>
      </c>
      <c r="K10" s="286">
        <f>5571.74166185157*(+V!Fak_1)</f>
        <v>55.717416618515699</v>
      </c>
      <c r="L10" s="286">
        <f>3012.72927324745*(+V!Fak_1)</f>
        <v>30.127292732474498</v>
      </c>
      <c r="M10" s="286">
        <f>4357.47548563357*(+V!Fak_1)</f>
        <v>43.574754856335701</v>
      </c>
      <c r="N10" s="287">
        <f>16574.6325647957*(+V!Fak_1)</f>
        <v>165.74632564795698</v>
      </c>
      <c r="O10" s="172" t="str">
        <f t="shared" ref="O10:O15" si="0">IF(denom_1="absolut",Einheit,"% FI gesamt")</f>
        <v>km²</v>
      </c>
      <c r="P10" s="160"/>
      <c r="Q10" s="161">
        <f>+BK10/BJ10</f>
        <v>0.58469807774706806</v>
      </c>
      <c r="R10" s="364" t="s">
        <v>7527</v>
      </c>
      <c r="S10" s="163"/>
      <c r="T10" s="159"/>
      <c r="BJ10" s="164">
        <f>+N10/$N$7</f>
        <v>16574.632564795698</v>
      </c>
      <c r="BK10" s="164">
        <f>+N25/$N$23</f>
        <v>9691.1558000000005</v>
      </c>
      <c r="BL10" s="164">
        <f>+BJ10-BK10</f>
        <v>6883.4767647956978</v>
      </c>
    </row>
    <row r="11" spans="1:64" s="147" customFormat="1" ht="19.5" customHeight="1" thickTop="1" thickBot="1" x14ac:dyDescent="0.35">
      <c r="B11" s="227"/>
      <c r="C11" s="228"/>
      <c r="D11" s="235"/>
      <c r="E11" s="148"/>
      <c r="F11" s="265"/>
      <c r="I11" s="152" t="s">
        <v>25</v>
      </c>
      <c r="J11" s="288">
        <f>1024.45336629213*(+V!Fak_1)</f>
        <v>10.244533662921301</v>
      </c>
      <c r="K11" s="288">
        <f>1417.66948592122*(+V!Fak_1)</f>
        <v>14.176694859212201</v>
      </c>
      <c r="L11" s="288">
        <f>629.704267000648*(+V!Fak_1)</f>
        <v>6.2970426700064799</v>
      </c>
      <c r="M11" s="288">
        <f>911.127262343827*(+V!Fak_1)</f>
        <v>9.1112726234382713</v>
      </c>
      <c r="N11" s="289">
        <f>3982.95438155783*(+V!Fak_1)</f>
        <v>39.829543815578297</v>
      </c>
      <c r="O11" s="172" t="str">
        <f t="shared" si="0"/>
        <v>km²</v>
      </c>
      <c r="P11" s="160"/>
      <c r="Q11" s="161">
        <f t="shared" ref="Q11:Q15" si="1">+BK11/BJ11</f>
        <v>0.8499410175709663</v>
      </c>
      <c r="R11" s="364"/>
      <c r="S11" s="163"/>
      <c r="T11" s="159"/>
      <c r="BJ11" s="164">
        <f t="shared" ref="BJ11:BJ15" si="2">+N11/$N$7</f>
        <v>3982.9543815578295</v>
      </c>
      <c r="BK11" s="164">
        <f t="shared" ref="BK11:BK15" si="3">+N26/$N$23</f>
        <v>3385.2763000000004</v>
      </c>
      <c r="BL11" s="164">
        <f t="shared" ref="BL11:BL15" si="4">+BJ11-BK11</f>
        <v>597.67808155782905</v>
      </c>
    </row>
    <row r="12" spans="1:64" s="147" customFormat="1" ht="19.5" customHeight="1" thickTop="1" thickBot="1" x14ac:dyDescent="0.35">
      <c r="A12" s="167"/>
      <c r="B12" s="227"/>
      <c r="C12" s="228"/>
      <c r="D12" s="235"/>
      <c r="E12" s="148"/>
      <c r="F12" s="265"/>
      <c r="I12" s="152" t="s">
        <v>7410</v>
      </c>
      <c r="J12" s="288">
        <f>1679.93591231541*(+V!Fak_1)</f>
        <v>16.799359123154101</v>
      </c>
      <c r="K12" s="288">
        <f>2935.5052850828*(+V!Fak_1)</f>
        <v>29.355052850828002</v>
      </c>
      <c r="L12" s="288">
        <f>1993.2252076002*(+V!Fak_1)</f>
        <v>19.932252076002001</v>
      </c>
      <c r="M12" s="288">
        <f>2837.17298663893*(+V!Fak_1)</f>
        <v>28.371729866389302</v>
      </c>
      <c r="N12" s="289">
        <f>9445.83939163734*(+V!Fak_1)</f>
        <v>94.45839391637341</v>
      </c>
      <c r="O12" s="172" t="str">
        <f t="shared" si="0"/>
        <v>km²</v>
      </c>
      <c r="P12" s="160"/>
      <c r="Q12" s="161">
        <f t="shared" si="1"/>
        <v>0.52653357671984358</v>
      </c>
      <c r="R12" s="364"/>
      <c r="S12" s="163"/>
      <c r="T12" s="159"/>
      <c r="BJ12" s="164">
        <f t="shared" si="2"/>
        <v>9445.8393916373407</v>
      </c>
      <c r="BK12" s="164">
        <f t="shared" si="3"/>
        <v>4973.5515999999998</v>
      </c>
      <c r="BL12" s="164">
        <f t="shared" si="4"/>
        <v>4472.2877916373409</v>
      </c>
    </row>
    <row r="13" spans="1:64" s="147" customFormat="1" ht="19.5" customHeight="1" thickTop="1" thickBot="1" x14ac:dyDescent="0.35">
      <c r="B13" s="227"/>
      <c r="C13" s="228"/>
      <c r="D13" s="235"/>
      <c r="E13" s="148"/>
      <c r="F13" s="265"/>
      <c r="I13" s="152" t="s">
        <v>7409</v>
      </c>
      <c r="J13" s="288">
        <f>601.842414585305*(+V!Fak_1)</f>
        <v>6.018424145853051</v>
      </c>
      <c r="K13" s="288">
        <f>807.363630682172*(+V!Fak_1)</f>
        <v>8.0736363068217205</v>
      </c>
      <c r="L13" s="288">
        <f>188.967163347098*(+V!Fak_1)</f>
        <v>1.88967163347098</v>
      </c>
      <c r="M13" s="288">
        <f>344.038381125875*(+V!Fak_1)</f>
        <v>3.4403838112587501</v>
      </c>
      <c r="N13" s="289">
        <f>1942.21158974045*(+V!Fak_1)</f>
        <v>19.422115897404503</v>
      </c>
      <c r="O13" s="172" t="str">
        <f t="shared" si="0"/>
        <v>km²</v>
      </c>
      <c r="P13" s="160"/>
      <c r="Q13" s="161">
        <f t="shared" si="1"/>
        <v>0.53805131506791748</v>
      </c>
      <c r="R13" s="364"/>
      <c r="S13" s="163"/>
      <c r="T13" s="159"/>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4">
        <f t="shared" si="2"/>
        <v>1942.2115897404501</v>
      </c>
      <c r="BK13" s="164">
        <f t="shared" si="3"/>
        <v>1045.0094999999999</v>
      </c>
      <c r="BL13" s="164">
        <f t="shared" si="4"/>
        <v>897.20208974045022</v>
      </c>
    </row>
    <row r="14" spans="1:64" s="147" customFormat="1" ht="19.5" customHeight="1" thickTop="1" x14ac:dyDescent="0.3">
      <c r="B14" s="227"/>
      <c r="C14" s="228"/>
      <c r="D14" s="235"/>
      <c r="E14" s="148"/>
      <c r="F14" s="265"/>
      <c r="I14" s="152" t="s">
        <v>7549</v>
      </c>
      <c r="J14" s="288">
        <f>210.008249772324*(+V!Fak_1)</f>
        <v>2.10008249772324</v>
      </c>
      <c r="K14" s="288">
        <f>335.152979135404*(+V!Fak_1)</f>
        <v>3.3515297913540398</v>
      </c>
      <c r="L14" s="288">
        <f>147.823999265964*(+V!Fak_1)</f>
        <v>1.4782399926596401</v>
      </c>
      <c r="M14" s="288">
        <f>190.575248456835*(+V!Fak_1)</f>
        <v>1.90575248456835</v>
      </c>
      <c r="N14" s="290">
        <f>883.560476630527*(+V!Fak_1)</f>
        <v>8.8356047663052699</v>
      </c>
      <c r="O14" s="172" t="str">
        <f t="shared" si="0"/>
        <v>km²</v>
      </c>
      <c r="P14" s="160"/>
      <c r="Q14" s="161">
        <f t="shared" si="1"/>
        <v>0.2380088353453341</v>
      </c>
      <c r="R14" s="364"/>
      <c r="S14" s="163"/>
      <c r="T14" s="15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4">
        <f t="shared" si="2"/>
        <v>883.56047663052698</v>
      </c>
      <c r="BK14" s="164">
        <f t="shared" si="3"/>
        <v>210.29520000000002</v>
      </c>
      <c r="BL14" s="164">
        <f t="shared" si="4"/>
        <v>673.26527663052696</v>
      </c>
    </row>
    <row r="15" spans="1:64" s="147" customFormat="1" ht="19.5" customHeight="1" x14ac:dyDescent="0.3">
      <c r="B15" s="227"/>
      <c r="C15" s="228"/>
      <c r="D15" s="235"/>
      <c r="E15" s="148"/>
      <c r="F15" s="265"/>
      <c r="I15" s="152" t="s">
        <v>7519</v>
      </c>
      <c r="J15" s="288">
        <f>116.446201097908*(+V!Fak_1)</f>
        <v>1.16446201097908</v>
      </c>
      <c r="K15" s="288">
        <f>76.0502810299805*(+V!Fak_1)</f>
        <v>0.76050281029980493</v>
      </c>
      <c r="L15" s="288">
        <f>53.0086360335465*(+V!Fak_1)</f>
        <v>0.53008636033546508</v>
      </c>
      <c r="M15" s="288">
        <f>74.5616070681118*(+V!Fak_1)</f>
        <v>0.74561607068111801</v>
      </c>
      <c r="N15" s="290">
        <f>320.066725229547*(+V!Fak_1)</f>
        <v>3.20066725229547</v>
      </c>
      <c r="O15" s="172" t="str">
        <f t="shared" si="0"/>
        <v>km²</v>
      </c>
      <c r="P15" s="160"/>
      <c r="Q15" s="161">
        <f t="shared" si="1"/>
        <v>0.24064732110081152</v>
      </c>
      <c r="R15" s="364"/>
      <c r="S15" s="163"/>
      <c r="T15" s="159"/>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4">
        <f t="shared" si="2"/>
        <v>320.06672522954699</v>
      </c>
      <c r="BK15" s="164">
        <f t="shared" si="3"/>
        <v>77.023200000000003</v>
      </c>
      <c r="BL15" s="164">
        <f t="shared" si="4"/>
        <v>243.04352522954699</v>
      </c>
    </row>
    <row r="16" spans="1:64" s="147" customFormat="1" ht="21" customHeight="1" x14ac:dyDescent="0.3">
      <c r="B16" s="227"/>
      <c r="C16" s="228"/>
      <c r="D16" s="235"/>
      <c r="E16" s="148"/>
      <c r="F16" s="265"/>
      <c r="I16" s="152"/>
      <c r="J16" s="168"/>
      <c r="K16" s="168"/>
      <c r="L16" s="168"/>
      <c r="M16" s="168"/>
      <c r="N16" s="170"/>
      <c r="O16" s="172"/>
      <c r="P16" s="168"/>
    </row>
    <row r="17" spans="2:18" s="147" customFormat="1" ht="42.75" customHeight="1" x14ac:dyDescent="0.3">
      <c r="B17" s="227"/>
      <c r="C17" s="228"/>
      <c r="D17" s="235"/>
      <c r="E17" s="148"/>
      <c r="F17" s="265"/>
      <c r="I17" s="152" t="s">
        <v>7520</v>
      </c>
      <c r="J17" s="371"/>
      <c r="K17" s="371"/>
      <c r="L17" s="371"/>
      <c r="M17" s="371"/>
      <c r="N17" s="371"/>
      <c r="O17" s="172"/>
      <c r="P17" s="168"/>
    </row>
    <row r="18" spans="2:18" s="147" customFormat="1" ht="42.75" customHeight="1" x14ac:dyDescent="0.3">
      <c r="B18" s="227"/>
      <c r="C18" s="228"/>
      <c r="D18" s="235"/>
      <c r="E18" s="148"/>
      <c r="F18" s="265"/>
      <c r="J18" s="173">
        <f t="shared" ref="J18:N18" si="5">FI_gesamt/EW*10000</f>
        <v>561.6571545290625</v>
      </c>
      <c r="K18" s="173">
        <f t="shared" si="5"/>
        <v>409.37684414388877</v>
      </c>
      <c r="L18" s="173">
        <f t="shared" si="5"/>
        <v>331.48806439428398</v>
      </c>
      <c r="M18" s="173">
        <f t="shared" si="5"/>
        <v>396.10532739742291</v>
      </c>
      <c r="N18" s="173">
        <f t="shared" si="5"/>
        <v>412.63892023869266</v>
      </c>
      <c r="O18" s="171" t="s">
        <v>7413</v>
      </c>
    </row>
    <row r="19" spans="2:18" s="147" customFormat="1" ht="42.75" customHeight="1" x14ac:dyDescent="0.3">
      <c r="B19" s="227"/>
      <c r="C19" s="228"/>
      <c r="D19" s="235"/>
      <c r="E19" s="148"/>
      <c r="F19" s="265"/>
      <c r="I19" s="152" t="s">
        <v>7550</v>
      </c>
      <c r="J19" s="372"/>
      <c r="K19" s="372"/>
      <c r="L19" s="372"/>
      <c r="M19" s="372"/>
      <c r="N19" s="372"/>
      <c r="O19" s="171"/>
      <c r="P19" s="168"/>
    </row>
    <row r="20" spans="2:18" s="147" customFormat="1" ht="66.75" customHeight="1" x14ac:dyDescent="0.3">
      <c r="B20" s="227"/>
      <c r="C20" s="228"/>
      <c r="D20" s="235"/>
      <c r="E20" s="148"/>
      <c r="F20" s="265"/>
      <c r="I20" s="245"/>
      <c r="J20" s="174">
        <f t="shared" ref="J20:N20" si="6">100*Fak_Einheit*FI_gesamt/DSR</f>
        <v>27.865560686588559</v>
      </c>
      <c r="K20" s="174">
        <f t="shared" si="6"/>
        <v>22.209997951719764</v>
      </c>
      <c r="L20" s="174">
        <f t="shared" si="6"/>
        <v>41.678041633961428</v>
      </c>
      <c r="M20" s="174">
        <f t="shared" si="6"/>
        <v>38.297714599553338</v>
      </c>
      <c r="N20" s="174">
        <f t="shared" si="6"/>
        <v>0.29216910702124888</v>
      </c>
      <c r="O20" s="373" t="s">
        <v>7418</v>
      </c>
      <c r="P20" s="373"/>
      <c r="Q20" s="373"/>
      <c r="R20" s="266"/>
    </row>
    <row r="21" spans="2:18" ht="51" customHeight="1" x14ac:dyDescent="0.3">
      <c r="G21" s="176"/>
      <c r="H21" s="176"/>
      <c r="I21" s="369" t="s">
        <v>7474</v>
      </c>
      <c r="J21" s="369"/>
      <c r="K21" s="369"/>
      <c r="L21" s="369"/>
      <c r="M21" s="369"/>
      <c r="N21" s="369"/>
      <c r="O21" s="369"/>
      <c r="P21" s="369"/>
      <c r="Q21" s="175"/>
    </row>
    <row r="22" spans="2:18" ht="49.5" hidden="1" customHeight="1" x14ac:dyDescent="0.3">
      <c r="H22" s="177" t="s">
        <v>7522</v>
      </c>
      <c r="I22" s="138"/>
      <c r="J22" s="138">
        <v>2129.4086000000002</v>
      </c>
      <c r="K22" s="138">
        <v>3356.1624999999999</v>
      </c>
      <c r="L22" s="138">
        <v>1715.5323000000001</v>
      </c>
      <c r="M22" s="138">
        <v>2490.0524</v>
      </c>
      <c r="N22" s="138">
        <v>9691.1558000000005</v>
      </c>
      <c r="P22" s="138"/>
    </row>
    <row r="23" spans="2:18" ht="18" hidden="1" x14ac:dyDescent="0.35">
      <c r="B23" s="232"/>
      <c r="C23" s="233"/>
      <c r="D23" s="239"/>
      <c r="E23" s="138"/>
      <c r="H23" s="177" t="s">
        <v>7521</v>
      </c>
      <c r="I23" s="138"/>
      <c r="J23" s="138">
        <f>Fak_Einheit/IF(denom_1="absolut",1,Fak_Einheit*V!VS_gesamt)</f>
        <v>0.01</v>
      </c>
      <c r="K23" s="138">
        <f>Fak_Einheit/IF(denom_1="absolut",1,Fak_Einheit*V!VS_gesamt)</f>
        <v>0.01</v>
      </c>
      <c r="L23" s="138">
        <f>Fak_Einheit/IF(denom_1="absolut",1,Fak_Einheit*V!VS_gesamt)</f>
        <v>0.01</v>
      </c>
      <c r="M23" s="138">
        <f>Fak_Einheit/IF(denom_1="absolut",1,Fak_Einheit*V!VS_gesamt)</f>
        <v>0.01</v>
      </c>
      <c r="N23" s="138">
        <f>Fak_Einheit/IF(denom_1="absolut",1,Fak_Einheit*V!VS_gesamt)</f>
        <v>0.01</v>
      </c>
      <c r="P23" s="138"/>
    </row>
    <row r="24" spans="2:18" ht="86.25" customHeight="1" x14ac:dyDescent="0.4">
      <c r="G24" s="144"/>
      <c r="H24" s="210"/>
      <c r="I24" s="210"/>
      <c r="J24" s="278" t="str">
        <f t="shared" ref="J24:M24" si="7">+J9</f>
        <v>Bludenz</v>
      </c>
      <c r="K24" s="278" t="str">
        <f t="shared" si="7"/>
        <v>Bregenz</v>
      </c>
      <c r="L24" s="278" t="str">
        <f t="shared" si="7"/>
        <v>Dornbirn</v>
      </c>
      <c r="M24" s="278" t="str">
        <f t="shared" si="7"/>
        <v>Feldkirch</v>
      </c>
      <c r="N24" s="279" t="str">
        <f>V!BL</f>
        <v>V</v>
      </c>
      <c r="O24" s="210"/>
      <c r="P24" s="147"/>
      <c r="Q24" s="147"/>
      <c r="R24" s="147"/>
    </row>
    <row r="25" spans="2:18" ht="19.5" customHeight="1" thickBot="1" x14ac:dyDescent="0.35">
      <c r="G25" s="146"/>
      <c r="I25" s="158" t="s">
        <v>7516</v>
      </c>
      <c r="J25" s="280">
        <f>2129.4086*(+V!Fak_2)</f>
        <v>21.294086000000004</v>
      </c>
      <c r="K25" s="280">
        <f>3356.1625*(+V!Fak_2)</f>
        <v>33.561624999999999</v>
      </c>
      <c r="L25" s="280">
        <f>1715.5323*(+V!Fak_2)</f>
        <v>17.155323000000003</v>
      </c>
      <c r="M25" s="280">
        <f>2490.0524*(+V!Fak_2)</f>
        <v>24.900524000000001</v>
      </c>
      <c r="N25" s="281">
        <f>9691.1558*(+V!Fak_2)</f>
        <v>96.911558000000014</v>
      </c>
      <c r="O25" s="159" t="str">
        <f t="shared" ref="O25:O30" si="8">IF(denom_1="absolut",Einheit,"% VS gesamt")</f>
        <v>km²</v>
      </c>
      <c r="P25" s="160"/>
      <c r="Q25" s="161">
        <f>BK10/BJ10</f>
        <v>0.58469807774706806</v>
      </c>
      <c r="R25" s="364" t="s">
        <v>7528</v>
      </c>
    </row>
    <row r="26" spans="2:18" ht="19.5" customHeight="1" thickTop="1" thickBot="1" x14ac:dyDescent="0.35">
      <c r="F26" s="138" t="s">
        <v>7411</v>
      </c>
      <c r="G26" s="144"/>
      <c r="I26" s="148" t="s">
        <v>25</v>
      </c>
      <c r="J26" s="282">
        <f>851.1207*(+V!Fak_2)</f>
        <v>8.5112070000000006</v>
      </c>
      <c r="K26" s="282">
        <f>1221.8189*(+V!Fak_2)</f>
        <v>12.218189000000001</v>
      </c>
      <c r="L26" s="282">
        <f>527.5802*(+V!Fak_2)</f>
        <v>5.2758019999999997</v>
      </c>
      <c r="M26" s="282">
        <f>784.7565*(+V!Fak_2)</f>
        <v>7.8475649999999995</v>
      </c>
      <c r="N26" s="283">
        <f>3385.2763*(+V!Fak_2)</f>
        <v>33.852763000000003</v>
      </c>
      <c r="O26" s="159" t="str">
        <f t="shared" si="8"/>
        <v>km²</v>
      </c>
      <c r="P26" s="160"/>
      <c r="Q26" s="161">
        <f t="shared" ref="Q26:Q30" si="9">BK11/BJ11</f>
        <v>0.8499410175709663</v>
      </c>
      <c r="R26" s="364"/>
    </row>
    <row r="27" spans="2:18" ht="19.5" customHeight="1" thickTop="1" thickBot="1" x14ac:dyDescent="0.35">
      <c r="G27" s="222"/>
      <c r="I27" s="148" t="s">
        <v>7410</v>
      </c>
      <c r="J27" s="282">
        <f>907.6963*(+V!Fak_2)</f>
        <v>9.0769629999999992</v>
      </c>
      <c r="K27" s="282">
        <f>1564.0503*(+V!Fak_2)</f>
        <v>15.640503000000001</v>
      </c>
      <c r="L27" s="282">
        <f>1037.1758*(+V!Fak_2)</f>
        <v>10.371758</v>
      </c>
      <c r="M27" s="282">
        <f>1464.6292*(+V!Fak_2)</f>
        <v>14.646292000000001</v>
      </c>
      <c r="N27" s="283">
        <f>4973.5516*(+V!Fak_2)</f>
        <v>49.735515999999997</v>
      </c>
      <c r="O27" s="159" t="str">
        <f t="shared" si="8"/>
        <v>km²</v>
      </c>
      <c r="P27" s="160"/>
      <c r="Q27" s="161">
        <f t="shared" si="9"/>
        <v>0.52653357671984358</v>
      </c>
      <c r="R27" s="364"/>
    </row>
    <row r="28" spans="2:18" ht="19.5" customHeight="1" thickTop="1" thickBot="1" x14ac:dyDescent="0.35">
      <c r="G28" s="222"/>
      <c r="I28" s="148" t="s">
        <v>7409</v>
      </c>
      <c r="J28" s="282">
        <f>300.257*(+V!Fak_2)</f>
        <v>3.00257</v>
      </c>
      <c r="K28" s="282">
        <f>460.4486*(+V!Fak_2)</f>
        <v>4.6044860000000005</v>
      </c>
      <c r="L28" s="282">
        <f>98.2675*(+V!Fak_2)</f>
        <v>0.98267499999999997</v>
      </c>
      <c r="M28" s="282">
        <f>186.0364*(+V!Fak_2)</f>
        <v>1.8603639999999999</v>
      </c>
      <c r="N28" s="283">
        <f>1045.0095*(+V!Fak_2)</f>
        <v>10.450094999999999</v>
      </c>
      <c r="O28" s="159" t="str">
        <f t="shared" si="8"/>
        <v>km²</v>
      </c>
      <c r="P28" s="160"/>
      <c r="Q28" s="161">
        <f t="shared" si="9"/>
        <v>0.53805131506791748</v>
      </c>
      <c r="R28" s="364"/>
    </row>
    <row r="29" spans="2:18" ht="19.5" customHeight="1" thickTop="1" x14ac:dyDescent="0.3">
      <c r="G29" s="222"/>
      <c r="I29" s="148" t="s">
        <v>7549</v>
      </c>
      <c r="J29" s="282">
        <f>42.9644*(+V!Fak_2)</f>
        <v>0.42964399999999997</v>
      </c>
      <c r="K29" s="282">
        <f>81.4458*(+V!Fak_2)</f>
        <v>0.81445800000000013</v>
      </c>
      <c r="L29" s="282">
        <f>44.6225*(+V!Fak_2)</f>
        <v>0.44622500000000004</v>
      </c>
      <c r="M29" s="282">
        <f>41.2625*(+V!Fak_2)</f>
        <v>0.41262500000000002</v>
      </c>
      <c r="N29" s="204">
        <f>210.2952*(+V!Fak_2)</f>
        <v>2.1029520000000002</v>
      </c>
      <c r="O29" s="159" t="str">
        <f t="shared" si="8"/>
        <v>km²</v>
      </c>
      <c r="P29" s="160"/>
      <c r="Q29" s="161">
        <f t="shared" si="9"/>
        <v>0.2380088353453341</v>
      </c>
      <c r="R29" s="364"/>
    </row>
    <row r="30" spans="2:18" ht="19.5" customHeight="1" x14ac:dyDescent="0.3">
      <c r="G30" s="222"/>
      <c r="I30" s="148" t="s">
        <v>7519</v>
      </c>
      <c r="J30" s="282">
        <f>27.3702*(+V!Fak_2)</f>
        <v>0.273702</v>
      </c>
      <c r="K30" s="282">
        <f>28.3989*(+V!Fak_2)</f>
        <v>0.28398899999999999</v>
      </c>
      <c r="L30" s="282">
        <f>7.8863*(+V!Fak_2)</f>
        <v>7.8863000000000003E-2</v>
      </c>
      <c r="M30" s="282">
        <f>13.3678*(+V!Fak_2)</f>
        <v>0.13367800000000002</v>
      </c>
      <c r="N30" s="204">
        <f>77.0232*(+V!Fak_2)</f>
        <v>0.77023200000000003</v>
      </c>
      <c r="O30" s="159" t="str">
        <f t="shared" si="8"/>
        <v>km²</v>
      </c>
      <c r="P30" s="160"/>
      <c r="Q30" s="161">
        <f t="shared" si="9"/>
        <v>0.24064732110081152</v>
      </c>
      <c r="R30" s="364"/>
    </row>
    <row r="31" spans="2:18" ht="19.5" customHeight="1" x14ac:dyDescent="0.3">
      <c r="G31" s="222"/>
      <c r="I31" s="148"/>
      <c r="J31" s="284"/>
      <c r="K31" s="284"/>
      <c r="L31" s="284"/>
      <c r="M31" s="284"/>
      <c r="N31" s="284"/>
      <c r="O31" s="159"/>
      <c r="P31" s="160"/>
      <c r="Q31" s="189"/>
      <c r="R31" s="147"/>
    </row>
    <row r="32" spans="2:18" ht="19.5" customHeight="1" x14ac:dyDescent="0.3">
      <c r="G32" s="144"/>
      <c r="I32" s="148" t="s">
        <v>7514</v>
      </c>
      <c r="J32" s="282">
        <f t="shared" ref="J32:N32" si="10">+VS_gesamt*10000/EW</f>
        <v>329.23228918643127</v>
      </c>
      <c r="K32" s="282">
        <f t="shared" si="10"/>
        <v>246.58989882662397</v>
      </c>
      <c r="L32" s="282">
        <f t="shared" si="10"/>
        <v>188.75857402211585</v>
      </c>
      <c r="M32" s="282">
        <f t="shared" si="10"/>
        <v>226.35193804086975</v>
      </c>
      <c r="N32" s="282">
        <f t="shared" si="10"/>
        <v>241.26918346718981</v>
      </c>
      <c r="O32" s="224" t="s">
        <v>7513</v>
      </c>
      <c r="P32" s="147"/>
      <c r="Q32" s="147"/>
      <c r="R32" s="147"/>
    </row>
    <row r="33" spans="7:35" ht="19.5" customHeight="1" x14ac:dyDescent="0.3">
      <c r="G33" s="144"/>
      <c r="I33" s="148" t="s">
        <v>7472</v>
      </c>
      <c r="J33" s="285">
        <f>100*Fak_Einheit*VS_gesamt/V!DSR</f>
        <v>16.334239242445655</v>
      </c>
      <c r="K33" s="285">
        <f>100*Fak_Einheit*VS_gesamt/V!DSR</f>
        <v>13.378287575857897</v>
      </c>
      <c r="L33" s="285">
        <f>100*Fak_Einheit*VS_gesamt/V!DSR</f>
        <v>23.732642444415539</v>
      </c>
      <c r="M33" s="285">
        <f>100*Fak_Einheit*VS_gesamt/V!DSR</f>
        <v>21.884992002259569</v>
      </c>
      <c r="N33" s="285">
        <f>100*Fak_Einheit*VS_gesamt/V!DSR</f>
        <v>0.17083071525240198</v>
      </c>
      <c r="O33" s="210" t="s">
        <v>7418</v>
      </c>
      <c r="P33" s="147"/>
      <c r="Q33" s="147"/>
      <c r="R33" s="147"/>
    </row>
    <row r="34" spans="7:35" ht="19.5" customHeight="1" x14ac:dyDescent="0.3">
      <c r="G34" s="144"/>
      <c r="I34" s="148"/>
      <c r="J34" s="285"/>
      <c r="K34" s="285"/>
      <c r="L34" s="285"/>
      <c r="M34" s="285"/>
      <c r="N34" s="285"/>
      <c r="O34" s="210"/>
      <c r="P34" s="147"/>
      <c r="Q34" s="147"/>
      <c r="R34" s="147"/>
    </row>
    <row r="35" spans="7:35" ht="19.5" customHeight="1" x14ac:dyDescent="0.3">
      <c r="G35" s="144"/>
      <c r="I35" s="369" t="s">
        <v>7415</v>
      </c>
      <c r="J35" s="369"/>
      <c r="K35" s="369"/>
      <c r="L35" s="369"/>
      <c r="M35" s="369"/>
      <c r="N35" s="369"/>
      <c r="O35" s="369"/>
      <c r="P35" s="369"/>
      <c r="Q35" s="175"/>
    </row>
    <row r="36" spans="7:35" ht="19.5" customHeight="1" x14ac:dyDescent="0.3">
      <c r="G36" s="144"/>
      <c r="I36" s="148"/>
      <c r="J36" s="285"/>
      <c r="K36" s="285"/>
      <c r="L36" s="285"/>
      <c r="M36" s="285"/>
      <c r="N36" s="285"/>
      <c r="O36" s="210"/>
      <c r="P36" s="147"/>
      <c r="Q36" s="147"/>
      <c r="R36" s="147"/>
    </row>
    <row r="37" spans="7:35" ht="19.5" customHeight="1" x14ac:dyDescent="0.3">
      <c r="G37" s="144"/>
      <c r="I37" s="148"/>
      <c r="J37" s="285"/>
      <c r="K37" s="285"/>
      <c r="L37" s="285"/>
      <c r="M37" s="285"/>
      <c r="N37" s="285"/>
      <c r="O37" s="210"/>
      <c r="P37" s="147"/>
      <c r="Q37" s="147"/>
      <c r="R37" s="147"/>
    </row>
    <row r="38" spans="7:35" ht="90.75" customHeight="1" x14ac:dyDescent="0.4">
      <c r="G38" s="144"/>
      <c r="I38" s="148"/>
      <c r="J38" s="278" t="str">
        <f>J24</f>
        <v>Bludenz</v>
      </c>
      <c r="K38" s="278" t="str">
        <f t="shared" ref="K38:M38" si="11">K24</f>
        <v>Bregenz</v>
      </c>
      <c r="L38" s="278" t="str">
        <f t="shared" si="11"/>
        <v>Dornbirn</v>
      </c>
      <c r="M38" s="278" t="str">
        <f t="shared" si="11"/>
        <v>Feldkirch</v>
      </c>
      <c r="N38" s="277" t="str">
        <f>V!BL</f>
        <v>V</v>
      </c>
      <c r="O38" s="339"/>
      <c r="P38" s="339"/>
      <c r="Q38" s="339"/>
      <c r="R38" s="339"/>
      <c r="S38" s="339"/>
      <c r="T38" s="339"/>
      <c r="U38" s="339"/>
      <c r="V38" s="339"/>
      <c r="W38" s="339"/>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36"/>
      <c r="P39" s="336"/>
      <c r="Q39" s="336"/>
      <c r="R39" s="336"/>
      <c r="S39" s="336"/>
      <c r="T39" s="336"/>
      <c r="U39" s="336"/>
      <c r="V39" s="336"/>
      <c r="W39" s="336"/>
      <c r="X39" s="336"/>
      <c r="Y39" s="336"/>
      <c r="Z39" s="336"/>
      <c r="AA39" s="336"/>
      <c r="AB39" s="336"/>
      <c r="AC39" s="336"/>
      <c r="AD39" s="336"/>
      <c r="AE39" s="336"/>
      <c r="AF39" s="336"/>
      <c r="AG39" s="336"/>
      <c r="AH39" s="336"/>
    </row>
    <row r="40" spans="7:35" ht="19.5" customHeight="1" x14ac:dyDescent="0.3">
      <c r="G40" s="144"/>
      <c r="I40" s="148"/>
      <c r="J40" s="191">
        <f>Fak_1*2091.817388</f>
        <v>20.918173880000001</v>
      </c>
      <c r="K40" s="191">
        <f>Fak_1*3462.057505</f>
        <v>34.620575050000006</v>
      </c>
      <c r="L40" s="191">
        <f>Fak_1*2242.858841</f>
        <v>22.428588410000003</v>
      </c>
      <c r="M40" s="191">
        <f>Fak_1*3396.018764</f>
        <v>33.960187640000001</v>
      </c>
      <c r="N40" s="191">
        <f>Fak_1*11192.752499</f>
        <v>111.92752499000001</v>
      </c>
      <c r="O40" s="210"/>
      <c r="P40" s="147"/>
      <c r="Q40" s="147"/>
      <c r="R40" s="147"/>
    </row>
    <row r="41" spans="7:35" ht="19.5" customHeight="1" x14ac:dyDescent="0.3">
      <c r="G41" s="144"/>
      <c r="I41" s="148"/>
      <c r="J41" s="340" t="s">
        <v>7548</v>
      </c>
      <c r="K41" s="332"/>
      <c r="L41" s="332"/>
      <c r="M41" s="332"/>
      <c r="N41" s="332"/>
      <c r="O41" s="336"/>
      <c r="P41" s="336"/>
      <c r="Q41" s="336"/>
      <c r="R41" s="336"/>
      <c r="S41" s="336"/>
      <c r="T41" s="336"/>
      <c r="U41" s="336"/>
      <c r="V41" s="336"/>
      <c r="W41" s="336"/>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210"/>
      <c r="P42" s="147"/>
      <c r="Q42" s="147"/>
      <c r="R42" s="147"/>
    </row>
    <row r="43" spans="7:35" ht="19.5" customHeight="1" x14ac:dyDescent="0.3">
      <c r="G43" s="144"/>
      <c r="I43" s="307" t="s">
        <v>7546</v>
      </c>
      <c r="J43" s="191">
        <f>100*J44/Baulandwidmung</f>
        <v>22.936492771901555</v>
      </c>
      <c r="K43" s="191">
        <f>100*K44/Baulandwidmung</f>
        <v>20.432685158417087</v>
      </c>
      <c r="L43" s="191">
        <f>100*L44/Baulandwidmung</f>
        <v>20.206147561116172</v>
      </c>
      <c r="M43" s="191">
        <f>100*M44/Baulandwidmung</f>
        <v>24.453178256938511</v>
      </c>
      <c r="N43" s="191">
        <f>100*N44/Baulandwidmung</f>
        <v>22.075094961858138</v>
      </c>
      <c r="O43" s="210"/>
      <c r="P43" s="147"/>
      <c r="Q43" s="147"/>
      <c r="R43" s="147"/>
    </row>
    <row r="44" spans="7:35" ht="19.5" customHeight="1" x14ac:dyDescent="0.3">
      <c r="G44" s="144"/>
      <c r="I44" s="152" t="str">
        <f>"in " &amp; Einheit</f>
        <v>in km²</v>
      </c>
      <c r="J44" s="191">
        <f>Fak_1*479.789544</f>
        <v>4.7978954399999996</v>
      </c>
      <c r="K44" s="191">
        <f>Fak_1*707.39131</f>
        <v>7.0739130999999995</v>
      </c>
      <c r="L44" s="191">
        <f>Fak_1*453.195367</f>
        <v>4.53195367</v>
      </c>
      <c r="M44" s="191">
        <f>Fak_1*830.434522</f>
        <v>8.3043452200000001</v>
      </c>
      <c r="N44" s="191">
        <f>Fak_1*2470.810743</f>
        <v>24.708107430000002</v>
      </c>
      <c r="O44" s="210"/>
      <c r="P44" s="147"/>
      <c r="Q44" s="147"/>
      <c r="R44" s="147"/>
    </row>
    <row r="45" spans="7:35" ht="19.5" customHeight="1" x14ac:dyDescent="0.3">
      <c r="G45" s="144"/>
      <c r="I45" s="148"/>
      <c r="J45" s="340" t="s">
        <v>7476</v>
      </c>
      <c r="K45" s="332"/>
      <c r="L45" s="332"/>
      <c r="M45" s="332"/>
      <c r="N45" s="332"/>
      <c r="O45" s="336"/>
      <c r="P45" s="336"/>
      <c r="Q45" s="336"/>
      <c r="R45" s="336"/>
      <c r="S45" s="336"/>
      <c r="T45" s="336"/>
      <c r="U45" s="336"/>
      <c r="V45" s="336"/>
      <c r="W45" s="336"/>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210"/>
      <c r="P46" s="147"/>
      <c r="Q46" s="147"/>
      <c r="R46" s="147"/>
    </row>
    <row r="47" spans="7:35" ht="19.5" customHeight="1" x14ac:dyDescent="0.3">
      <c r="G47" s="144"/>
      <c r="I47" s="307" t="s">
        <v>7546</v>
      </c>
      <c r="J47" s="191">
        <f>100*J48/Baulandwidmung</f>
        <v>19.690125838078174</v>
      </c>
      <c r="K47" s="191">
        <f>100*K48/Baulandwidmung</f>
        <v>15.209228016563518</v>
      </c>
      <c r="L47" s="191">
        <f>100*L48/Baulandwidmung</f>
        <v>11.130153598462686</v>
      </c>
      <c r="M47" s="191">
        <f>100*M48/Baulandwidmung</f>
        <v>16.455909605804521</v>
      </c>
      <c r="N47" s="191">
        <f>100*N48/Baulandwidmung</f>
        <v>15.60753806676307</v>
      </c>
      <c r="O47" s="210"/>
      <c r="P47" s="147"/>
      <c r="Q47" s="147"/>
      <c r="R47" s="147"/>
    </row>
    <row r="48" spans="7:35" ht="19.5" customHeight="1" x14ac:dyDescent="0.3">
      <c r="G48" s="144"/>
      <c r="I48" s="152" t="str">
        <f>"in " &amp; Einheit</f>
        <v>in km²</v>
      </c>
      <c r="J48" s="191">
        <f>Fak_1*411.881476</f>
        <v>4.1188147600000002</v>
      </c>
      <c r="K48" s="191">
        <f>Fak_1*526.55222</f>
        <v>5.2655222000000004</v>
      </c>
      <c r="L48" s="191">
        <f>Fak_1*249.633634</f>
        <v>2.49633634</v>
      </c>
      <c r="M48" s="191">
        <f>Fak_1*558.845778</f>
        <v>5.5884577799999997</v>
      </c>
      <c r="N48" s="191">
        <f>Fak_1*1746.913107</f>
        <v>17.46913107</v>
      </c>
      <c r="O48" s="210"/>
      <c r="P48" s="147"/>
      <c r="Q48" s="147"/>
      <c r="R48" s="147"/>
    </row>
    <row r="49" spans="1:64" ht="19.5" customHeight="1" x14ac:dyDescent="0.3">
      <c r="G49" s="144"/>
      <c r="I49" s="148"/>
      <c r="J49" s="378" t="s">
        <v>7420</v>
      </c>
      <c r="K49" s="378"/>
      <c r="L49" s="378"/>
      <c r="M49" s="378"/>
      <c r="N49" s="378"/>
      <c r="O49" s="336"/>
      <c r="P49" s="336"/>
      <c r="Q49" s="336"/>
      <c r="R49" s="336"/>
      <c r="S49" s="336"/>
      <c r="T49" s="336"/>
      <c r="U49" s="336"/>
      <c r="V49" s="336"/>
      <c r="W49" s="336"/>
      <c r="X49" s="336"/>
      <c r="Y49" s="336"/>
      <c r="Z49" s="336"/>
      <c r="AA49" s="336"/>
      <c r="AB49" s="336"/>
      <c r="AC49" s="336"/>
      <c r="AD49" s="336"/>
      <c r="AE49" s="336"/>
      <c r="AF49" s="336"/>
      <c r="AG49" s="336"/>
      <c r="AH49" s="336"/>
    </row>
    <row r="50" spans="1:64" ht="19.5" customHeight="1" x14ac:dyDescent="0.3">
      <c r="G50" s="144"/>
      <c r="I50" s="307"/>
      <c r="J50" s="384"/>
      <c r="K50" s="384"/>
      <c r="L50" s="384"/>
      <c r="M50" s="384"/>
      <c r="N50" s="384"/>
      <c r="O50" s="210"/>
      <c r="P50" s="147"/>
      <c r="Q50" s="147"/>
      <c r="R50" s="147"/>
    </row>
    <row r="51" spans="1:64" ht="19.5" customHeight="1" x14ac:dyDescent="0.3">
      <c r="G51" s="144"/>
      <c r="I51" s="307" t="s">
        <v>7546</v>
      </c>
      <c r="J51" s="191">
        <f>100*J52/Baulandwidmung</f>
        <v>27.676955613871204</v>
      </c>
      <c r="K51" s="191">
        <f>100*K52/Baulandwidmung</f>
        <v>28.562265085773031</v>
      </c>
      <c r="L51" s="191">
        <f>100*L52/Baulandwidmung</f>
        <v>23.675896061440984</v>
      </c>
      <c r="M51" s="191">
        <f>100*M52/Baulandwidmung</f>
        <v>21.169091190569169</v>
      </c>
      <c r="N51" s="191">
        <f>100*N52/Baulandwidmung</f>
        <v>25.174474717025547</v>
      </c>
      <c r="O51" s="210"/>
      <c r="P51" s="147"/>
      <c r="Q51" s="147"/>
      <c r="R51" s="147"/>
    </row>
    <row r="52" spans="1:64" ht="19.5" customHeight="1" x14ac:dyDescent="0.3">
      <c r="G52" s="144"/>
      <c r="I52" s="152" t="str">
        <f>"in " &amp; Einheit</f>
        <v>in km²</v>
      </c>
      <c r="J52" s="191">
        <f>Fak_1*578.95137</f>
        <v>5.7895136999999997</v>
      </c>
      <c r="K52" s="191">
        <f>Fak_1*988.842042</f>
        <v>9.888420420000001</v>
      </c>
      <c r="L52" s="191">
        <f>Fak_1*531.016928</f>
        <v>5.3101692800000002</v>
      </c>
      <c r="M52" s="191">
        <f>Fak_1*718.906309</f>
        <v>7.1890630899999994</v>
      </c>
      <c r="N52" s="191">
        <f>Fak_1*2817.716648</f>
        <v>28.17716648</v>
      </c>
      <c r="O52" s="210"/>
      <c r="P52" s="147"/>
      <c r="Q52" s="147"/>
      <c r="R52" s="147"/>
    </row>
    <row r="53" spans="1:64" ht="19.5" customHeight="1" x14ac:dyDescent="0.3">
      <c r="G53" s="144"/>
      <c r="I53" s="148"/>
      <c r="J53" s="285"/>
      <c r="K53" s="285"/>
      <c r="L53" s="285"/>
      <c r="M53" s="285"/>
      <c r="N53" s="285"/>
      <c r="O53" s="210"/>
      <c r="P53" s="147"/>
      <c r="Q53" s="147"/>
      <c r="R53" s="147"/>
    </row>
    <row r="54" spans="1:64" s="144" customFormat="1" ht="74.25" customHeight="1" x14ac:dyDescent="0.6">
      <c r="B54" s="227"/>
      <c r="C54" s="228"/>
      <c r="D54" s="229"/>
      <c r="E54" s="244" t="s">
        <v>7408</v>
      </c>
      <c r="F54" s="188"/>
      <c r="G54" s="187"/>
      <c r="H54" s="187"/>
    </row>
    <row r="55" spans="1:64"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"&amp;V!Einheit, IF(Versatz = 2, "in m² pro Einwohner:in", "in Prozent des Dauersiedlungsraums"))</f>
        <v>Flächeninanspruchnahme in km²</v>
      </c>
      <c r="J55" s="369"/>
      <c r="K55" s="369"/>
      <c r="L55" s="369"/>
      <c r="M55" s="369"/>
      <c r="N55" s="369"/>
      <c r="O55" s="369"/>
      <c r="P55" s="369"/>
    </row>
    <row r="56" spans="1:64" x14ac:dyDescent="0.3">
      <c r="F56" s="181"/>
      <c r="G56" s="137"/>
      <c r="H56" s="178"/>
      <c r="I56" s="180"/>
      <c r="J56" s="137"/>
      <c r="K56" s="137"/>
      <c r="L56" s="137"/>
      <c r="M56" s="137"/>
      <c r="N56" s="137"/>
      <c r="O56" s="137"/>
      <c r="P56" s="137"/>
      <c r="Q56" s="136"/>
    </row>
    <row r="57" spans="1:64" hidden="1" x14ac:dyDescent="0.3">
      <c r="F57" s="137"/>
      <c r="G57" s="137"/>
      <c r="H57" s="178" t="s">
        <v>7532</v>
      </c>
      <c r="I57" s="180"/>
      <c r="J57" s="137">
        <f t="shared" ref="J57:N57" si="12">IF(Versatz = 1, Fak_Einheit, IF(Versatz = 2, 10000/J59, 100*Fak_Einheit/J60))</f>
        <v>0.01</v>
      </c>
      <c r="K57" s="137">
        <f t="shared" si="12"/>
        <v>0.01</v>
      </c>
      <c r="L57" s="137">
        <f t="shared" si="12"/>
        <v>0.01</v>
      </c>
      <c r="M57" s="137">
        <f t="shared" si="12"/>
        <v>0.01</v>
      </c>
      <c r="N57" s="137">
        <f t="shared" si="12"/>
        <v>0.01</v>
      </c>
      <c r="O57" s="137"/>
      <c r="P57" s="137"/>
      <c r="Q57" s="136"/>
    </row>
    <row r="58" spans="1:64" hidden="1" x14ac:dyDescent="0.3">
      <c r="F58" s="137"/>
      <c r="G58" s="137"/>
      <c r="H58" s="178" t="s">
        <v>7531</v>
      </c>
      <c r="I58" s="180"/>
      <c r="J58" s="137">
        <v>1</v>
      </c>
      <c r="K58" s="137">
        <v>1</v>
      </c>
      <c r="L58" s="137">
        <v>1</v>
      </c>
      <c r="M58" s="137">
        <v>1</v>
      </c>
      <c r="N58" s="137">
        <v>1</v>
      </c>
      <c r="O58" s="137"/>
      <c r="P58" s="137"/>
      <c r="Q58" s="136"/>
    </row>
    <row r="59" spans="1:64" x14ac:dyDescent="0.3">
      <c r="F59" s="149"/>
      <c r="G59" s="149"/>
      <c r="H59" s="192" t="s">
        <v>159</v>
      </c>
      <c r="I59" s="154"/>
      <c r="J59" s="193">
        <v>64678</v>
      </c>
      <c r="K59" s="193">
        <v>136103</v>
      </c>
      <c r="L59" s="193">
        <v>90885</v>
      </c>
      <c r="M59" s="193">
        <v>110008</v>
      </c>
      <c r="N59" s="193">
        <v>401674</v>
      </c>
      <c r="O59" s="194" t="s">
        <v>163</v>
      </c>
      <c r="P59" s="194"/>
      <c r="Q59" s="195"/>
      <c r="R59" s="147"/>
      <c r="S59" s="147"/>
    </row>
    <row r="60" spans="1:64" x14ac:dyDescent="0.3">
      <c r="F60" s="150"/>
      <c r="G60" s="150"/>
      <c r="H60" s="192" t="s">
        <v>171</v>
      </c>
      <c r="I60" s="154"/>
      <c r="J60" s="193">
        <f>13036.4724576005*(+V!Fak_Einheit)</f>
        <v>130.36472457600499</v>
      </c>
      <c r="K60" s="193">
        <f>25086.6374412256*(+V!Fak_Einheit)</f>
        <v>250.86637441225602</v>
      </c>
      <c r="L60" s="193">
        <f>7228.576859985*(+V!Fak_Einheit)</f>
        <v>72.285768599850002</v>
      </c>
      <c r="M60" s="193">
        <f>11377.8995201045*(+V!Fak_Einheit)</f>
        <v>113.77899520104501</v>
      </c>
      <c r="N60" s="193">
        <v>56729.586278915594</v>
      </c>
      <c r="O60" s="194" t="str">
        <f t="shared" ref="O60" si="13">Einheit</f>
        <v>km²</v>
      </c>
      <c r="P60" s="194"/>
      <c r="Q60" s="195"/>
      <c r="R60" s="147"/>
      <c r="S60" s="147"/>
    </row>
    <row r="61" spans="1:64" x14ac:dyDescent="0.3">
      <c r="F61" s="150"/>
      <c r="G61" s="150"/>
      <c r="H61" s="192"/>
      <c r="I61" s="154"/>
      <c r="J61" s="193"/>
      <c r="K61" s="193"/>
      <c r="L61" s="193"/>
      <c r="M61" s="193"/>
      <c r="N61" s="193"/>
      <c r="O61" s="194"/>
      <c r="P61" s="194"/>
      <c r="Q61" s="195"/>
      <c r="R61" s="147"/>
      <c r="S61" s="147"/>
    </row>
    <row r="62" spans="1:64" s="144" customFormat="1" ht="112.5" customHeight="1" x14ac:dyDescent="0.4">
      <c r="B62" s="227"/>
      <c r="C62" s="228"/>
      <c r="D62" s="229"/>
      <c r="E62" s="131"/>
      <c r="F62" s="210"/>
      <c r="G62" s="196"/>
      <c r="H62" s="210"/>
      <c r="I62" s="148"/>
      <c r="J62" s="278" t="str">
        <f>+J24</f>
        <v>Bludenz</v>
      </c>
      <c r="K62" s="278" t="str">
        <f>+K24</f>
        <v>Bregenz</v>
      </c>
      <c r="L62" s="278" t="str">
        <f>+L24</f>
        <v>Dornbirn</v>
      </c>
      <c r="M62" s="278" t="str">
        <f>+M24</f>
        <v>Feldkirch</v>
      </c>
      <c r="N62" s="279" t="str">
        <f>+N24</f>
        <v>V</v>
      </c>
      <c r="O62" s="211"/>
      <c r="P62" s="210"/>
      <c r="Q62" s="210"/>
      <c r="R62" s="210"/>
      <c r="S62" s="210"/>
    </row>
    <row r="63" spans="1:64" s="144" customFormat="1" ht="24" customHeight="1" x14ac:dyDescent="0.25">
      <c r="B63" s="227"/>
      <c r="C63" s="228"/>
      <c r="D63" s="229"/>
      <c r="E63" s="131"/>
      <c r="F63" s="198" t="s">
        <v>25</v>
      </c>
      <c r="G63" s="196">
        <v>101</v>
      </c>
      <c r="H63" s="148" t="str">
        <f>+VLOOKUP($G63,Konstanten!$A$2:$B$15,2,FALSE)</f>
        <v>Autobahn u. Schnellstraße</v>
      </c>
      <c r="I63" s="148"/>
      <c r="J63" s="267">
        <f>Fak_3*105.769600908842</f>
        <v>1.05769600908842</v>
      </c>
      <c r="K63" s="267">
        <f>Fak_3*41.9841121885528</f>
        <v>0.41984112188552802</v>
      </c>
      <c r="L63" s="267">
        <f>Fak_3*63.2848201931324</f>
        <v>0.63284820193132396</v>
      </c>
      <c r="M63" s="267">
        <f>Fak_3*90.9286710650623</f>
        <v>0.90928671065062305</v>
      </c>
      <c r="N63" s="267">
        <f>Fak_3*301.96720435559</f>
        <v>3.0196720435559001</v>
      </c>
      <c r="O63" s="213"/>
      <c r="P63" s="220">
        <f t="shared" ref="P63:P76" si="14">+AY63/AX63</f>
        <v>0.62529156358129656</v>
      </c>
      <c r="Q63" s="367" t="s">
        <v>7527</v>
      </c>
      <c r="S63" s="210"/>
      <c r="AX63" s="144">
        <v>110.40250823890199</v>
      </c>
      <c r="AY63" s="144">
        <v>69.033756999999994</v>
      </c>
      <c r="AZ63" s="144">
        <f>+AX63-AY63</f>
        <v>41.368751238901993</v>
      </c>
      <c r="BK63" s="214"/>
      <c r="BL63" s="214"/>
    </row>
    <row r="64" spans="1:64" s="144" customFormat="1" ht="24" customHeight="1" x14ac:dyDescent="0.25">
      <c r="B64" s="227"/>
      <c r="C64" s="228"/>
      <c r="D64" s="229"/>
      <c r="E64" s="131"/>
      <c r="F64" s="198"/>
      <c r="G64" s="196">
        <v>102</v>
      </c>
      <c r="H64" s="148" t="str">
        <f>+VLOOKUP($G64,Konstanten!$A$2:$B$15,2,FALSE)</f>
        <v>Landesstraße B + L</v>
      </c>
      <c r="I64" s="148"/>
      <c r="J64" s="267">
        <f>Fak_3*215.007172628615</f>
        <v>2.15007172628615</v>
      </c>
      <c r="K64" s="267">
        <f>Fak_3*344.248508920083</f>
        <v>3.4424850892008299</v>
      </c>
      <c r="L64" s="267">
        <f>Fak_3*95.4136276417838</f>
        <v>0.95413627641783805</v>
      </c>
      <c r="M64" s="267">
        <f>Fak_3*183.784771155594</f>
        <v>1.83784771155594</v>
      </c>
      <c r="N64" s="267">
        <f>Fak_3*838.454080346076</f>
        <v>8.3845408034607605</v>
      </c>
      <c r="O64" s="213"/>
      <c r="P64" s="220">
        <f t="shared" si="14"/>
        <v>0.74842676287368548</v>
      </c>
      <c r="Q64" s="367"/>
      <c r="S64" s="210"/>
      <c r="AX64" s="144">
        <v>429.83434045676199</v>
      </c>
      <c r="AY64" s="144">
        <v>321.699524</v>
      </c>
      <c r="AZ64" s="144">
        <f t="shared" ref="AZ64:AZ76" si="15">+AX64-AY64</f>
        <v>108.134816456762</v>
      </c>
      <c r="BK64" s="214"/>
      <c r="BL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Fak_3*617.500285707551</f>
        <v>6.1750028570755102</v>
      </c>
      <c r="K65" s="267">
        <f>Fak_3*964.737958021982</f>
        <v>9.6473795802198197</v>
      </c>
      <c r="L65" s="267">
        <f>Fak_3*438.06473528704</f>
        <v>4.3806473528704002</v>
      </c>
      <c r="M65" s="267">
        <f>Fak_3*570.328680833398</f>
        <v>5.7032868083339805</v>
      </c>
      <c r="N65" s="267">
        <f>Fak_3*2590.63165984997</f>
        <v>25.906316598499703</v>
      </c>
      <c r="O65" s="213"/>
      <c r="P65" s="220">
        <f t="shared" si="14"/>
        <v>0.77800703868448506</v>
      </c>
      <c r="Q65" s="367"/>
      <c r="S65" s="210"/>
      <c r="AX65" s="144">
        <v>1051.88642686803</v>
      </c>
      <c r="AY65" s="144">
        <v>818.37504400000012</v>
      </c>
      <c r="AZ65" s="144">
        <f t="shared" si="15"/>
        <v>233.51138286802984</v>
      </c>
      <c r="BK65" s="214"/>
      <c r="BL65" s="214"/>
    </row>
    <row r="66" spans="2:128" s="144" customFormat="1" ht="24" customHeight="1" x14ac:dyDescent="0.25">
      <c r="B66" s="227"/>
      <c r="C66" s="228"/>
      <c r="D66" s="229"/>
      <c r="E66" s="131"/>
      <c r="F66" s="198"/>
      <c r="G66" s="196">
        <v>104</v>
      </c>
      <c r="H66" s="148" t="str">
        <f>+VLOOKUP($G66,Konstanten!$A$2:$B$15,2,FALSE)</f>
        <v>Schiene</v>
      </c>
      <c r="I66" s="148"/>
      <c r="J66" s="267">
        <f>Fak_3*86.1763070471169</f>
        <v>0.86176307047116896</v>
      </c>
      <c r="K66" s="267">
        <f>Fak_3*66.6989067905996</f>
        <v>0.66698906790599599</v>
      </c>
      <c r="L66" s="267">
        <f>Fak_3*32.9410838786916</f>
        <v>0.32941083878691602</v>
      </c>
      <c r="M66" s="267">
        <f>Fak_3*66.0851392897729</f>
        <v>0.66085139289772898</v>
      </c>
      <c r="N66" s="267">
        <f>Fak_3*251.901437006181</f>
        <v>2.5190143700618099</v>
      </c>
      <c r="O66" s="213"/>
      <c r="P66" s="220">
        <f t="shared" si="14"/>
        <v>0.50588581842325953</v>
      </c>
      <c r="Q66" s="367"/>
      <c r="S66" s="210"/>
      <c r="AX66" s="144">
        <v>127.56757285891301</v>
      </c>
      <c r="AY66" s="144">
        <v>64.534626000000003</v>
      </c>
      <c r="AZ66" s="144">
        <f t="shared" si="15"/>
        <v>63.032946858913007</v>
      </c>
      <c r="BK66" s="214"/>
      <c r="BL66" s="214"/>
    </row>
    <row r="67" spans="2:128" s="144" customFormat="1" ht="24" customHeight="1" x14ac:dyDescent="0.25">
      <c r="B67" s="227"/>
      <c r="C67" s="228"/>
      <c r="D67" s="229"/>
      <c r="E67" s="131"/>
      <c r="F67" s="200"/>
      <c r="G67" s="215"/>
      <c r="H67" s="216"/>
      <c r="I67" s="217" t="s">
        <v>7535</v>
      </c>
      <c r="J67" s="268">
        <f>Fak_3*1024.45336629213</f>
        <v>10.244533662921301</v>
      </c>
      <c r="K67" s="268">
        <f>Fak_3*1417.66948592122</f>
        <v>14.176694859212201</v>
      </c>
      <c r="L67" s="268">
        <f>Fak_3*629.704267000648</f>
        <v>6.2970426700064799</v>
      </c>
      <c r="M67" s="268">
        <f>Fak_3*911.127262343827</f>
        <v>9.1112726234382713</v>
      </c>
      <c r="N67" s="268">
        <f>Fak_3*3982.95438155782</f>
        <v>39.829543815578198</v>
      </c>
      <c r="O67" s="213"/>
      <c r="P67" s="220">
        <f t="shared" si="14"/>
        <v>0.7406232068794526</v>
      </c>
      <c r="Q67" s="367"/>
      <c r="S67" s="210"/>
      <c r="AX67" s="144">
        <v>1719.6908484226101</v>
      </c>
      <c r="AY67" s="144">
        <v>1273.642951</v>
      </c>
      <c r="AZ67" s="144">
        <f t="shared" si="15"/>
        <v>446.04789742261005</v>
      </c>
      <c r="BK67" s="214"/>
      <c r="BL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Fak_3*1062.66939199752</f>
        <v>10.626693919975201</v>
      </c>
      <c r="K68" s="267">
        <f>Fak_3*1545.80761249831</f>
        <v>15.4580761249831</v>
      </c>
      <c r="L68" s="267">
        <f>Fak_3*1096.98297637967</f>
        <v>10.969829763796699</v>
      </c>
      <c r="M68" s="267">
        <f>Fak_3*1454.801590187</f>
        <v>14.548015901870002</v>
      </c>
      <c r="N68" s="267">
        <f>Fak_3*5160.2615710625</f>
        <v>51.602615710624995</v>
      </c>
      <c r="O68" s="213"/>
      <c r="P68" s="220">
        <f t="shared" si="14"/>
        <v>0.39295521959753704</v>
      </c>
      <c r="Q68" s="367"/>
      <c r="S68" s="210"/>
      <c r="AX68" s="144">
        <v>1112.6431516746302</v>
      </c>
      <c r="AY68" s="144">
        <v>437.21893399999999</v>
      </c>
      <c r="AZ68" s="144">
        <f t="shared" si="15"/>
        <v>675.4242176746302</v>
      </c>
      <c r="BK68" s="214"/>
      <c r="BL68" s="214"/>
    </row>
    <row r="69" spans="2:128" s="144" customFormat="1" ht="24" customHeight="1" x14ac:dyDescent="0.25">
      <c r="B69" s="227"/>
      <c r="C69" s="228"/>
      <c r="D69" s="229"/>
      <c r="E69" s="131"/>
      <c r="F69" s="198"/>
      <c r="G69" s="197">
        <v>212</v>
      </c>
      <c r="H69" s="148" t="str">
        <f>+VLOOKUP($G69,Konstanten!$A$2:$B$15,2,FALSE)</f>
        <v>gemischte bauliche Nutzung</v>
      </c>
      <c r="I69" s="148"/>
      <c r="J69" s="267">
        <f>Fak_3*392.700800585108</f>
        <v>3.9270080058510803</v>
      </c>
      <c r="K69" s="267">
        <f>Fak_3*1046.54754259592</f>
        <v>10.4654754259592</v>
      </c>
      <c r="L69" s="267">
        <f>Fak_3*632.513446646732</f>
        <v>6.3251344664673192</v>
      </c>
      <c r="M69" s="267">
        <f>Fak_3*1016.46689431289</f>
        <v>10.1646689431289</v>
      </c>
      <c r="N69" s="267">
        <f>Fak_3*3088.22868414065</f>
        <v>30.882286841406501</v>
      </c>
      <c r="O69" s="213"/>
      <c r="P69" s="220">
        <f t="shared" si="14"/>
        <v>0.47014924161630484</v>
      </c>
      <c r="Q69" s="367"/>
      <c r="S69" s="210"/>
      <c r="AX69" s="144">
        <v>1091.9388516614299</v>
      </c>
      <c r="AY69" s="144">
        <v>513.37422300000003</v>
      </c>
      <c r="AZ69" s="144">
        <f t="shared" si="15"/>
        <v>578.56462866142988</v>
      </c>
      <c r="BK69" s="214"/>
      <c r="BL69" s="214"/>
    </row>
    <row r="70" spans="2:128" s="144" customFormat="1" ht="24" customHeight="1" x14ac:dyDescent="0.25">
      <c r="B70" s="227"/>
      <c r="C70" s="228"/>
      <c r="D70" s="229"/>
      <c r="E70" s="131"/>
      <c r="F70" s="198"/>
      <c r="G70" s="197">
        <v>213</v>
      </c>
      <c r="H70" s="148" t="str">
        <f>+VLOOKUP($G70,Konstanten!$A$2:$B$15,2,FALSE)</f>
        <v>betriebliche Nutzung</v>
      </c>
      <c r="I70" s="148"/>
      <c r="J70" s="267">
        <f>Fak_3*224.565719732788</f>
        <v>2.2456571973278803</v>
      </c>
      <c r="K70" s="267">
        <f>Fak_3*343.150129988562</f>
        <v>3.4315012998856202</v>
      </c>
      <c r="L70" s="267">
        <f>Fak_3*263.728784573798</f>
        <v>2.6372878457379803</v>
      </c>
      <c r="M70" s="267">
        <f>Fak_3*365.904502173868</f>
        <v>3.6590450217386805</v>
      </c>
      <c r="N70" s="267">
        <f>Fak_3*1197.34913646902</f>
        <v>11.973491364690201</v>
      </c>
      <c r="O70" s="213"/>
      <c r="P70" s="220">
        <f t="shared" si="14"/>
        <v>0.67934740484148592</v>
      </c>
      <c r="Q70" s="367"/>
      <c r="S70" s="210"/>
      <c r="AX70" s="144">
        <v>435.91739350075102</v>
      </c>
      <c r="AY70" s="144">
        <v>296.13935000000004</v>
      </c>
      <c r="AZ70" s="144">
        <f t="shared" si="15"/>
        <v>139.77804350075098</v>
      </c>
      <c r="BK70" s="214"/>
      <c r="BL70" s="214"/>
    </row>
    <row r="71" spans="2:128" s="144" customFormat="1" ht="24" customHeight="1" x14ac:dyDescent="0.25">
      <c r="B71" s="227"/>
      <c r="C71" s="228"/>
      <c r="D71" s="229"/>
      <c r="E71" s="131"/>
      <c r="F71" s="198"/>
      <c r="G71" s="197">
        <v>214</v>
      </c>
      <c r="H71" s="148" t="str">
        <f>+VLOOKUP($G71,Konstanten!$A$2:$B$15,2,FALSE)</f>
        <v>sonstige bauliche Nutzung</v>
      </c>
      <c r="I71" s="148"/>
      <c r="J71" s="267">
        <f t="shared" ref="J71:N71" si="16">Fak_3*0</f>
        <v>0</v>
      </c>
      <c r="K71" s="267">
        <f t="shared" si="16"/>
        <v>0</v>
      </c>
      <c r="L71" s="267">
        <f t="shared" si="16"/>
        <v>0</v>
      </c>
      <c r="M71" s="267">
        <f t="shared" si="16"/>
        <v>0</v>
      </c>
      <c r="N71" s="267">
        <f t="shared" si="16"/>
        <v>0</v>
      </c>
      <c r="O71" s="213"/>
      <c r="P71" s="220">
        <f t="shared" si="14"/>
        <v>0.49709310254569294</v>
      </c>
      <c r="Q71" s="367"/>
      <c r="S71" s="210"/>
      <c r="AX71" s="144">
        <v>153.25834860683301</v>
      </c>
      <c r="AY71" s="144">
        <v>76.183667999999997</v>
      </c>
      <c r="AZ71" s="144">
        <f t="shared" si="15"/>
        <v>77.074680606833013</v>
      </c>
      <c r="BK71" s="214"/>
      <c r="BL71" s="214"/>
    </row>
    <row r="72" spans="2:128" s="144" customFormat="1" ht="24" customHeight="1" x14ac:dyDescent="0.25">
      <c r="B72" s="227"/>
      <c r="C72" s="228"/>
      <c r="D72" s="229"/>
      <c r="E72" s="131"/>
      <c r="F72" s="200"/>
      <c r="G72" s="215"/>
      <c r="H72" s="216"/>
      <c r="I72" s="217" t="s">
        <v>7536</v>
      </c>
      <c r="J72" s="268">
        <f>Fak_3*1679.93591231541</f>
        <v>16.799359123154101</v>
      </c>
      <c r="K72" s="268">
        <f>Fak_3*2935.5052850828</f>
        <v>29.355052850828002</v>
      </c>
      <c r="L72" s="268">
        <f>Fak_3*1993.2252076002</f>
        <v>19.932252076002001</v>
      </c>
      <c r="M72" s="268">
        <f>Fak_3*2837.17298667375</f>
        <v>28.3717298667375</v>
      </c>
      <c r="N72" s="268">
        <f>Fak_3*9445.83939167216</f>
        <v>94.458393916721604</v>
      </c>
      <c r="O72" s="213"/>
      <c r="P72" s="220">
        <f t="shared" si="14"/>
        <v>0.47352572969419021</v>
      </c>
      <c r="Q72" s="367"/>
      <c r="S72" s="210"/>
      <c r="AX72" s="144">
        <v>2793.75774544365</v>
      </c>
      <c r="AY72" s="144">
        <v>1322.9161750000001</v>
      </c>
      <c r="AZ72" s="144">
        <f t="shared" si="15"/>
        <v>1470.84157044365</v>
      </c>
      <c r="BK72" s="214"/>
      <c r="BL72" s="214"/>
    </row>
    <row r="73" spans="2:128" s="144" customFormat="1" ht="24" customHeight="1" x14ac:dyDescent="0.25">
      <c r="B73" s="227"/>
      <c r="C73" s="228"/>
      <c r="D73" s="229"/>
      <c r="E73" s="131"/>
      <c r="F73" s="200" t="s">
        <v>7409</v>
      </c>
      <c r="G73" s="215"/>
      <c r="H73" s="216"/>
      <c r="I73" s="217" t="s">
        <v>7537</v>
      </c>
      <c r="J73" s="268">
        <f>Fak_3*601.842414585305</f>
        <v>6.018424145853051</v>
      </c>
      <c r="K73" s="268">
        <f>Fak_3*807.363630682172</f>
        <v>8.0736363068217205</v>
      </c>
      <c r="L73" s="268">
        <f>Fak_3*188.967163347098</f>
        <v>1.88967163347098</v>
      </c>
      <c r="M73" s="268">
        <f>Fak_3*344.038381125875</f>
        <v>3.4403838112587501</v>
      </c>
      <c r="N73" s="268">
        <f>Fak_3*1942.21158974045</f>
        <v>19.422115897404503</v>
      </c>
      <c r="O73" s="213"/>
      <c r="P73" s="220">
        <f t="shared" si="14"/>
        <v>0.44779624681110691</v>
      </c>
      <c r="Q73" s="367"/>
      <c r="S73" s="210"/>
      <c r="AX73" s="144">
        <v>659.18180668565299</v>
      </c>
      <c r="AY73" s="144">
        <v>295.17913900000002</v>
      </c>
      <c r="AZ73" s="144">
        <f t="shared" si="15"/>
        <v>364.00266768565297</v>
      </c>
      <c r="BK73" s="214"/>
      <c r="BL73" s="214"/>
      <c r="DV73" s="330"/>
      <c r="DW73" s="330"/>
      <c r="DX73" s="330"/>
    </row>
    <row r="74" spans="2:128" s="144" customFormat="1" ht="24" customHeight="1" x14ac:dyDescent="0.25">
      <c r="B74" s="227"/>
      <c r="C74" s="228"/>
      <c r="D74" s="229"/>
      <c r="E74" s="131"/>
      <c r="F74" s="321" t="s">
        <v>7549</v>
      </c>
      <c r="G74" s="199"/>
      <c r="H74" s="200"/>
      <c r="I74" s="217" t="s">
        <v>7538</v>
      </c>
      <c r="J74" s="268">
        <f>Fak_3*210.008249772324</f>
        <v>2.10008249772324</v>
      </c>
      <c r="K74" s="268">
        <f>Fak_3*335.152979135404</f>
        <v>3.3515297913540398</v>
      </c>
      <c r="L74" s="268">
        <f>Fak_3*147.823999265964</f>
        <v>1.4782399926596401</v>
      </c>
      <c r="M74" s="268">
        <f>Fak_3*190.575248456835</f>
        <v>1.90575248456835</v>
      </c>
      <c r="N74" s="268">
        <f>Fak_3*883.560476630527</f>
        <v>8.8356047663052699</v>
      </c>
      <c r="O74" s="213"/>
      <c r="P74" s="220">
        <f t="shared" si="14"/>
        <v>0.16709269428718873</v>
      </c>
      <c r="Q74" s="367"/>
      <c r="S74" s="210"/>
      <c r="AX74" s="144">
        <v>330.24510877272303</v>
      </c>
      <c r="AY74" s="144">
        <v>55.181545</v>
      </c>
      <c r="AZ74" s="144">
        <f t="shared" si="15"/>
        <v>275.063563772723</v>
      </c>
      <c r="BK74" s="214"/>
      <c r="BL74" s="214"/>
      <c r="DV74" s="330"/>
      <c r="DW74" s="330"/>
      <c r="DX74" s="330"/>
    </row>
    <row r="75" spans="2:128" s="144" customFormat="1" ht="24" customHeight="1" x14ac:dyDescent="0.25">
      <c r="B75" s="227"/>
      <c r="C75" s="228"/>
      <c r="D75" s="229"/>
      <c r="E75" s="131"/>
      <c r="F75" s="322" t="s">
        <v>7519</v>
      </c>
      <c r="G75" s="199"/>
      <c r="H75" s="200"/>
      <c r="I75" s="217" t="s">
        <v>7539</v>
      </c>
      <c r="J75" s="268">
        <f>Fak_3*116.446201097908</f>
        <v>1.16446201097908</v>
      </c>
      <c r="K75" s="268">
        <f>Fak_3*76.0502810299805</f>
        <v>0.76050281029980493</v>
      </c>
      <c r="L75" s="268">
        <f>Fak_3*53.0086360335465</f>
        <v>0.53008636033546508</v>
      </c>
      <c r="M75" s="268">
        <f>Fak_3*74.5616070681118</f>
        <v>0.74561607068111801</v>
      </c>
      <c r="N75" s="268">
        <f>Fak_3*320.066725229547</f>
        <v>3.20066725229547</v>
      </c>
      <c r="O75" s="213"/>
      <c r="P75" s="220">
        <f t="shared" si="14"/>
        <v>0.11640789345535361</v>
      </c>
      <c r="Q75" s="367"/>
      <c r="S75" s="210"/>
      <c r="AX75" s="144">
        <v>145.07992111786899</v>
      </c>
      <c r="AY75" s="144">
        <v>16.888448</v>
      </c>
      <c r="AZ75" s="144">
        <f t="shared" si="15"/>
        <v>128.19147311786898</v>
      </c>
      <c r="BK75" s="214"/>
      <c r="BL75" s="214"/>
      <c r="DV75" s="330"/>
      <c r="DW75" s="330"/>
      <c r="DX75" s="330"/>
    </row>
    <row r="76" spans="2:128" s="208" customFormat="1" ht="24" customHeight="1" x14ac:dyDescent="0.25">
      <c r="B76" s="240"/>
      <c r="C76" s="230"/>
      <c r="D76" s="241"/>
      <c r="E76" s="183"/>
      <c r="F76" s="202" t="s">
        <v>7416</v>
      </c>
      <c r="G76" s="203"/>
      <c r="H76" s="201"/>
      <c r="I76" s="204" t="s">
        <v>7533</v>
      </c>
      <c r="J76" s="269">
        <f>+SUM(J75,J74,J73,J72,J67)</f>
        <v>36.326861440630772</v>
      </c>
      <c r="K76" s="269">
        <f>+SUM(K75,K74,K73,K72,K67)</f>
        <v>55.71741661851577</v>
      </c>
      <c r="L76" s="269">
        <f>+SUM(L75,L74,L73,L72,L67)</f>
        <v>30.127292732474565</v>
      </c>
      <c r="M76" s="269">
        <f>+SUM(M75,M74,M73,M72,M67)</f>
        <v>43.574754856683995</v>
      </c>
      <c r="N76" s="269">
        <f>+SUM(N75,N74,N73,N72,N67)</f>
        <v>165.74632564830506</v>
      </c>
      <c r="O76" s="206"/>
      <c r="P76" s="220">
        <f t="shared" si="14"/>
        <v>0.52475772773011986</v>
      </c>
      <c r="Q76" s="367"/>
      <c r="S76" s="202"/>
      <c r="AX76" s="208">
        <v>5647.9554304425055</v>
      </c>
      <c r="AY76" s="208">
        <v>2963.808258</v>
      </c>
      <c r="AZ76" s="144">
        <f t="shared" si="15"/>
        <v>2684.1471724425055</v>
      </c>
      <c r="BK76" s="209"/>
      <c r="BL76" s="209"/>
    </row>
    <row r="77" spans="2:128" ht="66" customHeight="1" x14ac:dyDescent="0.4">
      <c r="F77" s="365"/>
      <c r="G77" s="365"/>
      <c r="H77" s="365"/>
      <c r="P77" s="138"/>
    </row>
    <row r="78" spans="2:128" ht="22.5" x14ac:dyDescent="0.3">
      <c r="I78" s="369" t="str">
        <f xml:space="preserve"> "Versiegelung " &amp; IF(Versatz = 1, "in "&amp;V!Einheit, IF(Versatz = 2, "in m² pro Einwohner:in", "in Prozent des Dauersiedlungsraums"))</f>
        <v>Versiegelung in km²</v>
      </c>
      <c r="J78" s="369"/>
      <c r="K78" s="369"/>
      <c r="L78" s="369"/>
      <c r="M78" s="369"/>
      <c r="N78" s="369"/>
      <c r="O78" s="369"/>
      <c r="P78" s="369"/>
    </row>
    <row r="79" spans="2:128" ht="114" customHeight="1" x14ac:dyDescent="0.4">
      <c r="B79" s="247"/>
      <c r="C79" s="233"/>
      <c r="D79" s="248"/>
      <c r="E79" s="249"/>
      <c r="F79" s="147"/>
      <c r="G79" s="250"/>
      <c r="H79" s="147"/>
      <c r="I79" s="152"/>
      <c r="J79" s="278" t="str">
        <f>+J24</f>
        <v>Bludenz</v>
      </c>
      <c r="K79" s="278" t="str">
        <f>+K24</f>
        <v>Bregenz</v>
      </c>
      <c r="L79" s="278" t="str">
        <f>+L24</f>
        <v>Dornbirn</v>
      </c>
      <c r="M79" s="278" t="str">
        <f>+M24</f>
        <v>Feldkirch</v>
      </c>
      <c r="N79" s="277" t="str">
        <f>+N24</f>
        <v>V</v>
      </c>
      <c r="O79" s="252"/>
      <c r="P79" s="151"/>
      <c r="Q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Fak_3*69.7792</f>
        <v>0.69779200000000008</v>
      </c>
      <c r="K80" s="267">
        <f>Fak_3*28.7658</f>
        <v>0.28765799999999997</v>
      </c>
      <c r="L80" s="267">
        <f>Fak_3*38.1091</f>
        <v>0.38109100000000001</v>
      </c>
      <c r="M80" s="267">
        <f>Fak_3*61.0341</f>
        <v>0.61034100000000002</v>
      </c>
      <c r="N80" s="267">
        <f>Fak_3*197.6882</f>
        <v>1.976882</v>
      </c>
      <c r="O80" s="213"/>
      <c r="P80" s="219"/>
      <c r="Q80" s="210"/>
    </row>
    <row r="81" spans="2:17" s="144" customFormat="1" ht="24" customHeight="1" x14ac:dyDescent="0.25">
      <c r="B81" s="227"/>
      <c r="C81" s="228"/>
      <c r="D81" s="229"/>
      <c r="E81" s="131"/>
      <c r="F81" s="198"/>
      <c r="G81" s="196">
        <v>102</v>
      </c>
      <c r="H81" s="148" t="str">
        <f>+VLOOKUP($G81,Konstanten!$A$2:$B$15,2,FALSE)</f>
        <v>Landesstraße B + L</v>
      </c>
      <c r="I81" s="148"/>
      <c r="J81" s="267">
        <f>Fak_3*188.8169</f>
        <v>1.888169</v>
      </c>
      <c r="K81" s="267">
        <f>Fak_3*298.855</f>
        <v>2.98855</v>
      </c>
      <c r="L81" s="267">
        <f>Fak_3*79.585</f>
        <v>0.79584999999999995</v>
      </c>
      <c r="M81" s="267">
        <f>Fak_3*163.5858</f>
        <v>1.635858</v>
      </c>
      <c r="N81" s="267">
        <f>Fak_3*730.8427</f>
        <v>7.3084270000000009</v>
      </c>
      <c r="O81" s="213"/>
      <c r="P81" s="219"/>
      <c r="Q81" s="210"/>
    </row>
    <row r="82" spans="2:17" s="144" customFormat="1" ht="24" customHeight="1" x14ac:dyDescent="0.25">
      <c r="B82" s="227"/>
      <c r="C82" s="228"/>
      <c r="D82" s="229"/>
      <c r="E82" s="131"/>
      <c r="F82" s="198"/>
      <c r="G82" s="196">
        <v>103</v>
      </c>
      <c r="H82" s="148" t="str">
        <f>+VLOOKUP($G82,Konstanten!$A$2:$B$15,2,FALSE)</f>
        <v>Gemeinde- und sonstige Straßen</v>
      </c>
      <c r="I82" s="148"/>
      <c r="J82" s="267">
        <f>Fak_3*538.7569</f>
        <v>5.3875690000000001</v>
      </c>
      <c r="K82" s="267">
        <f>Fak_3*844.6464</f>
        <v>8.4464640000000006</v>
      </c>
      <c r="L82" s="267">
        <f>Fak_3*384.6008</f>
        <v>3.8460079999999999</v>
      </c>
      <c r="M82" s="267">
        <f>Fak_3*516.976</f>
        <v>5.1697600000000001</v>
      </c>
      <c r="N82" s="267">
        <f>Fak_3*2284.9801</f>
        <v>22.849801000000003</v>
      </c>
      <c r="O82" s="213"/>
      <c r="P82" s="219"/>
      <c r="Q82" s="210"/>
    </row>
    <row r="83" spans="2:17" s="144" customFormat="1" ht="24" customHeight="1" x14ac:dyDescent="0.25">
      <c r="B83" s="227"/>
      <c r="C83" s="228"/>
      <c r="D83" s="229"/>
      <c r="E83" s="131"/>
      <c r="F83" s="198"/>
      <c r="G83" s="196">
        <v>104</v>
      </c>
      <c r="H83" s="148" t="str">
        <f>+VLOOKUP($G83,Konstanten!$A$2:$B$15,2,FALSE)</f>
        <v>Schiene</v>
      </c>
      <c r="I83" s="148"/>
      <c r="J83" s="267">
        <f>Fak_3*53.7677</f>
        <v>0.53767699999999996</v>
      </c>
      <c r="K83" s="267">
        <f>Fak_3*49.5517</f>
        <v>0.49551699999999999</v>
      </c>
      <c r="L83" s="267">
        <f>Fak_3*25.2853</f>
        <v>0.25285299999999999</v>
      </c>
      <c r="M83" s="267">
        <f>Fak_3*43.1606</f>
        <v>0.43160600000000005</v>
      </c>
      <c r="N83" s="267">
        <f>Fak_3*171.7653</f>
        <v>1.7176530000000001</v>
      </c>
      <c r="O83" s="213"/>
      <c r="P83" s="219"/>
      <c r="Q83" s="210"/>
    </row>
    <row r="84" spans="2:17" s="144" customFormat="1" ht="24" customHeight="1" x14ac:dyDescent="0.25">
      <c r="B84" s="227"/>
      <c r="C84" s="228"/>
      <c r="D84" s="229"/>
      <c r="E84" s="131"/>
      <c r="F84" s="200"/>
      <c r="G84" s="215"/>
      <c r="H84" s="216"/>
      <c r="I84" s="217" t="s">
        <v>7535</v>
      </c>
      <c r="J84" s="268">
        <f>Fak_3*851.1207</f>
        <v>8.5112070000000006</v>
      </c>
      <c r="K84" s="268">
        <f>Fak_3*1221.8189</f>
        <v>12.218189000000001</v>
      </c>
      <c r="L84" s="268">
        <f>Fak_3*527.5802</f>
        <v>5.2758019999999997</v>
      </c>
      <c r="M84" s="268">
        <f>Fak_3*784.7565</f>
        <v>7.8475649999999995</v>
      </c>
      <c r="N84" s="268">
        <f>Fak_3*3385.2763</f>
        <v>33.852763000000003</v>
      </c>
      <c r="O84" s="213"/>
      <c r="P84" s="219"/>
      <c r="Q84" s="210"/>
    </row>
    <row r="85" spans="2:17" s="144" customFormat="1" ht="24" customHeight="1" x14ac:dyDescent="0.25">
      <c r="B85" s="227"/>
      <c r="C85" s="228"/>
      <c r="D85" s="229"/>
      <c r="E85" s="131"/>
      <c r="F85" s="198" t="s">
        <v>7410</v>
      </c>
      <c r="G85" s="197">
        <v>211</v>
      </c>
      <c r="H85" s="148" t="str">
        <f>+VLOOKUP($G85,Konstanten!$A$2:$B$15,2,FALSE)</f>
        <v>Wohnnutzung</v>
      </c>
      <c r="I85" s="148"/>
      <c r="J85" s="267">
        <f>Fak_3*499.1686</f>
        <v>4.9916860000000005</v>
      </c>
      <c r="K85" s="267">
        <f>Fak_3*682.0154</f>
        <v>6.8201540000000005</v>
      </c>
      <c r="L85" s="267">
        <f>Fak_3*469.0823</f>
        <v>4.690823</v>
      </c>
      <c r="M85" s="267">
        <f>Fak_3*628.8787</f>
        <v>6.2887870000000001</v>
      </c>
      <c r="N85" s="267">
        <f>Fak_3*2279.145</f>
        <v>22.791450000000001</v>
      </c>
      <c r="O85" s="213"/>
      <c r="P85" s="219"/>
      <c r="Q85" s="210"/>
    </row>
    <row r="86" spans="2:17" s="144" customFormat="1" ht="24" customHeight="1" x14ac:dyDescent="0.25">
      <c r="B86" s="227"/>
      <c r="C86" s="228"/>
      <c r="D86" s="229"/>
      <c r="E86" s="131"/>
      <c r="F86" s="198"/>
      <c r="G86" s="197">
        <v>212</v>
      </c>
      <c r="H86" s="148" t="str">
        <f>+VLOOKUP($G86,Konstanten!$A$2:$B$15,2,FALSE)</f>
        <v>gemischte bauliche Nutzung</v>
      </c>
      <c r="I86" s="148"/>
      <c r="J86" s="267">
        <f>Fak_3*225.9833</f>
        <v>2.259833</v>
      </c>
      <c r="K86" s="267">
        <f>Fak_3*602.6406</f>
        <v>6.0264059999999997</v>
      </c>
      <c r="L86" s="267">
        <f>Fak_3*362.6598</f>
        <v>3.6265980000000004</v>
      </c>
      <c r="M86" s="267">
        <f>Fak_3*541.2944</f>
        <v>5.4129440000000004</v>
      </c>
      <c r="N86" s="267">
        <f>Fak_3*1732.5781</f>
        <v>17.325780999999999</v>
      </c>
      <c r="O86" s="213"/>
      <c r="P86" s="219"/>
      <c r="Q86" s="210"/>
    </row>
    <row r="87" spans="2:17" s="144" customFormat="1" ht="24" customHeight="1" x14ac:dyDescent="0.25">
      <c r="B87" s="227"/>
      <c r="C87" s="228"/>
      <c r="D87" s="229"/>
      <c r="E87" s="131"/>
      <c r="F87" s="198"/>
      <c r="G87" s="197">
        <v>213</v>
      </c>
      <c r="H87" s="148" t="str">
        <f>+VLOOKUP($G87,Konstanten!$A$2:$B$15,2,FALSE)</f>
        <v>betriebliche Nutzung</v>
      </c>
      <c r="I87" s="148"/>
      <c r="J87" s="267">
        <f>Fak_3*182.5444</f>
        <v>1.8254440000000001</v>
      </c>
      <c r="K87" s="267">
        <f>Fak_3*279.3943</f>
        <v>2.7939430000000001</v>
      </c>
      <c r="L87" s="267">
        <f>Fak_3*205.4337</f>
        <v>2.0543369999999999</v>
      </c>
      <c r="M87" s="267">
        <f>Fak_3*294.4561</f>
        <v>2.9445609999999998</v>
      </c>
      <c r="N87" s="267">
        <f>Fak_3*961.8285</f>
        <v>9.6182850000000002</v>
      </c>
      <c r="O87" s="213"/>
      <c r="P87" s="219"/>
      <c r="Q87" s="210"/>
    </row>
    <row r="88" spans="2:17" s="144" customFormat="1" ht="24" customHeight="1" x14ac:dyDescent="0.25">
      <c r="B88" s="227"/>
      <c r="C88" s="228"/>
      <c r="D88" s="229"/>
      <c r="E88" s="131"/>
      <c r="F88" s="198"/>
      <c r="G88" s="197">
        <v>214</v>
      </c>
      <c r="H88" s="148" t="str">
        <f>+VLOOKUP($G88,Konstanten!$A$2:$B$15,2,FALSE)</f>
        <v>sonstige bauliche Nutzung</v>
      </c>
      <c r="I88" s="148"/>
      <c r="J88" s="267">
        <f t="shared" ref="J88:N88" si="17">0*Fak_3</f>
        <v>0</v>
      </c>
      <c r="K88" s="267">
        <f t="shared" si="17"/>
        <v>0</v>
      </c>
      <c r="L88" s="267">
        <f t="shared" si="17"/>
        <v>0</v>
      </c>
      <c r="M88" s="267">
        <f t="shared" si="17"/>
        <v>0</v>
      </c>
      <c r="N88" s="267">
        <f t="shared" si="17"/>
        <v>0</v>
      </c>
      <c r="O88" s="213"/>
      <c r="P88" s="219"/>
      <c r="Q88" s="210"/>
    </row>
    <row r="89" spans="2:17" s="144" customFormat="1" ht="24" customHeight="1" x14ac:dyDescent="0.25">
      <c r="B89" s="227"/>
      <c r="C89" s="228"/>
      <c r="D89" s="229"/>
      <c r="E89" s="131"/>
      <c r="F89" s="200"/>
      <c r="G89" s="215"/>
      <c r="H89" s="216"/>
      <c r="I89" s="217" t="s">
        <v>7536</v>
      </c>
      <c r="J89" s="268">
        <f>Fak_3*907.6963</f>
        <v>9.0769629999999992</v>
      </c>
      <c r="K89" s="268">
        <f>Fak_3*1564.0503</f>
        <v>15.640503000000001</v>
      </c>
      <c r="L89" s="268">
        <f>Fak_3*1037.1758</f>
        <v>10.371758</v>
      </c>
      <c r="M89" s="268">
        <f>Fak_3*1464.6292</f>
        <v>14.646292000000001</v>
      </c>
      <c r="N89" s="268">
        <f>Fak_3*4973.5516</f>
        <v>49.735515999999997</v>
      </c>
      <c r="O89" s="213"/>
      <c r="P89" s="219"/>
      <c r="Q89" s="210"/>
    </row>
    <row r="90" spans="2:17" s="144" customFormat="1" ht="24" customHeight="1" x14ac:dyDescent="0.25">
      <c r="B90" s="227"/>
      <c r="C90" s="228"/>
      <c r="D90" s="229"/>
      <c r="E90" s="131"/>
      <c r="F90" s="200" t="s">
        <v>7409</v>
      </c>
      <c r="G90" s="215"/>
      <c r="H90" s="216"/>
      <c r="I90" s="217" t="s">
        <v>7537</v>
      </c>
      <c r="J90" s="268">
        <f>Fak_3*300.257</f>
        <v>3.00257</v>
      </c>
      <c r="K90" s="268">
        <f>Fak_3*460.4486</f>
        <v>4.6044860000000005</v>
      </c>
      <c r="L90" s="268">
        <f>Fak_3*98.2675</f>
        <v>0.98267499999999997</v>
      </c>
      <c r="M90" s="268">
        <f>Fak_3*186.0364</f>
        <v>1.8603639999999999</v>
      </c>
      <c r="N90" s="268">
        <f>Fak_3*1045.0095</f>
        <v>10.450094999999999</v>
      </c>
      <c r="O90" s="213"/>
      <c r="P90" s="219"/>
      <c r="Q90" s="210"/>
    </row>
    <row r="91" spans="2:17" s="144" customFormat="1" ht="24" customHeight="1" x14ac:dyDescent="0.25">
      <c r="B91" s="227"/>
      <c r="C91" s="228"/>
      <c r="D91" s="229"/>
      <c r="E91" s="131"/>
      <c r="F91" s="321" t="s">
        <v>7549</v>
      </c>
      <c r="G91" s="199"/>
      <c r="H91" s="200"/>
      <c r="I91" s="217" t="s">
        <v>7538</v>
      </c>
      <c r="J91" s="268">
        <f>Fak_3*42.9644</f>
        <v>0.42964399999999997</v>
      </c>
      <c r="K91" s="268">
        <f>Fak_3*81.4458</f>
        <v>0.81445800000000013</v>
      </c>
      <c r="L91" s="268">
        <f>Fak_3*44.6225</f>
        <v>0.44622500000000004</v>
      </c>
      <c r="M91" s="268">
        <f>Fak_3*41.2625</f>
        <v>0.41262500000000002</v>
      </c>
      <c r="N91" s="268">
        <f>Fak_3*210.2952</f>
        <v>2.1029520000000002</v>
      </c>
      <c r="O91" s="213"/>
      <c r="P91" s="219"/>
      <c r="Q91" s="210"/>
    </row>
    <row r="92" spans="2:17" s="144" customFormat="1" ht="24" customHeight="1" x14ac:dyDescent="0.25">
      <c r="B92" s="227"/>
      <c r="C92" s="228"/>
      <c r="D92" s="229"/>
      <c r="E92" s="131"/>
      <c r="F92" s="322" t="s">
        <v>7519</v>
      </c>
      <c r="G92" s="199"/>
      <c r="H92" s="200"/>
      <c r="I92" s="217" t="s">
        <v>7539</v>
      </c>
      <c r="J92" s="268">
        <f>Fak_3*27.3702</f>
        <v>0.273702</v>
      </c>
      <c r="K92" s="268">
        <f>Fak_3*28.3989</f>
        <v>0.28398899999999999</v>
      </c>
      <c r="L92" s="268">
        <f>Fak_3*7.8863</f>
        <v>7.8863000000000003E-2</v>
      </c>
      <c r="M92" s="268">
        <f>Fak_3*13.3678</f>
        <v>0.13367800000000002</v>
      </c>
      <c r="N92" s="268">
        <f>Fak_3*77.0232</f>
        <v>0.77023200000000003</v>
      </c>
      <c r="O92" s="213"/>
      <c r="P92" s="219"/>
      <c r="Q92" s="210"/>
    </row>
    <row r="93" spans="2:17" s="208" customFormat="1" ht="24" customHeight="1" x14ac:dyDescent="0.25">
      <c r="B93" s="240"/>
      <c r="C93" s="230"/>
      <c r="D93" s="241"/>
      <c r="E93" s="183"/>
      <c r="F93" s="202" t="s">
        <v>7597</v>
      </c>
      <c r="G93" s="203"/>
      <c r="H93" s="201"/>
      <c r="I93" s="204" t="s">
        <v>7533</v>
      </c>
      <c r="J93" s="269">
        <f>+SUM(J84,J89,J90,J91,J92)</f>
        <v>21.294085999999997</v>
      </c>
      <c r="K93" s="269">
        <f>+SUM(K84,K89,K90,K91,K92)</f>
        <v>33.561624999999999</v>
      </c>
      <c r="L93" s="269">
        <f>+SUM(L84,L89,L90,L91,L92)</f>
        <v>17.155322999999996</v>
      </c>
      <c r="M93" s="269">
        <f>+SUM(M84,M89,M90,M91,M92)</f>
        <v>24.900523999999997</v>
      </c>
      <c r="N93" s="269">
        <f>+SUM(N84,N89,N90,N91,N92)</f>
        <v>96.911558000000014</v>
      </c>
      <c r="O93" s="206"/>
      <c r="P93" s="207"/>
      <c r="Q93" s="202"/>
    </row>
  </sheetData>
  <mergeCells count="20">
    <mergeCell ref="F77:H77"/>
    <mergeCell ref="I78:P78"/>
    <mergeCell ref="J19:N19"/>
    <mergeCell ref="O20:Q20"/>
    <mergeCell ref="I21:P21"/>
    <mergeCell ref="J39:N39"/>
    <mergeCell ref="J49:N49"/>
    <mergeCell ref="J42:N42"/>
    <mergeCell ref="J46:N46"/>
    <mergeCell ref="J50:N50"/>
    <mergeCell ref="R25:R30"/>
    <mergeCell ref="I55:P55"/>
    <mergeCell ref="Q63:Q76"/>
    <mergeCell ref="B1:D1"/>
    <mergeCell ref="E1:M4"/>
    <mergeCell ref="I6:P6"/>
    <mergeCell ref="Q8:Q9"/>
    <mergeCell ref="R10:R15"/>
    <mergeCell ref="J17:N17"/>
    <mergeCell ref="I35:P35"/>
  </mergeCells>
  <conditionalFormatting sqref="A8:P8 A23:XFD23 J22:M22">
    <cfRule type="expression" dxfId="23" priority="12">
      <formula>$A$12=2</formula>
    </cfRule>
  </conditionalFormatting>
  <conditionalFormatting sqref="A8:P8 A23:XFD23">
    <cfRule type="expression" dxfId="22" priority="9">
      <formula>$A$12=1</formula>
    </cfRule>
  </conditionalFormatting>
  <conditionalFormatting sqref="J39">
    <cfRule type="expression" dxfId="21" priority="4">
      <formula>$C$8 = "relativ"</formula>
    </cfRule>
  </conditionalFormatting>
  <conditionalFormatting sqref="J41">
    <cfRule type="expression" dxfId="20" priority="3">
      <formula>$C$8 = "relativ"</formula>
    </cfRule>
  </conditionalFormatting>
  <conditionalFormatting sqref="J45">
    <cfRule type="expression" dxfId="19" priority="2">
      <formula>$C$8 = "relativ"</formula>
    </cfRule>
  </conditionalFormatting>
  <conditionalFormatting sqref="J49">
    <cfRule type="expression" dxfId="18" priority="1">
      <formula>$C$8 = "relativ"</formula>
    </cfRule>
  </conditionalFormatting>
  <conditionalFormatting sqref="J10:N15 J25:N30">
    <cfRule type="expression" dxfId="17" priority="10">
      <formula>$C$6 = "relativ"</formula>
    </cfRule>
  </conditionalFormatting>
  <conditionalFormatting sqref="J22:N22">
    <cfRule type="expression" dxfId="16" priority="8">
      <formula>$A$12=1</formula>
    </cfRule>
  </conditionalFormatting>
  <conditionalFormatting sqref="J31:N31">
    <cfRule type="expression" dxfId="15" priority="11">
      <formula>$A$12=2</formula>
    </cfRule>
  </conditionalFormatting>
  <conditionalFormatting sqref="N22">
    <cfRule type="expression" dxfId="14" priority="7">
      <formula>$A$12=2</formula>
    </cfRule>
  </conditionalFormatting>
  <conditionalFormatting sqref="P10:P15">
    <cfRule type="dataBar" priority="14">
      <dataBar showValue="0">
        <cfvo type="num" val="0"/>
        <cfvo type="num" val="1"/>
        <color theme="0" tint="-0.499984740745262"/>
      </dataBar>
      <extLst>
        <ext xmlns:x14="http://schemas.microsoft.com/office/spreadsheetml/2009/9/main" uri="{B025F937-C7B1-47D3-B67F-A62EFF666E3E}">
          <x14:id>{9CBDE44F-AE16-4E23-833F-0D8E386C3065}</x14:id>
        </ext>
      </extLst>
    </cfRule>
  </conditionalFormatting>
  <conditionalFormatting sqref="P25:P31">
    <cfRule type="dataBar" priority="13">
      <dataBar showValue="0">
        <cfvo type="num" val="0"/>
        <cfvo type="num" val="1"/>
        <color theme="0" tint="-0.499984740745262"/>
      </dataBar>
      <extLst>
        <ext xmlns:x14="http://schemas.microsoft.com/office/spreadsheetml/2009/9/main" uri="{B025F937-C7B1-47D3-B67F-A62EFF666E3E}">
          <x14:id>{84D38514-AC9E-429B-A79B-3FA96D1B0B06}</x14:id>
        </ext>
      </extLst>
    </cfRule>
  </conditionalFormatting>
  <conditionalFormatting sqref="R8:XFD8">
    <cfRule type="expression" dxfId="13" priority="5">
      <formula>$A$12=2</formula>
    </cfRule>
    <cfRule type="expression" dxfId="12" priority="6">
      <formula>$A$12=1</formula>
    </cfRule>
  </conditionalFormatting>
  <dataValidations count="3">
    <dataValidation type="list" allowBlank="1" showInputMessage="1" showErrorMessage="1" sqref="C6:D6" xr:uid="{00000000-0002-0000-0D00-000000000000}">
      <formula1>"absolut,relativ"</formula1>
    </dataValidation>
    <dataValidation type="list" allowBlank="1" showInputMessage="1" showErrorMessage="1" sqref="C55:E55" xr:uid="{00000000-0002-0000-0D00-000001000000}">
      <formula1>"absolut, Bevölkerung, Dauersiedlungsraum"</formula1>
    </dataValidation>
    <dataValidation type="list" allowBlank="1" showInputMessage="1" showErrorMessage="1" sqref="C3 D5" xr:uid="{00000000-0002-0000-0D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9CBDE44F-AE16-4E23-833F-0D8E386C3065}">
            <x14:dataBar minLength="0" maxLength="100" gradient="0">
              <x14:cfvo type="num">
                <xm:f>0</xm:f>
              </x14:cfvo>
              <x14:cfvo type="num">
                <xm:f>1</xm:f>
              </x14:cfvo>
              <x14:negativeFillColor rgb="FFFF0000"/>
              <x14:axisColor rgb="FF000000"/>
            </x14:dataBar>
          </x14:cfRule>
          <xm:sqref>P10:P15</xm:sqref>
        </x14:conditionalFormatting>
        <x14:conditionalFormatting xmlns:xm="http://schemas.microsoft.com/office/excel/2006/main">
          <x14:cfRule type="dataBar" id="{84D38514-AC9E-429B-A79B-3FA96D1B0B06}">
            <x14:dataBar minLength="0" maxLength="100" gradient="0">
              <x14:cfvo type="num">
                <xm:f>0</xm:f>
              </x14:cfvo>
              <x14:cfvo type="num">
                <xm:f>1</xm:f>
              </x14:cfvo>
              <x14:negativeFillColor rgb="FFFF0000"/>
              <x14:axisColor rgb="FF000000"/>
            </x14:dataBar>
          </x14:cfRule>
          <xm:sqref>P25:P31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D00-00002E000000}">
          <x14:colorSeries theme="0" tint="-0.34998626667073579"/>
          <x14:colorNegative rgb="FFD00000"/>
          <x14:colorAxis rgb="FF000000"/>
          <x14:colorMarkers rgb="FFD00000"/>
          <x14:colorFirst rgb="FFD00000"/>
          <x14:colorLast rgb="FFD00000"/>
          <x14:colorHigh rgb="FFD00000"/>
          <x14:colorLow rgb="FFD00000"/>
          <x14:sparklines>
            <x14:sparkline>
              <xm:f>V!J18:N18</xm:f>
              <xm:sqref>J17</xm:sqref>
            </x14:sparkline>
          </x14:sparklines>
        </x14:sparklineGroup>
        <x14:sparklineGroup manualMin="0" type="column" displayEmptyCellsAs="gap" minAxisType="custom" xr2:uid="{00000000-0003-0000-0D00-00002D000000}">
          <x14:colorSeries theme="0" tint="-0.34998626667073579"/>
          <x14:colorNegative rgb="FFD00000"/>
          <x14:colorAxis rgb="FF000000"/>
          <x14:colorMarkers rgb="FFD00000"/>
          <x14:colorFirst rgb="FFD00000"/>
          <x14:colorLast rgb="FFD00000"/>
          <x14:colorHigh rgb="FFD00000"/>
          <x14:colorLow rgb="FFD00000"/>
          <x14:sparklines>
            <x14:sparkline>
              <xm:f>V!J20:N20</xm:f>
              <xm:sqref>J19</xm:sqref>
            </x14:sparkline>
          </x14:sparklines>
        </x14:sparklineGroup>
        <x14:sparklineGroup type="column" displayEmptyCellsAs="gap" xr2:uid="{00000000-0003-0000-0D00-00002C000000}">
          <x14:colorSeries rgb="FF376092"/>
          <x14:colorNegative rgb="FFD00000"/>
          <x14:colorAxis rgb="FF000000"/>
          <x14:colorMarkers rgb="FFD00000"/>
          <x14:colorFirst rgb="FFD00000"/>
          <x14:colorLast rgb="FFD00000"/>
          <x14:colorHigh rgb="FFD00000"/>
          <x14:colorLow rgb="FFD00000"/>
          <x14:sparklines>
            <x14:sparkline>
              <xm:f>V!J43:N43</xm:f>
              <xm:sqref>J42</xm:sqref>
            </x14:sparkline>
          </x14:sparklines>
        </x14:sparklineGroup>
        <x14:sparklineGroup type="column" displayEmptyCellsAs="gap" xr2:uid="{00000000-0003-0000-0D00-00002B000000}">
          <x14:colorSeries rgb="FF376092"/>
          <x14:colorNegative rgb="FFD00000"/>
          <x14:colorAxis rgb="FF000000"/>
          <x14:colorMarkers rgb="FFD00000"/>
          <x14:colorFirst rgb="FFD00000"/>
          <x14:colorLast rgb="FFD00000"/>
          <x14:colorHigh rgb="FFD00000"/>
          <x14:colorLow rgb="FFD00000"/>
          <x14:sparklines>
            <x14:sparkline>
              <xm:f>V!J47:N47</xm:f>
              <xm:sqref>J46</xm:sqref>
            </x14:sparkline>
          </x14:sparklines>
        </x14:sparklineGroup>
        <x14:sparklineGroup type="column" displayEmptyCellsAs="gap" xr2:uid="{00000000-0003-0000-0D00-00002A000000}">
          <x14:colorSeries rgb="FF376092"/>
          <x14:colorNegative rgb="FFD00000"/>
          <x14:colorAxis rgb="FF000000"/>
          <x14:colorMarkers rgb="FFD00000"/>
          <x14:colorFirst rgb="FFD00000"/>
          <x14:colorLast rgb="FFD00000"/>
          <x14:colorHigh rgb="FFD00000"/>
          <x14:colorLow rgb="FFD00000"/>
          <x14:sparklines>
            <x14:sparkline>
              <xm:f>V!J51:N51</xm:f>
              <xm:sqref>J50</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
    <tabColor rgb="FFFFFF00"/>
    <pageSetUpPr fitToPage="1"/>
  </sheetPr>
  <dimension ref="A1:DX93"/>
  <sheetViews>
    <sheetView topLeftCell="B1" zoomScale="90" zoomScaleNormal="90" workbookViewId="0">
      <pane xSplit="3" ySplit="4" topLeftCell="E5" activePane="bottomRight" state="frozen"/>
      <selection activeCell="E5" sqref="E5"/>
      <selection pane="topRight" activeCell="E5" sqref="E5"/>
      <selection pane="bottomLeft" activeCell="E5" sqref="E5"/>
      <selection pane="bottomRight" activeCell="Z5" sqref="Z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25" width="15.42578125" style="138" customWidth="1"/>
    <col min="26" max="31" width="15.42578125" style="184" customWidth="1"/>
    <col min="32" max="32" width="15.42578125" style="185" customWidth="1"/>
    <col min="33" max="33" width="15.42578125" style="138" customWidth="1"/>
    <col min="34" max="34" width="27.42578125" style="138" bestFit="1" customWidth="1"/>
    <col min="35" max="35" width="30" style="186" bestFit="1" customWidth="1"/>
    <col min="36" max="36" width="9.5703125" style="138" customWidth="1"/>
    <col min="37" max="37" width="15.5703125" style="138" customWidth="1"/>
    <col min="38" max="38" width="14.140625" style="138" customWidth="1"/>
    <col min="39" max="80" width="11.42578125" style="138" customWidth="1"/>
    <col min="81" max="81" width="12.28515625" style="138" bestFit="1" customWidth="1"/>
    <col min="82" max="82" width="13.140625" style="138" bestFit="1" customWidth="1"/>
    <col min="83" max="83" width="12.85546875" style="138" bestFit="1" customWidth="1"/>
    <col min="84" max="16384" width="11.42578125" style="138"/>
  </cols>
  <sheetData>
    <row r="1" spans="1:83" s="239" customFormat="1" ht="53.25" customHeight="1" x14ac:dyDescent="0.3">
      <c r="A1" s="133" t="s">
        <v>149</v>
      </c>
      <c r="B1" s="366" t="s">
        <v>7540</v>
      </c>
      <c r="C1" s="366"/>
      <c r="D1" s="366"/>
      <c r="E1" s="381" t="str">
        <f xml:space="preserve"> VLOOKUP(BL,Konstanten!$E$38:$F$46,2,FALSE) &amp;"-Ergebnisse: Indikatoren zu Flächeninanspruchnahme und Versiegelung mit Stand 2022 (Baseline)"</f>
        <v>Wien-Ergebnisse: Indikatoren zu Flächeninanspruchnahme und Versiegelung mit Stand 2022 (Baseline)</v>
      </c>
      <c r="F1" s="381"/>
      <c r="G1" s="381"/>
      <c r="H1" s="381"/>
      <c r="I1" s="381"/>
      <c r="J1" s="381"/>
      <c r="K1" s="381"/>
      <c r="L1" s="381"/>
      <c r="M1" s="381"/>
      <c r="N1" s="381"/>
      <c r="O1" s="381"/>
      <c r="P1" s="381"/>
      <c r="Q1" s="381"/>
      <c r="R1" s="381"/>
      <c r="S1" s="380"/>
      <c r="T1" s="380"/>
      <c r="U1" s="380"/>
      <c r="V1" s="380"/>
      <c r="W1" s="380"/>
      <c r="X1" s="380"/>
      <c r="Y1" s="380"/>
      <c r="Z1" s="380"/>
      <c r="AA1" s="380"/>
      <c r="AB1" s="256"/>
      <c r="AC1" s="256"/>
      <c r="AD1" s="256"/>
      <c r="AE1" s="256"/>
      <c r="AF1" s="256"/>
      <c r="AG1" s="256"/>
      <c r="AH1" s="256"/>
      <c r="AI1" s="257"/>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row>
    <row r="2" spans="1:83" s="239" customFormat="1" ht="15" customHeight="1" x14ac:dyDescent="0.3">
      <c r="A2" s="133"/>
      <c r="B2" s="243"/>
      <c r="C2" s="243"/>
      <c r="D2" s="243"/>
      <c r="E2" s="381"/>
      <c r="F2" s="381"/>
      <c r="G2" s="381"/>
      <c r="H2" s="381"/>
      <c r="I2" s="381"/>
      <c r="J2" s="381"/>
      <c r="K2" s="381"/>
      <c r="L2" s="381"/>
      <c r="M2" s="381"/>
      <c r="N2" s="381"/>
      <c r="O2" s="381"/>
      <c r="P2" s="381"/>
      <c r="Q2" s="381"/>
      <c r="R2" s="381"/>
      <c r="S2" s="380"/>
      <c r="T2" s="380"/>
      <c r="U2" s="380"/>
      <c r="V2" s="380"/>
      <c r="W2" s="380"/>
      <c r="X2" s="380"/>
      <c r="Y2" s="380"/>
      <c r="Z2" s="380"/>
      <c r="AA2" s="380"/>
      <c r="AB2" s="256"/>
      <c r="AC2" s="256"/>
      <c r="AD2" s="256"/>
      <c r="AE2" s="256"/>
      <c r="AF2" s="256"/>
      <c r="AG2" s="256"/>
      <c r="AH2" s="256"/>
      <c r="AI2" s="257"/>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row>
    <row r="3" spans="1:83"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380"/>
      <c r="U3" s="380"/>
      <c r="V3" s="380"/>
      <c r="W3" s="380"/>
      <c r="X3" s="380"/>
      <c r="Y3" s="380"/>
      <c r="Z3" s="380"/>
      <c r="AA3" s="380"/>
      <c r="AB3" s="256"/>
      <c r="AC3" s="256"/>
      <c r="AD3" s="256"/>
      <c r="AE3" s="256"/>
      <c r="AF3" s="256"/>
      <c r="AG3" s="256"/>
      <c r="AH3" s="256"/>
      <c r="AI3" s="257"/>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row>
    <row r="4" spans="1:83" s="239" customFormat="1" ht="22.5" customHeight="1" x14ac:dyDescent="0.3">
      <c r="A4" s="131"/>
      <c r="B4" s="227"/>
      <c r="C4" s="228"/>
      <c r="D4" s="229"/>
      <c r="E4" s="381"/>
      <c r="F4" s="381"/>
      <c r="G4" s="381"/>
      <c r="H4" s="381"/>
      <c r="I4" s="381"/>
      <c r="J4" s="381"/>
      <c r="K4" s="381"/>
      <c r="L4" s="381"/>
      <c r="M4" s="381"/>
      <c r="N4" s="381"/>
      <c r="O4" s="381"/>
      <c r="P4" s="381"/>
      <c r="Q4" s="381"/>
      <c r="R4" s="381"/>
      <c r="S4" s="380"/>
      <c r="T4" s="380"/>
      <c r="U4" s="380"/>
      <c r="V4" s="380"/>
      <c r="W4" s="380"/>
      <c r="X4" s="380"/>
      <c r="Y4" s="380"/>
      <c r="Z4" s="380"/>
      <c r="AA4" s="380"/>
      <c r="AB4" s="259"/>
      <c r="AC4" s="259"/>
      <c r="AD4" s="259"/>
      <c r="AE4" s="259"/>
      <c r="AF4" s="260"/>
      <c r="AI4" s="261"/>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row>
    <row r="5" spans="1:83" ht="52.5" customHeight="1" x14ac:dyDescent="0.3">
      <c r="A5" s="133">
        <f>+IF(Einheit = "ha", 1, 0.01)</f>
        <v>0.01</v>
      </c>
      <c r="C5" s="227"/>
      <c r="D5" s="231"/>
      <c r="E5" s="226" t="s">
        <v>7530</v>
      </c>
      <c r="F5" s="140"/>
      <c r="G5" s="140"/>
      <c r="H5" s="140"/>
      <c r="I5" s="140"/>
      <c r="J5" s="1"/>
      <c r="K5" s="1"/>
      <c r="L5" s="1"/>
      <c r="M5" s="1"/>
      <c r="N5" s="1"/>
      <c r="O5" s="1"/>
      <c r="P5" s="1"/>
      <c r="Q5" s="1"/>
      <c r="R5" s="1"/>
      <c r="S5" s="1"/>
      <c r="T5" s="1"/>
      <c r="U5" s="1"/>
      <c r="V5" s="1"/>
      <c r="W5" s="1"/>
      <c r="X5" s="1"/>
      <c r="Y5" s="1"/>
      <c r="Z5" s="1"/>
      <c r="AA5" s="1"/>
      <c r="AB5" s="1"/>
      <c r="AC5" s="1"/>
      <c r="AD5" s="1"/>
      <c r="AE5" s="1"/>
      <c r="AF5" s="1"/>
      <c r="AG5" s="140"/>
      <c r="AH5" s="140"/>
      <c r="AI5" s="140"/>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row>
    <row r="6" spans="1:83"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41"/>
      <c r="AI6" s="341"/>
      <c r="AJ6" s="146"/>
      <c r="AK6" s="138"/>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row>
    <row r="7" spans="1:83" s="144" customFormat="1" ht="34.5" hidden="1" customHeight="1" x14ac:dyDescent="0.3">
      <c r="A7" s="133"/>
      <c r="B7" s="227"/>
      <c r="C7" s="230"/>
      <c r="D7" s="231"/>
      <c r="E7" s="139"/>
      <c r="F7" s="141"/>
      <c r="G7" s="141"/>
      <c r="H7" s="141"/>
      <c r="I7" s="142"/>
      <c r="J7" s="131">
        <f>Fak_Einheit/IF(denom_1="absolut",1,Fak_Einheit*W!FI_gesamt)</f>
        <v>0.01</v>
      </c>
      <c r="K7" s="131">
        <f>Fak_Einheit/IF(denom_1="absolut",1,Fak_Einheit*W!FI_gesamt)</f>
        <v>0.01</v>
      </c>
      <c r="L7" s="131">
        <f>Fak_Einheit/IF(denom_1="absolut",1,Fak_Einheit*W!FI_gesamt)</f>
        <v>0.01</v>
      </c>
      <c r="M7" s="131">
        <f>Fak_Einheit/IF(denom_1="absolut",1,Fak_Einheit*W!FI_gesamt)</f>
        <v>0.01</v>
      </c>
      <c r="N7" s="131">
        <f>Fak_Einheit/IF(denom_1="absolut",1,Fak_Einheit*W!FI_gesamt)</f>
        <v>0.01</v>
      </c>
      <c r="O7" s="131">
        <f>Fak_Einheit/IF(denom_1="absolut",1,Fak_Einheit*W!FI_gesamt)</f>
        <v>0.01</v>
      </c>
      <c r="P7" s="131">
        <f>Fak_Einheit/IF(denom_1="absolut",1,Fak_Einheit*W!FI_gesamt)</f>
        <v>0.01</v>
      </c>
      <c r="Q7" s="131">
        <f>Fak_Einheit/IF(denom_1="absolut",1,Fak_Einheit*W!FI_gesamt)</f>
        <v>0.01</v>
      </c>
      <c r="R7" s="131">
        <f>Fak_Einheit/IF(denom_1="absolut",1,Fak_Einheit*W!FI_gesamt)</f>
        <v>0.01</v>
      </c>
      <c r="S7" s="131">
        <f>Fak_Einheit/IF(denom_1="absolut",1,Fak_Einheit*W!FI_gesamt)</f>
        <v>0.01</v>
      </c>
      <c r="T7" s="131">
        <f>Fak_Einheit/IF(denom_1="absolut",1,Fak_Einheit*W!FI_gesamt)</f>
        <v>0.01</v>
      </c>
      <c r="U7" s="131">
        <f>Fak_Einheit/IF(denom_1="absolut",1,Fak_Einheit*W!FI_gesamt)</f>
        <v>0.01</v>
      </c>
      <c r="V7" s="131">
        <f>Fak_Einheit/IF(denom_1="absolut",1,Fak_Einheit*W!FI_gesamt)</f>
        <v>0.01</v>
      </c>
      <c r="W7" s="131">
        <f>Fak_Einheit/IF(denom_1="absolut",1,Fak_Einheit*W!FI_gesamt)</f>
        <v>0.01</v>
      </c>
      <c r="X7" s="131">
        <f>Fak_Einheit/IF(denom_1="absolut",1,Fak_Einheit*W!FI_gesamt)</f>
        <v>0.01</v>
      </c>
      <c r="Y7" s="131">
        <f>Fak_Einheit/IF(denom_1="absolut",1,Fak_Einheit*W!FI_gesamt)</f>
        <v>0.01</v>
      </c>
      <c r="Z7" s="131">
        <f>Fak_Einheit/IF(denom_1="absolut",1,Fak_Einheit*W!FI_gesamt)</f>
        <v>0.01</v>
      </c>
      <c r="AA7" s="131">
        <f>Fak_Einheit/IF(denom_1="absolut",1,Fak_Einheit*W!FI_gesamt)</f>
        <v>0.01</v>
      </c>
      <c r="AB7" s="131">
        <f>Fak_Einheit/IF(denom_1="absolut",1,Fak_Einheit*W!FI_gesamt)</f>
        <v>0.01</v>
      </c>
      <c r="AC7" s="131">
        <f>Fak_Einheit/IF(denom_1="absolut",1,Fak_Einheit*W!FI_gesamt)</f>
        <v>0.01</v>
      </c>
      <c r="AD7" s="131">
        <f>Fak_Einheit/IF(denom_1="absolut",1,Fak_Einheit*W!FI_gesamt)</f>
        <v>0.01</v>
      </c>
      <c r="AE7" s="131">
        <f>Fak_Einheit/IF(denom_1="absolut",1,Fak_Einheit*W!FI_gesamt)</f>
        <v>0.01</v>
      </c>
      <c r="AF7" s="131">
        <f>Fak_Einheit/IF(denom_1="absolut",1,Fak_Einheit*W!FI_gesamt)</f>
        <v>0.01</v>
      </c>
      <c r="AG7" s="131">
        <f>Fak_Einheit/IF(denom_1="absolut",1,Fak_Einheit*W!FI_gesamt)</f>
        <v>0.01</v>
      </c>
      <c r="AH7" s="143"/>
      <c r="AI7" s="145"/>
      <c r="AJ7" s="146"/>
      <c r="AK7" s="138"/>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row>
    <row r="8" spans="1:83" s="270" customFormat="1" ht="16.5" hidden="1" customHeight="1" x14ac:dyDescent="0.25">
      <c r="B8" s="271"/>
      <c r="C8" s="272"/>
      <c r="D8" s="271"/>
      <c r="H8" t="s">
        <v>7523</v>
      </c>
      <c r="J8" s="4">
        <v>282.316104308967</v>
      </c>
      <c r="K8" s="4">
        <v>1266.0370172883599</v>
      </c>
      <c r="L8" s="4">
        <v>727.40079750916095</v>
      </c>
      <c r="M8" s="4">
        <v>178.99095730287101</v>
      </c>
      <c r="N8" s="4">
        <v>200.91721118470701</v>
      </c>
      <c r="O8" s="4">
        <v>141.61035197039101</v>
      </c>
      <c r="P8" s="4">
        <v>160.56829747245101</v>
      </c>
      <c r="Q8" s="4">
        <v>108.61913026083</v>
      </c>
      <c r="R8" s="4">
        <v>293.11192838032099</v>
      </c>
      <c r="S8" s="4">
        <v>2005.4747225282899</v>
      </c>
      <c r="T8" s="4">
        <v>1919.1743218983199</v>
      </c>
      <c r="U8" s="4">
        <v>783.61688680139298</v>
      </c>
      <c r="V8" s="4">
        <v>1423.7274039132301</v>
      </c>
      <c r="W8" s="4">
        <v>1381.1890228883401</v>
      </c>
      <c r="X8" s="4">
        <v>386.78204710898399</v>
      </c>
      <c r="Y8" s="4">
        <v>653.82746815548899</v>
      </c>
      <c r="Z8" s="4">
        <v>592.95585433727797</v>
      </c>
      <c r="AA8" s="4">
        <v>544.09280651712004</v>
      </c>
      <c r="AB8" s="4">
        <v>1237.3242933028901</v>
      </c>
      <c r="AC8" s="4">
        <v>439.79846936768098</v>
      </c>
      <c r="AD8" s="4">
        <v>2848.2974153091</v>
      </c>
      <c r="AE8" s="4">
        <v>4523.7035035448598</v>
      </c>
      <c r="AF8" s="4">
        <v>2402.9651738982002</v>
      </c>
      <c r="AG8" s="4">
        <v>24502.501185249235</v>
      </c>
      <c r="AJ8" s="333"/>
    </row>
    <row r="9" spans="1:83" s="274" customFormat="1" ht="93" customHeight="1" x14ac:dyDescent="0.4">
      <c r="B9" s="272"/>
      <c r="C9" s="272"/>
      <c r="D9" s="272"/>
      <c r="F9" s="275"/>
      <c r="G9" s="275"/>
      <c r="H9" s="275"/>
      <c r="I9" s="275"/>
      <c r="J9" s="278" t="s">
        <v>120</v>
      </c>
      <c r="K9" s="278" t="s">
        <v>122</v>
      </c>
      <c r="L9" s="278" t="s">
        <v>123</v>
      </c>
      <c r="M9" s="278" t="s">
        <v>124</v>
      </c>
      <c r="N9" s="278" t="s">
        <v>125</v>
      </c>
      <c r="O9" s="278" t="s">
        <v>126</v>
      </c>
      <c r="P9" s="278" t="s">
        <v>127</v>
      </c>
      <c r="Q9" s="278" t="s">
        <v>128</v>
      </c>
      <c r="R9" s="278" t="s">
        <v>129</v>
      </c>
      <c r="S9" s="278" t="s">
        <v>130</v>
      </c>
      <c r="T9" s="278" t="s">
        <v>131</v>
      </c>
      <c r="U9" s="278" t="s">
        <v>132</v>
      </c>
      <c r="V9" s="278" t="s">
        <v>133</v>
      </c>
      <c r="W9" s="278" t="s">
        <v>134</v>
      </c>
      <c r="X9" s="278" t="s">
        <v>135</v>
      </c>
      <c r="Y9" s="278" t="s">
        <v>136</v>
      </c>
      <c r="Z9" s="278" t="s">
        <v>137</v>
      </c>
      <c r="AA9" s="278" t="s">
        <v>138</v>
      </c>
      <c r="AB9" s="278" t="s">
        <v>139</v>
      </c>
      <c r="AC9" s="278" t="s">
        <v>140</v>
      </c>
      <c r="AD9" s="278" t="s">
        <v>141</v>
      </c>
      <c r="AE9" s="278" t="s">
        <v>142</v>
      </c>
      <c r="AF9" s="278" t="s">
        <v>143</v>
      </c>
      <c r="AG9" s="279" t="str">
        <f>W!BL</f>
        <v>W</v>
      </c>
      <c r="AJ9" s="333"/>
      <c r="AK9" s="276"/>
      <c r="AL9" s="276"/>
      <c r="CC9" s="274" t="s">
        <v>7524</v>
      </c>
      <c r="CD9" s="274" t="s">
        <v>7525</v>
      </c>
      <c r="CE9" s="274" t="s">
        <v>7526</v>
      </c>
    </row>
    <row r="10" spans="1:83" s="156" customFormat="1" ht="19.5" customHeight="1" thickBot="1" x14ac:dyDescent="0.45">
      <c r="B10" s="236"/>
      <c r="C10" s="237"/>
      <c r="D10" s="238"/>
      <c r="F10" s="265"/>
      <c r="G10" s="157"/>
      <c r="I10" s="192" t="s">
        <v>7515</v>
      </c>
      <c r="J10" s="286">
        <f>282.316104308967*(+W!Fak_1)</f>
        <v>2.8231610430896699</v>
      </c>
      <c r="K10" s="286">
        <f>1266.03701728836*(+W!Fak_1)</f>
        <v>12.660370172883599</v>
      </c>
      <c r="L10" s="286">
        <f>727.400797509161*(+W!Fak_1)</f>
        <v>7.2740079750916093</v>
      </c>
      <c r="M10" s="286">
        <f>178.990957302871*(+W!Fak_1)</f>
        <v>1.7899095730287102</v>
      </c>
      <c r="N10" s="286">
        <f>200.917211184707*(+W!Fak_1)</f>
        <v>2.0091721118470702</v>
      </c>
      <c r="O10" s="286">
        <f>141.610351970391*(+W!Fak_1)</f>
        <v>1.41610351970391</v>
      </c>
      <c r="P10" s="286">
        <f>160.568297472451*(+W!Fak_1)</f>
        <v>1.60568297472451</v>
      </c>
      <c r="Q10" s="286">
        <f>108.61913026083*(+W!Fak_1)</f>
        <v>1.0861913026083001</v>
      </c>
      <c r="R10" s="286">
        <f>293.111928380321*(+W!Fak_1)</f>
        <v>2.9311192838032101</v>
      </c>
      <c r="S10" s="286">
        <f>2005.47472252829*(+W!Fak_1)</f>
        <v>20.054747225282899</v>
      </c>
      <c r="T10" s="286">
        <f>1919.17432189832*(+W!Fak_1)</f>
        <v>19.191743218983198</v>
      </c>
      <c r="U10" s="286">
        <f>783.616886801393*(+W!Fak_1)</f>
        <v>7.8361688680139299</v>
      </c>
      <c r="V10" s="286">
        <f>1423.72740391323*(+W!Fak_1)</f>
        <v>14.237274039132302</v>
      </c>
      <c r="W10" s="286">
        <f>1381.18902288834*(+W!Fak_1)</f>
        <v>13.811890228883401</v>
      </c>
      <c r="X10" s="286">
        <f>386.782047108984*(+W!Fak_1)</f>
        <v>3.8678204710898401</v>
      </c>
      <c r="Y10" s="286">
        <f>653.827468155489*(+W!Fak_1)</f>
        <v>6.5382746815548902</v>
      </c>
      <c r="Z10" s="286">
        <f>592.955854337278*(+W!Fak_1)</f>
        <v>5.9295585433727798</v>
      </c>
      <c r="AA10" s="286">
        <f>544.09280651712*(+W!Fak_1)</f>
        <v>5.4409280651712004</v>
      </c>
      <c r="AB10" s="286">
        <f>1237.32429330289*(+W!Fak_1)</f>
        <v>12.373242933028902</v>
      </c>
      <c r="AC10" s="286">
        <f>439.798469367681*(+W!Fak_1)</f>
        <v>4.3979846936768103</v>
      </c>
      <c r="AD10" s="286">
        <f>2848.29441229367*(+W!Fak_1)</f>
        <v>28.482944122936701</v>
      </c>
      <c r="AE10" s="286">
        <f>4523.33269921585*(+W!Fak_1)</f>
        <v>45.233326992158503</v>
      </c>
      <c r="AF10" s="286">
        <f>2402.9651738982*(+W!Fak_1)</f>
        <v>24.029651738982004</v>
      </c>
      <c r="AG10" s="287">
        <f>24502.1273779048*(W!Fak_1)</f>
        <v>245.02127377904799</v>
      </c>
      <c r="AH10" s="172" t="str">
        <f t="shared" ref="AH10:AH15" si="0">IF(denom_1="absolut",Einheit,"% FI gesamt")</f>
        <v>km²</v>
      </c>
      <c r="AI10" s="160"/>
      <c r="AJ10" s="161">
        <f>+CD10/CC10</f>
        <v>0.62528587676088143</v>
      </c>
      <c r="AK10" s="364" t="s">
        <v>7527</v>
      </c>
      <c r="AL10" s="163"/>
      <c r="AM10" s="159"/>
      <c r="CC10" s="164">
        <f>+AG10/$AG$7</f>
        <v>24502.127377904799</v>
      </c>
      <c r="CD10" s="164">
        <f>+AG25/$AG$23</f>
        <v>15320.834199999999</v>
      </c>
      <c r="CE10" s="164">
        <f>+CC10-CD10</f>
        <v>9181.2931779047994</v>
      </c>
    </row>
    <row r="11" spans="1:83" s="147" customFormat="1" ht="19.5" customHeight="1" thickTop="1" thickBot="1" x14ac:dyDescent="0.35">
      <c r="B11" s="227"/>
      <c r="C11" s="228"/>
      <c r="D11" s="235"/>
      <c r="E11" s="148"/>
      <c r="F11" s="265"/>
      <c r="I11" s="152" t="s">
        <v>25</v>
      </c>
      <c r="J11" s="288">
        <f>109.190800486164*(+W!Fak_1)</f>
        <v>1.0919080048616399</v>
      </c>
      <c r="K11" s="288">
        <f>323.366968164349*(+W!Fak_1)</f>
        <v>3.23366968164349</v>
      </c>
      <c r="L11" s="288">
        <f>190.761956730877*(+W!Fak_1)</f>
        <v>1.9076195673087699</v>
      </c>
      <c r="M11" s="288">
        <f>47.2035727434306*(+W!Fak_1)</f>
        <v>0.472035727434306</v>
      </c>
      <c r="N11" s="288">
        <f>63.6300486315171*(+W!Fak_1)</f>
        <v>0.636300486315171</v>
      </c>
      <c r="O11" s="288">
        <f>42.1094844673364*(+W!Fak_1)</f>
        <v>0.421094844673364</v>
      </c>
      <c r="P11" s="288">
        <f>38.8871970358188*(+W!Fak_1)</f>
        <v>0.38887197035818799</v>
      </c>
      <c r="Q11" s="288">
        <f>29.8850564022375*(+W!Fak_1)</f>
        <v>0.29885056402237498</v>
      </c>
      <c r="R11" s="288">
        <f>92.3794959025712*(+W!Fak_1)</f>
        <v>0.92379495902571196</v>
      </c>
      <c r="S11" s="288">
        <f>546.327262793432*(+W!Fak_1)</f>
        <v>5.4632726279343204</v>
      </c>
      <c r="T11" s="288">
        <f>432.051630587729*(+W!Fak_1)</f>
        <v>4.3205163058772902</v>
      </c>
      <c r="U11" s="288">
        <f>206.676393919326*(+W!Fak_1)</f>
        <v>2.06676393919326</v>
      </c>
      <c r="V11" s="288">
        <f>241.936757979899*(+W!Fak_1)</f>
        <v>2.41936757979899</v>
      </c>
      <c r="W11" s="288">
        <f>288.29258787519*(+W!Fak_1)</f>
        <v>2.8829258787519003</v>
      </c>
      <c r="X11" s="288">
        <f>126.402330625154*(+W!Fak_1)</f>
        <v>1.26402330625154</v>
      </c>
      <c r="Y11" s="288">
        <f>151.012380342519*(+W!Fak_1)</f>
        <v>1.51012380342519</v>
      </c>
      <c r="Z11" s="288">
        <f>115.26362894519*(+W!Fak_1)</f>
        <v>1.1526362894519</v>
      </c>
      <c r="AA11" s="288">
        <f>104.401020479101*(+W!Fak_1)</f>
        <v>1.04401020479101</v>
      </c>
      <c r="AB11" s="288">
        <f>261.213132682972*(+W!Fak_1)</f>
        <v>2.6121313268297199</v>
      </c>
      <c r="AC11" s="288">
        <f>171.002621392153*(+W!Fak_1)</f>
        <v>1.7100262139215301</v>
      </c>
      <c r="AD11" s="288">
        <f>597.823276453573*(+W!Fak_1)</f>
        <v>5.9782327645357309</v>
      </c>
      <c r="AE11" s="288">
        <f>924.989401776684*(+W!Fak_1)</f>
        <v>9.2498940177668398</v>
      </c>
      <c r="AF11" s="288">
        <f>440.434769187316*(+W!Fak_1)</f>
        <v>4.4043476918731601</v>
      </c>
      <c r="AG11" s="289">
        <f>5545.24177560454*(W!Fak_1)</f>
        <v>55.452417756045399</v>
      </c>
      <c r="AH11" s="172" t="str">
        <f t="shared" si="0"/>
        <v>km²</v>
      </c>
      <c r="AI11" s="160"/>
      <c r="AJ11" s="161">
        <f t="shared" ref="AJ11:AJ15" si="1">+CD11/CC11</f>
        <v>0.85438202547687692</v>
      </c>
      <c r="AK11" s="364"/>
      <c r="AL11" s="163"/>
      <c r="AM11" s="159"/>
      <c r="CC11" s="164">
        <f t="shared" ref="CC11:CC15" si="2">+AG11/$AG$7</f>
        <v>5545.2417756045397</v>
      </c>
      <c r="CD11" s="164">
        <f t="shared" ref="CD11:CD15" si="3">+AG26/$AG$23</f>
        <v>4737.7548999999999</v>
      </c>
      <c r="CE11" s="164">
        <f t="shared" ref="CE11:CE15" si="4">+CC11-CD11</f>
        <v>807.48687560453982</v>
      </c>
    </row>
    <row r="12" spans="1:83" s="147" customFormat="1" ht="19.5" customHeight="1" thickTop="1" thickBot="1" x14ac:dyDescent="0.35">
      <c r="A12" s="167"/>
      <c r="B12" s="227"/>
      <c r="C12" s="228"/>
      <c r="D12" s="235"/>
      <c r="E12" s="148"/>
      <c r="F12" s="265"/>
      <c r="I12" s="152" t="s">
        <v>7410</v>
      </c>
      <c r="J12" s="288">
        <f>141.071339840789*(+W!Fak_1)</f>
        <v>1.4107133984078899</v>
      </c>
      <c r="K12" s="288">
        <f>514.953169648184*(+W!Fak_1)</f>
        <v>5.1495316964818407</v>
      </c>
      <c r="L12" s="288">
        <f>401.166648329137*(+W!Fak_1)</f>
        <v>4.0116664832913695</v>
      </c>
      <c r="M12" s="288">
        <f>112.561980613447*(+W!Fak_1)</f>
        <v>1.12561980613447</v>
      </c>
      <c r="N12" s="288">
        <f>126.60726483017*(+W!Fak_1)</f>
        <v>1.2660726483017</v>
      </c>
      <c r="O12" s="288">
        <f>92.981117948787*(+W!Fak_1)</f>
        <v>0.92981117948787007</v>
      </c>
      <c r="P12" s="288">
        <f>115.119366514933*(+W!Fak_1)</f>
        <v>1.1511936651493302</v>
      </c>
      <c r="Q12" s="288">
        <f>76.3208158417483*(+W!Fak_1)</f>
        <v>0.76320815841748302</v>
      </c>
      <c r="R12" s="288">
        <f>173.978871916238*(+W!Fak_1)</f>
        <v>1.7397887191623802</v>
      </c>
      <c r="S12" s="288">
        <f>1081.26353847487*(+W!Fak_1)</f>
        <v>10.812635384748701</v>
      </c>
      <c r="T12" s="288">
        <f>1012.03318442426*(+W!Fak_1)</f>
        <v>10.1203318442426</v>
      </c>
      <c r="U12" s="288">
        <f>461.021408773076*(+W!Fak_1)</f>
        <v>4.6102140877307605</v>
      </c>
      <c r="V12" s="288">
        <f>817.804951769371*(+W!Fak_1)</f>
        <v>8.1780495176937098</v>
      </c>
      <c r="W12" s="288">
        <f>902.936923071701*(+W!Fak_1)</f>
        <v>9.0293692307170108</v>
      </c>
      <c r="X12" s="288">
        <f>206.75907104418*(+W!Fak_1)</f>
        <v>2.0675907104418001</v>
      </c>
      <c r="Y12" s="288">
        <f>433.305779043841*(+W!Fak_1)</f>
        <v>4.33305779043841</v>
      </c>
      <c r="Z12" s="288">
        <f>375.460985827292*(+W!Fak_1)</f>
        <v>3.7546098582729202</v>
      </c>
      <c r="AA12" s="288">
        <f>372.468067381729*(+W!Fak_1)</f>
        <v>3.7246806738172897</v>
      </c>
      <c r="AB12" s="288">
        <f>746.878471177469*(+W!Fak_1)</f>
        <v>7.4687847117746902</v>
      </c>
      <c r="AC12" s="288">
        <f>203.535495920254*(+W!Fak_1)</f>
        <v>2.0353549592025399</v>
      </c>
      <c r="AD12" s="288">
        <f>1792.16169759966*(+W!Fak_1)</f>
        <v>17.921616975996603</v>
      </c>
      <c r="AE12" s="288">
        <f>2659.66759197822*(+W!Fak_1)</f>
        <v>26.5966759197822</v>
      </c>
      <c r="AF12" s="288">
        <f>1707.31112549957*(+W!Fak_1)</f>
        <v>17.073111254995698</v>
      </c>
      <c r="AG12" s="289">
        <f>14527.3688674689*(W!Fak_1)</f>
        <v>145.273688674689</v>
      </c>
      <c r="AH12" s="172" t="str">
        <f t="shared" si="0"/>
        <v>km²</v>
      </c>
      <c r="AI12" s="160"/>
      <c r="AJ12" s="161">
        <f t="shared" si="1"/>
        <v>0.63397651591431359</v>
      </c>
      <c r="AK12" s="364"/>
      <c r="AL12" s="163"/>
      <c r="AM12" s="159"/>
      <c r="CC12" s="164">
        <f t="shared" si="2"/>
        <v>14527.3688674689</v>
      </c>
      <c r="CD12" s="164">
        <f t="shared" si="3"/>
        <v>9210.0107000000007</v>
      </c>
      <c r="CE12" s="164">
        <f t="shared" si="4"/>
        <v>5317.3581674688994</v>
      </c>
    </row>
    <row r="13" spans="1:83" s="147" customFormat="1" ht="19.5" customHeight="1" thickTop="1" thickBot="1" x14ac:dyDescent="0.35">
      <c r="B13" s="227"/>
      <c r="C13" s="228"/>
      <c r="D13" s="235"/>
      <c r="E13" s="148"/>
      <c r="F13" s="265"/>
      <c r="I13" s="152" t="s">
        <v>7409</v>
      </c>
      <c r="J13" s="288">
        <f>0.550766669099226*(+W!Fak_1)</f>
        <v>5.5076666909922604E-3</v>
      </c>
      <c r="K13" s="288">
        <f>10.8545637742143*(+W!Fak_1)</f>
        <v>0.108545637742143</v>
      </c>
      <c r="L13" s="288">
        <f>27.4088006556619*(+W!Fak_1)</f>
        <v>0.27408800655661902</v>
      </c>
      <c r="M13" s="288">
        <f>0.728845401252894*(+W!Fak_1)</f>
        <v>7.2884540125289403E-3</v>
      </c>
      <c r="N13" s="288">
        <f>1.51372539780635*(+W!Fak_1)</f>
        <v>1.5137253978063502E-2</v>
      </c>
      <c r="O13" s="288">
        <f>2.06646658748017*(+W!Fak_1)</f>
        <v>2.0664665874801699E-2</v>
      </c>
      <c r="P13" s="288">
        <f>0.136627929587347*(+W!Fak_1)</f>
        <v>1.3662792958734702E-3</v>
      </c>
      <c r="Q13" s="288">
        <f>0.243868152350673*(+W!Fak_1)</f>
        <v>2.43868152350673E-3</v>
      </c>
      <c r="R13" s="288">
        <f>4.94944790450062*(+W!Fak_1)</f>
        <v>4.9494479045006201E-2</v>
      </c>
      <c r="S13" s="288">
        <f>52.7249865294064*(+W!Fak_1)</f>
        <v>0.52724986529406404</v>
      </c>
      <c r="T13" s="288">
        <f>100.9906038586*(+W!Fak_1)</f>
        <v>1.0099060385859999</v>
      </c>
      <c r="U13" s="288">
        <f>26.2052671062576*(+W!Fak_1)</f>
        <v>0.26205267106257601</v>
      </c>
      <c r="V13" s="288">
        <f>18.9352055119125*(+W!Fak_1)</f>
        <v>0.18935205511912501</v>
      </c>
      <c r="W13" s="288">
        <f>19.5271635497745*(+W!Fak_1)</f>
        <v>0.19527163549774501</v>
      </c>
      <c r="X13" s="288">
        <f>2.75026903342433*(+W!Fak_1)</f>
        <v>2.7502690334243299E-2</v>
      </c>
      <c r="Y13" s="288">
        <f>8.40197582869611*(+W!Fak_1)</f>
        <v>8.4019758286961094E-2</v>
      </c>
      <c r="Z13" s="288">
        <f>7.5923178608659*(+W!Fak_1)</f>
        <v>7.5923178608659006E-2</v>
      </c>
      <c r="AA13" s="288">
        <f>1.34002762479094*(+W!Fak_1)</f>
        <v>1.3400276247909401E-2</v>
      </c>
      <c r="AB13" s="288">
        <f>84.2181164910607*(+W!Fak_1)</f>
        <v>0.84218116491060702</v>
      </c>
      <c r="AC13" s="288">
        <f>19.5696009340003*(+W!Fak_1)</f>
        <v>0.195696009340003</v>
      </c>
      <c r="AD13" s="288">
        <f>74.3706374066564*(+W!Fak_1)</f>
        <v>0.74370637406656404</v>
      </c>
      <c r="AE13" s="288">
        <f>210.303580753925*(+W!Fak_1)</f>
        <v>2.1030358075392499</v>
      </c>
      <c r="AF13" s="288">
        <f>48.661909951338*(+W!Fak_1)</f>
        <v>0.48661909951337995</v>
      </c>
      <c r="AG13" s="289">
        <f>724.044774912662*(W!Fak_1)</f>
        <v>7.2404477491266199</v>
      </c>
      <c r="AH13" s="172" t="str">
        <f t="shared" si="0"/>
        <v>km²</v>
      </c>
      <c r="AI13" s="160"/>
      <c r="AJ13" s="161">
        <f t="shared" si="1"/>
        <v>0.53832389032434647</v>
      </c>
      <c r="AK13" s="364"/>
      <c r="AL13" s="163"/>
      <c r="AM13" s="159"/>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4">
        <f t="shared" si="2"/>
        <v>724.04477491266198</v>
      </c>
      <c r="CD13" s="164">
        <f t="shared" si="3"/>
        <v>389.7706</v>
      </c>
      <c r="CE13" s="164">
        <f t="shared" si="4"/>
        <v>334.27417491266198</v>
      </c>
    </row>
    <row r="14" spans="1:83" s="147" customFormat="1" ht="19.5" customHeight="1" thickTop="1" x14ac:dyDescent="0.3">
      <c r="B14" s="227"/>
      <c r="C14" s="228"/>
      <c r="D14" s="235"/>
      <c r="E14" s="148"/>
      <c r="F14" s="265"/>
      <c r="I14" s="152" t="s">
        <v>7549</v>
      </c>
      <c r="J14" s="288">
        <f>31.5031973129145*(+W!Fak_1)</f>
        <v>0.31503197312914505</v>
      </c>
      <c r="K14" s="288">
        <f>407.314155686559*(+W!Fak_1)</f>
        <v>4.0731415568655898</v>
      </c>
      <c r="L14" s="288">
        <f>108.029084076082*(+W!Fak_1)</f>
        <v>1.08029084076082</v>
      </c>
      <c r="M14" s="288">
        <f>18.4965585447411*(+W!Fak_1)</f>
        <v>0.18496558544741099</v>
      </c>
      <c r="N14" s="288">
        <f>9.16617232521378*(+W!Fak_1)</f>
        <v>9.1661723252137811E-2</v>
      </c>
      <c r="O14" s="288">
        <f>4.45328296678764*(+W!Fak_1)</f>
        <v>4.4532829667876403E-2</v>
      </c>
      <c r="P14" s="288">
        <f>6.42510599211234*(+W!Fak_1)</f>
        <v>6.4251059921123399E-2</v>
      </c>
      <c r="Q14" s="288">
        <f>2.16938986449346*(+W!Fak_1)</f>
        <v>2.1693898644934602E-2</v>
      </c>
      <c r="R14" s="288">
        <f>21.6841367402115*(+W!Fak_1)</f>
        <v>0.21684136740211502</v>
      </c>
      <c r="S14" s="288">
        <f>320.005382644958*(+W!Fak_1)</f>
        <v>3.2000538264495799</v>
      </c>
      <c r="T14" s="288">
        <f>372.593438667658*(+W!Fak_1)</f>
        <v>3.7259343866765802</v>
      </c>
      <c r="U14" s="288">
        <f>88.9302743600732*(+W!Fak_1)</f>
        <v>0.88930274360073203</v>
      </c>
      <c r="V14" s="288">
        <f>341.910201787222*(+W!Fak_1)</f>
        <v>3.4191020178722198</v>
      </c>
      <c r="W14" s="288">
        <f>166.043603726335*(+W!Fak_1)</f>
        <v>1.66043603726335</v>
      </c>
      <c r="X14" s="288">
        <f>50.870376406226*(+W!Fak_1)</f>
        <v>0.50870376406226003</v>
      </c>
      <c r="Y14" s="288">
        <f>59.498305687238*(+W!Fak_1)</f>
        <v>0.59498305687238007</v>
      </c>
      <c r="Z14" s="288">
        <f>94.6389217039306*(+W!Fak_1)</f>
        <v>0.94638921703930612</v>
      </c>
      <c r="AA14" s="288">
        <f>65.6311777669707*(+W!Fak_1)</f>
        <v>0.65631177766970694</v>
      </c>
      <c r="AB14" s="288">
        <f>142.910692029468*(+W!Fak_1)</f>
        <v>1.4291069202946802</v>
      </c>
      <c r="AC14" s="288">
        <f>45.6901653582352*(+W!Fak_1)</f>
        <v>0.45690165358235202</v>
      </c>
      <c r="AD14" s="288">
        <f>317.47894403427*(+W!Fak_1)</f>
        <v>3.1747894403427002</v>
      </c>
      <c r="AE14" s="288">
        <f>647.853966423806*(+W!Fak_1)</f>
        <v>6.4785396642380606</v>
      </c>
      <c r="AF14" s="288">
        <f>202.283563212527*(+W!Fak_1)</f>
        <v>2.0228356321252701</v>
      </c>
      <c r="AG14" s="290">
        <f>3525.58009731803*(W!Fak_1)</f>
        <v>35.2558009731803</v>
      </c>
      <c r="AH14" s="172" t="str">
        <f t="shared" si="0"/>
        <v>km²</v>
      </c>
      <c r="AI14" s="160"/>
      <c r="AJ14" s="161">
        <f t="shared" si="1"/>
        <v>0.27099248169876888</v>
      </c>
      <c r="AK14" s="364"/>
      <c r="AL14" s="163"/>
      <c r="AM14" s="159"/>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4">
        <f t="shared" si="2"/>
        <v>3525.5800973180299</v>
      </c>
      <c r="CD14" s="164">
        <f t="shared" si="3"/>
        <v>955.40570000000002</v>
      </c>
      <c r="CE14" s="164">
        <f t="shared" si="4"/>
        <v>2570.1743973180301</v>
      </c>
    </row>
    <row r="15" spans="1:83" s="147" customFormat="1" ht="19.5" customHeight="1" x14ac:dyDescent="0.3">
      <c r="B15" s="227"/>
      <c r="C15" s="228"/>
      <c r="D15" s="235"/>
      <c r="E15" s="148"/>
      <c r="F15" s="265"/>
      <c r="I15" s="152" t="s">
        <v>7519</v>
      </c>
      <c r="J15" s="288">
        <f>0*(+W!Fak_1)</f>
        <v>0</v>
      </c>
      <c r="K15" s="288">
        <f>9.54816001505163*(+W!Fak_1)</f>
        <v>9.5481600150516308E-2</v>
      </c>
      <c r="L15" s="288">
        <f>0.0343077174041446*(+W!Fak_1)</f>
        <v>3.4307717404144603E-4</v>
      </c>
      <c r="M15" s="288">
        <f>0*(+W!Fak_1)</f>
        <v>0</v>
      </c>
      <c r="N15" s="288">
        <f>0*(+W!Fak_1)</f>
        <v>0</v>
      </c>
      <c r="O15" s="288">
        <f>0*(+W!Fak_1)</f>
        <v>0</v>
      </c>
      <c r="P15" s="288">
        <f>0*(+W!Fak_1)</f>
        <v>0</v>
      </c>
      <c r="Q15" s="288">
        <f>0*(+W!Fak_1)</f>
        <v>0</v>
      </c>
      <c r="R15" s="288">
        <f>0.119975916799552*(+W!Fak_1)</f>
        <v>1.19975916799552E-3</v>
      </c>
      <c r="S15" s="288">
        <f>5.15355208563177*(+W!Fak_1)</f>
        <v>5.1535520856317699E-2</v>
      </c>
      <c r="T15" s="288">
        <f>1.50546436007098*(+W!Fak_1)</f>
        <v>1.5054643600709801E-2</v>
      </c>
      <c r="U15" s="288">
        <f>0.78354264265982*(+W!Fak_1)</f>
        <v>7.8354264265982007E-3</v>
      </c>
      <c r="V15" s="288">
        <f>3.14028686482327*(+W!Fak_1)</f>
        <v>3.1402868648232704E-2</v>
      </c>
      <c r="W15" s="288">
        <f>4.3887446653419*(+W!Fak_1)</f>
        <v>4.3887446653418996E-2</v>
      </c>
      <c r="X15" s="288">
        <f>0*(+W!Fak_1)</f>
        <v>0</v>
      </c>
      <c r="Y15" s="288">
        <f>1.60902725319432*(+W!Fak_1)</f>
        <v>1.6090272531943201E-2</v>
      </c>
      <c r="Z15" s="288">
        <f>0*(+W!Fak_1)</f>
        <v>0</v>
      </c>
      <c r="AA15" s="288">
        <f>0.252513264528089*(+W!Fak_1)</f>
        <v>2.5251326452808897E-3</v>
      </c>
      <c r="AB15" s="288">
        <f>2.1038809219248*(+W!Fak_1)</f>
        <v>2.1038809219247997E-2</v>
      </c>
      <c r="AC15" s="288">
        <f>0.00058576303862545*(+W!Fak_1)</f>
        <v>5.8576303862544999E-6</v>
      </c>
      <c r="AD15" s="288">
        <f>66.4598567995123*(+W!Fak_1)</f>
        <v>0.66459856799512296</v>
      </c>
      <c r="AE15" s="288">
        <f>80.5181582832186*(+W!Fak_1)</f>
        <v>0.80518158283218599</v>
      </c>
      <c r="AF15" s="288">
        <f>4.27380604745249*(+W!Fak_1)</f>
        <v>4.2738060474524907E-2</v>
      </c>
      <c r="AG15" s="290">
        <f>179.891862600652*(W!Fak_1)</f>
        <v>1.79891862600652</v>
      </c>
      <c r="AH15" s="172" t="str">
        <f t="shared" si="0"/>
        <v>km²</v>
      </c>
      <c r="AI15" s="160"/>
      <c r="AJ15" s="161">
        <f t="shared" si="1"/>
        <v>0.15505037079925651</v>
      </c>
      <c r="AK15" s="364"/>
      <c r="AL15" s="163"/>
      <c r="AM15" s="159"/>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4">
        <f t="shared" si="2"/>
        <v>179.89186260065199</v>
      </c>
      <c r="CD15" s="164">
        <f t="shared" si="3"/>
        <v>27.892299999999999</v>
      </c>
      <c r="CE15" s="164">
        <f t="shared" si="4"/>
        <v>151.99956260065198</v>
      </c>
    </row>
    <row r="16" spans="1:83" s="147" customFormat="1" ht="21" customHeight="1" x14ac:dyDescent="0.3">
      <c r="B16" s="227"/>
      <c r="C16" s="228"/>
      <c r="D16" s="235"/>
      <c r="E16" s="148"/>
      <c r="F16" s="265"/>
      <c r="I16" s="152"/>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70"/>
      <c r="AH16" s="172"/>
      <c r="AI16" s="168"/>
    </row>
    <row r="17" spans="2:37"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172"/>
      <c r="AI17" s="168"/>
    </row>
    <row r="18" spans="2:37" s="147" customFormat="1" ht="42.75" customHeight="1" x14ac:dyDescent="0.3">
      <c r="B18" s="227"/>
      <c r="C18" s="228"/>
      <c r="D18" s="235"/>
      <c r="E18" s="148"/>
      <c r="F18" s="265"/>
      <c r="J18" s="173">
        <f t="shared" ref="J18:AG18" si="5">FI_gesamt/EW*10000</f>
        <v>179.81917471908727</v>
      </c>
      <c r="K18" s="173">
        <f t="shared" si="5"/>
        <v>120.93430166670105</v>
      </c>
      <c r="L18" s="173">
        <f t="shared" si="5"/>
        <v>77.594384441581425</v>
      </c>
      <c r="M18" s="173">
        <f t="shared" si="5"/>
        <v>54.228181083670442</v>
      </c>
      <c r="N18" s="173">
        <f t="shared" si="5"/>
        <v>37.393164315703601</v>
      </c>
      <c r="O18" s="173">
        <f t="shared" si="5"/>
        <v>45.742732725108539</v>
      </c>
      <c r="P18" s="173">
        <f t="shared" si="5"/>
        <v>51.257197686410969</v>
      </c>
      <c r="Q18" s="173">
        <f t="shared" si="5"/>
        <v>44.904349192124528</v>
      </c>
      <c r="R18" s="173">
        <f t="shared" si="5"/>
        <v>70.830778691295976</v>
      </c>
      <c r="S18" s="173">
        <f t="shared" si="5"/>
        <v>94.48421580308073</v>
      </c>
      <c r="T18" s="173">
        <f t="shared" si="5"/>
        <v>180.92105072666527</v>
      </c>
      <c r="U18" s="173">
        <f t="shared" si="5"/>
        <v>80.035225239905728</v>
      </c>
      <c r="V18" s="173">
        <f t="shared" si="5"/>
        <v>263.85355620252972</v>
      </c>
      <c r="W18" s="173">
        <f t="shared" si="5"/>
        <v>148.53251705990388</v>
      </c>
      <c r="X18" s="173">
        <f t="shared" si="5"/>
        <v>51.137971456202024</v>
      </c>
      <c r="Y18" s="173">
        <f t="shared" si="5"/>
        <v>64.329037186435102</v>
      </c>
      <c r="Z18" s="173">
        <f t="shared" si="5"/>
        <v>105.85850936145927</v>
      </c>
      <c r="AA18" s="173">
        <f t="shared" si="5"/>
        <v>106.96801464997937</v>
      </c>
      <c r="AB18" s="173">
        <f t="shared" si="5"/>
        <v>167.49344054023663</v>
      </c>
      <c r="AC18" s="173">
        <f t="shared" si="5"/>
        <v>52.065024608170972</v>
      </c>
      <c r="AD18" s="173">
        <f t="shared" si="5"/>
        <v>159.85057189489015</v>
      </c>
      <c r="AE18" s="173">
        <f t="shared" si="5"/>
        <v>221.94273970772974</v>
      </c>
      <c r="AF18" s="173">
        <f t="shared" si="5"/>
        <v>208.63781529669893</v>
      </c>
      <c r="AG18" s="173">
        <f t="shared" si="5"/>
        <v>126.8512631038176</v>
      </c>
      <c r="AH18" s="171" t="s">
        <v>7413</v>
      </c>
    </row>
    <row r="19" spans="2:37" s="147" customFormat="1" ht="42.75" customHeight="1" x14ac:dyDescent="0.3">
      <c r="B19" s="227"/>
      <c r="C19" s="228"/>
      <c r="D19" s="235"/>
      <c r="E19" s="148"/>
      <c r="F19" s="265"/>
      <c r="I19" s="152" t="s">
        <v>7550</v>
      </c>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171"/>
      <c r="AI19" s="168"/>
    </row>
    <row r="20" spans="2:37" s="147" customFormat="1" ht="66.75" customHeight="1" x14ac:dyDescent="0.3">
      <c r="B20" s="227"/>
      <c r="C20" s="228"/>
      <c r="D20" s="235"/>
      <c r="E20" s="148"/>
      <c r="F20" s="265"/>
      <c r="I20" s="245"/>
      <c r="J20" s="174">
        <f t="shared" ref="J20:AG20" si="6">100*Fak_Einheit*FI_gesamt/DSR</f>
        <v>98.460895439957</v>
      </c>
      <c r="K20" s="174">
        <f t="shared" si="6"/>
        <v>78.684608372747348</v>
      </c>
      <c r="L20" s="174">
        <f t="shared" si="6"/>
        <v>98.192986791061955</v>
      </c>
      <c r="M20" s="174">
        <f t="shared" si="6"/>
        <v>99.001295840534979</v>
      </c>
      <c r="N20" s="174">
        <f t="shared" si="6"/>
        <v>99.758201201115071</v>
      </c>
      <c r="O20" s="174">
        <f t="shared" si="6"/>
        <v>97.376227622846585</v>
      </c>
      <c r="P20" s="174">
        <f t="shared" si="6"/>
        <v>99.894113158482753</v>
      </c>
      <c r="Q20" s="174">
        <f t="shared" si="6"/>
        <v>99.708581338400663</v>
      </c>
      <c r="R20" s="174">
        <f t="shared" si="6"/>
        <v>98.831635822784321</v>
      </c>
      <c r="S20" s="174">
        <f t="shared" si="6"/>
        <v>65.593584438690854</v>
      </c>
      <c r="T20" s="174">
        <f t="shared" si="6"/>
        <v>82.181253172086386</v>
      </c>
      <c r="U20" s="174">
        <f t="shared" si="6"/>
        <v>97.846619600272078</v>
      </c>
      <c r="V20" s="174">
        <f t="shared" si="6"/>
        <v>76.879696148408883</v>
      </c>
      <c r="W20" s="174">
        <f t="shared" si="6"/>
        <v>76.207401332181888</v>
      </c>
      <c r="X20" s="174">
        <f t="shared" si="6"/>
        <v>98.598679558891064</v>
      </c>
      <c r="Y20" s="174">
        <f t="shared" si="6"/>
        <v>92.930836725405882</v>
      </c>
      <c r="Z20" s="174">
        <f t="shared" si="6"/>
        <v>78.408639705046539</v>
      </c>
      <c r="AA20" s="174">
        <f t="shared" si="6"/>
        <v>94.842327998780107</v>
      </c>
      <c r="AB20" s="174">
        <f t="shared" si="6"/>
        <v>67.209142236027134</v>
      </c>
      <c r="AC20" s="174">
        <f t="shared" si="6"/>
        <v>94.221404339506194</v>
      </c>
      <c r="AD20" s="174">
        <f t="shared" si="6"/>
        <v>65.88221126078092</v>
      </c>
      <c r="AE20" s="174">
        <f t="shared" si="6"/>
        <v>56.714285158991508</v>
      </c>
      <c r="AF20" s="174">
        <f t="shared" si="6"/>
        <v>85.519660092870964</v>
      </c>
      <c r="AG20" s="174">
        <f t="shared" si="6"/>
        <v>0.73292147888603232</v>
      </c>
      <c r="AH20" s="373" t="s">
        <v>7418</v>
      </c>
      <c r="AI20" s="373"/>
      <c r="AJ20" s="373"/>
      <c r="AK20" s="266"/>
    </row>
    <row r="21" spans="2:37" ht="51" customHeight="1" x14ac:dyDescent="0.3">
      <c r="G21" s="176"/>
      <c r="H21" s="176"/>
      <c r="I21" s="369" t="s">
        <v>7474</v>
      </c>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175"/>
    </row>
    <row r="22" spans="2:37" ht="49.5" hidden="1" customHeight="1" x14ac:dyDescent="0.3">
      <c r="H22" s="177" t="s">
        <v>7522</v>
      </c>
      <c r="I22" s="138"/>
      <c r="J22" s="138">
        <v>249.61969999999999</v>
      </c>
      <c r="K22" s="138">
        <v>761.53470000000004</v>
      </c>
      <c r="L22" s="138">
        <v>593.33860000000004</v>
      </c>
      <c r="M22" s="138">
        <v>152.738</v>
      </c>
      <c r="N22" s="138">
        <v>182.38509999999999</v>
      </c>
      <c r="O22" s="138">
        <v>132.79519999999999</v>
      </c>
      <c r="P22" s="138">
        <v>148.9468</v>
      </c>
      <c r="Q22" s="138">
        <v>98.179900000000004</v>
      </c>
      <c r="R22" s="138">
        <v>256.50240000000002</v>
      </c>
      <c r="S22" s="138">
        <v>1275.1469999999999</v>
      </c>
      <c r="T22" s="138">
        <v>1251.8734999999999</v>
      </c>
      <c r="U22" s="138">
        <v>546.97789999999998</v>
      </c>
      <c r="V22" s="138">
        <v>666.77760000000001</v>
      </c>
      <c r="W22" s="138">
        <v>767.15390000000002</v>
      </c>
      <c r="X22" s="138">
        <v>317.12439999999998</v>
      </c>
      <c r="Y22" s="138">
        <v>465.61959999999999</v>
      </c>
      <c r="Z22" s="138">
        <v>342.69150000000002</v>
      </c>
      <c r="AA22" s="138">
        <v>306.76749999999998</v>
      </c>
      <c r="AB22" s="138">
        <v>639.84349999999995</v>
      </c>
      <c r="AC22" s="138">
        <v>340.10489999999999</v>
      </c>
      <c r="AD22" s="138">
        <v>1700.0137999999999</v>
      </c>
      <c r="AE22" s="138">
        <v>2569.8890999999999</v>
      </c>
      <c r="AF22" s="138">
        <v>1554.8096</v>
      </c>
      <c r="AG22" s="138">
        <v>15320.834200000003</v>
      </c>
      <c r="AI22" s="138"/>
    </row>
    <row r="23" spans="2:37" ht="18" hidden="1" x14ac:dyDescent="0.35">
      <c r="B23" s="232"/>
      <c r="C23" s="233"/>
      <c r="D23" s="239"/>
      <c r="E23" s="138"/>
      <c r="H23" s="177" t="s">
        <v>7521</v>
      </c>
      <c r="I23" s="138"/>
      <c r="J23" s="138">
        <f>Fak_Einheit/IF(denom_1="absolut",1,Fak_Einheit*W!VS_gesamt)</f>
        <v>0.01</v>
      </c>
      <c r="K23" s="138">
        <f>Fak_Einheit/IF(denom_1="absolut",1,Fak_Einheit*W!VS_gesamt)</f>
        <v>0.01</v>
      </c>
      <c r="L23" s="138">
        <f>Fak_Einheit/IF(denom_1="absolut",1,Fak_Einheit*W!VS_gesamt)</f>
        <v>0.01</v>
      </c>
      <c r="M23" s="138">
        <f>Fak_Einheit/IF(denom_1="absolut",1,Fak_Einheit*W!VS_gesamt)</f>
        <v>0.01</v>
      </c>
      <c r="N23" s="138">
        <f>Fak_Einheit/IF(denom_1="absolut",1,Fak_Einheit*W!VS_gesamt)</f>
        <v>0.01</v>
      </c>
      <c r="O23" s="138">
        <f>Fak_Einheit/IF(denom_1="absolut",1,Fak_Einheit*W!VS_gesamt)</f>
        <v>0.01</v>
      </c>
      <c r="P23" s="138">
        <f>Fak_Einheit/IF(denom_1="absolut",1,Fak_Einheit*W!VS_gesamt)</f>
        <v>0.01</v>
      </c>
      <c r="Q23" s="138">
        <f>Fak_Einheit/IF(denom_1="absolut",1,Fak_Einheit*W!VS_gesamt)</f>
        <v>0.01</v>
      </c>
      <c r="R23" s="138">
        <f>Fak_Einheit/IF(denom_1="absolut",1,Fak_Einheit*W!VS_gesamt)</f>
        <v>0.01</v>
      </c>
      <c r="S23" s="138">
        <f>Fak_Einheit/IF(denom_1="absolut",1,Fak_Einheit*W!VS_gesamt)</f>
        <v>0.01</v>
      </c>
      <c r="T23" s="138">
        <f>Fak_Einheit/IF(denom_1="absolut",1,Fak_Einheit*W!VS_gesamt)</f>
        <v>0.01</v>
      </c>
      <c r="U23" s="138">
        <f>Fak_Einheit/IF(denom_1="absolut",1,Fak_Einheit*W!VS_gesamt)</f>
        <v>0.01</v>
      </c>
      <c r="V23" s="138">
        <f>Fak_Einheit/IF(denom_1="absolut",1,Fak_Einheit*W!VS_gesamt)</f>
        <v>0.01</v>
      </c>
      <c r="W23" s="138">
        <f>Fak_Einheit/IF(denom_1="absolut",1,Fak_Einheit*W!VS_gesamt)</f>
        <v>0.01</v>
      </c>
      <c r="X23" s="138">
        <f>Fak_Einheit/IF(denom_1="absolut",1,Fak_Einheit*W!VS_gesamt)</f>
        <v>0.01</v>
      </c>
      <c r="Y23" s="138">
        <f>Fak_Einheit/IF(denom_1="absolut",1,Fak_Einheit*W!VS_gesamt)</f>
        <v>0.01</v>
      </c>
      <c r="Z23" s="138">
        <f>Fak_Einheit/IF(denom_1="absolut",1,Fak_Einheit*W!VS_gesamt)</f>
        <v>0.01</v>
      </c>
      <c r="AA23" s="138">
        <f>Fak_Einheit/IF(denom_1="absolut",1,Fak_Einheit*W!VS_gesamt)</f>
        <v>0.01</v>
      </c>
      <c r="AB23" s="138">
        <f>Fak_Einheit/IF(denom_1="absolut",1,Fak_Einheit*W!VS_gesamt)</f>
        <v>0.01</v>
      </c>
      <c r="AC23" s="138">
        <f>Fak_Einheit/IF(denom_1="absolut",1,Fak_Einheit*W!VS_gesamt)</f>
        <v>0.01</v>
      </c>
      <c r="AD23" s="138">
        <f>Fak_Einheit/IF(denom_1="absolut",1,Fak_Einheit*W!VS_gesamt)</f>
        <v>0.01</v>
      </c>
      <c r="AE23" s="138">
        <f>Fak_Einheit/IF(denom_1="absolut",1,Fak_Einheit*W!VS_gesamt)</f>
        <v>0.01</v>
      </c>
      <c r="AF23" s="138">
        <f>Fak_Einheit/IF(denom_1="absolut",1,Fak_Einheit*W!VS_gesamt)</f>
        <v>0.01</v>
      </c>
      <c r="AG23" s="138">
        <f>Fak_Einheit/IF(denom_1="absolut",1,Fak_Einheit*W!VS_gesamt)</f>
        <v>0.01</v>
      </c>
      <c r="AI23" s="138"/>
    </row>
    <row r="24" spans="2:37" ht="86.25" customHeight="1" x14ac:dyDescent="0.4">
      <c r="G24" s="144"/>
      <c r="H24" s="210"/>
      <c r="I24" s="210"/>
      <c r="J24" s="278" t="str">
        <f t="shared" ref="J24:AF24" si="7">+J9</f>
        <v>Wien  1., Innere Stadt</v>
      </c>
      <c r="K24" s="278" t="str">
        <f t="shared" si="7"/>
        <v>Wien  2., Leopoldstadt</v>
      </c>
      <c r="L24" s="278" t="str">
        <f t="shared" si="7"/>
        <v>Wien  3., Landstraße</v>
      </c>
      <c r="M24" s="278" t="str">
        <f t="shared" si="7"/>
        <v>Wien  4., Wieden</v>
      </c>
      <c r="N24" s="278" t="str">
        <f t="shared" si="7"/>
        <v>Wien  5., Margareten</v>
      </c>
      <c r="O24" s="278" t="str">
        <f t="shared" si="7"/>
        <v>Wien  6., Mariahilf</v>
      </c>
      <c r="P24" s="278" t="str">
        <f t="shared" si="7"/>
        <v>Wien  7., Neubau</v>
      </c>
      <c r="Q24" s="278" t="str">
        <f t="shared" si="7"/>
        <v>Wien  8., Josefstadt</v>
      </c>
      <c r="R24" s="278" t="str">
        <f t="shared" si="7"/>
        <v>Wien  9., Alsergrund</v>
      </c>
      <c r="S24" s="278" t="str">
        <f t="shared" si="7"/>
        <v>Wien  10., Favoriten</v>
      </c>
      <c r="T24" s="278" t="str">
        <f t="shared" si="7"/>
        <v>Wien  11., Simmering</v>
      </c>
      <c r="U24" s="278" t="str">
        <f t="shared" si="7"/>
        <v>Wien  12., Meidling</v>
      </c>
      <c r="V24" s="278" t="str">
        <f t="shared" si="7"/>
        <v>Wien  13., Hietzing</v>
      </c>
      <c r="W24" s="278" t="str">
        <f t="shared" si="7"/>
        <v>Wien  14., Penzing</v>
      </c>
      <c r="X24" s="278" t="str">
        <f t="shared" si="7"/>
        <v>Wien  15., Rudolfsheim-Fünfhaus</v>
      </c>
      <c r="Y24" s="278" t="str">
        <f t="shared" si="7"/>
        <v>Wien  16., Ottakring</v>
      </c>
      <c r="Z24" s="278" t="str">
        <f t="shared" si="7"/>
        <v>Wien  17., Hernals</v>
      </c>
      <c r="AA24" s="278" t="str">
        <f t="shared" si="7"/>
        <v>Wien  18., Währing</v>
      </c>
      <c r="AB24" s="278" t="str">
        <f t="shared" si="7"/>
        <v>Wien  19., Döbling</v>
      </c>
      <c r="AC24" s="278" t="str">
        <f t="shared" si="7"/>
        <v>Wien  20., Brigittenau</v>
      </c>
      <c r="AD24" s="278" t="str">
        <f t="shared" si="7"/>
        <v>Wien  21., Floridsdorf</v>
      </c>
      <c r="AE24" s="278" t="str">
        <f t="shared" si="7"/>
        <v>Wien  22., Donaustadt</v>
      </c>
      <c r="AF24" s="278" t="str">
        <f t="shared" si="7"/>
        <v>Wien  23., Liesing</v>
      </c>
      <c r="AG24" s="279" t="str">
        <f>W!BL</f>
        <v>W</v>
      </c>
      <c r="AH24" s="210"/>
      <c r="AI24" s="147"/>
      <c r="AJ24" s="147"/>
      <c r="AK24" s="147"/>
    </row>
    <row r="25" spans="2:37" ht="19.5" customHeight="1" thickBot="1" x14ac:dyDescent="0.35">
      <c r="G25" s="146"/>
      <c r="I25" s="158" t="s">
        <v>7516</v>
      </c>
      <c r="J25" s="280">
        <f>249.6197*(+W!Fak_2)</f>
        <v>2.496197</v>
      </c>
      <c r="K25" s="280">
        <f>761.5347*(+W!Fak_2)</f>
        <v>7.6153470000000008</v>
      </c>
      <c r="L25" s="280">
        <f>593.3386*(+W!Fak_2)</f>
        <v>5.9333860000000005</v>
      </c>
      <c r="M25" s="280">
        <f>152.738*(+W!Fak_2)</f>
        <v>1.52738</v>
      </c>
      <c r="N25" s="280">
        <f>182.3851*(+W!Fak_2)</f>
        <v>1.8238509999999999</v>
      </c>
      <c r="O25" s="280">
        <f>132.7952*(+W!Fak_2)</f>
        <v>1.327952</v>
      </c>
      <c r="P25" s="280">
        <f>148.9468*(+W!Fak_2)</f>
        <v>1.489468</v>
      </c>
      <c r="Q25" s="280">
        <f>98.1799*(+W!Fak_2)</f>
        <v>0.98179900000000009</v>
      </c>
      <c r="R25" s="280">
        <f>256.5024*(+W!Fak_2)</f>
        <v>2.5650240000000002</v>
      </c>
      <c r="S25" s="280">
        <f>1275.147*(+W!Fak_2)</f>
        <v>12.751469999999999</v>
      </c>
      <c r="T25" s="280">
        <f>1251.8735*(+W!Fak_2)</f>
        <v>12.518735</v>
      </c>
      <c r="U25" s="280">
        <f>546.9779*(+W!Fak_2)</f>
        <v>5.4697789999999999</v>
      </c>
      <c r="V25" s="280">
        <f>666.7776*(+W!Fak_2)</f>
        <v>6.6677759999999999</v>
      </c>
      <c r="W25" s="280">
        <f>767.1539*(+W!Fak_2)</f>
        <v>7.6715390000000001</v>
      </c>
      <c r="X25" s="280">
        <f>317.1244*(+W!Fak_2)</f>
        <v>3.1712439999999997</v>
      </c>
      <c r="Y25" s="280">
        <f>465.6196*(+W!Fak_2)</f>
        <v>4.6561960000000004</v>
      </c>
      <c r="Z25" s="280">
        <f>342.6915*(+W!Fak_2)</f>
        <v>3.4269150000000002</v>
      </c>
      <c r="AA25" s="280">
        <f>306.7675*(+W!Fak_2)</f>
        <v>3.0676749999999999</v>
      </c>
      <c r="AB25" s="280">
        <f>639.8435*(+W!Fak_2)</f>
        <v>6.3984349999999992</v>
      </c>
      <c r="AC25" s="280">
        <f>340.1049*(+W!Fak_2)</f>
        <v>3.401049</v>
      </c>
      <c r="AD25" s="280">
        <f>1700.0138*(+W!Fak_2)</f>
        <v>17.000138</v>
      </c>
      <c r="AE25" s="280">
        <f>2569.8891*(+W!Fak_2)</f>
        <v>25.698891</v>
      </c>
      <c r="AF25" s="280">
        <f>1554.8096*(+W!Fak_2)</f>
        <v>15.548096000000001</v>
      </c>
      <c r="AG25" s="281">
        <f>15320.8342*(+Fak_2)</f>
        <v>153.20834199999999</v>
      </c>
      <c r="AH25" s="159" t="str">
        <f t="shared" ref="AH25:AH30" si="8">IF(denom_1="absolut",Einheit,"% VS gesamt")</f>
        <v>km²</v>
      </c>
      <c r="AI25" s="160"/>
      <c r="AJ25" s="161">
        <f t="shared" ref="AJ25:AJ30" si="9">CD10/CC10</f>
        <v>0.62528587676088143</v>
      </c>
      <c r="AK25" s="364" t="s">
        <v>7528</v>
      </c>
    </row>
    <row r="26" spans="2:37" ht="19.5" customHeight="1" thickTop="1" thickBot="1" x14ac:dyDescent="0.35">
      <c r="F26" s="138" t="s">
        <v>7411</v>
      </c>
      <c r="G26" s="144"/>
      <c r="I26" s="148" t="s">
        <v>25</v>
      </c>
      <c r="J26" s="282">
        <f>99.6117*(+W!Fak_2)</f>
        <v>0.99611700000000003</v>
      </c>
      <c r="K26" s="282">
        <f>270.8717*(+W!Fak_2)</f>
        <v>2.7087169999999996</v>
      </c>
      <c r="L26" s="282">
        <f>178.3711*(+W!Fak_2)</f>
        <v>1.7837110000000003</v>
      </c>
      <c r="M26" s="282">
        <f>45.9034*(+W!Fak_2)</f>
        <v>0.459034</v>
      </c>
      <c r="N26" s="282">
        <f>61.7966*(+W!Fak_2)</f>
        <v>0.61796600000000002</v>
      </c>
      <c r="O26" s="282">
        <f>40.7031*(+W!Fak_2)</f>
        <v>0.40703099999999998</v>
      </c>
      <c r="P26" s="282">
        <f>37.2493*(+W!Fak_2)</f>
        <v>0.37249299999999996</v>
      </c>
      <c r="Q26" s="282">
        <f>28.3169*(+W!Fak_2)</f>
        <v>0.283169</v>
      </c>
      <c r="R26" s="282">
        <f>87.1*(+W!Fak_2)</f>
        <v>0.871</v>
      </c>
      <c r="S26" s="282">
        <f>472.4507*(+W!Fak_2)</f>
        <v>4.724507</v>
      </c>
      <c r="T26" s="282">
        <f>344.5726*(+W!Fak_2)</f>
        <v>3.4457260000000005</v>
      </c>
      <c r="U26" s="282">
        <f>176.5576*(+W!Fak_2)</f>
        <v>1.765576</v>
      </c>
      <c r="V26" s="282">
        <f>194.2776*(+W!Fak_2)</f>
        <v>1.9427760000000001</v>
      </c>
      <c r="W26" s="282">
        <f>247.7057*(+W!Fak_2)</f>
        <v>2.4770570000000003</v>
      </c>
      <c r="X26" s="282">
        <f>117.2816*(+W!Fak_2)</f>
        <v>1.1728160000000001</v>
      </c>
      <c r="Y26" s="282">
        <f>138.7169*(+W!Fak_2)</f>
        <v>1.3871690000000001</v>
      </c>
      <c r="Z26" s="282">
        <f>100.164*(+W!Fak_2)</f>
        <v>1.0016400000000001</v>
      </c>
      <c r="AA26" s="282">
        <f>88.9574*(+W!Fak_2)</f>
        <v>0.88957400000000009</v>
      </c>
      <c r="AB26" s="282">
        <f>209.1413*(+W!Fak_2)</f>
        <v>2.0914130000000002</v>
      </c>
      <c r="AC26" s="282">
        <f>145.7313*(+W!Fak_2)</f>
        <v>1.4573130000000001</v>
      </c>
      <c r="AD26" s="282">
        <f>505.7967*(+W!Fak_2)</f>
        <v>5.0579669999999997</v>
      </c>
      <c r="AE26" s="282">
        <f>765.4534*(+W!Fak_2)</f>
        <v>7.6545339999999999</v>
      </c>
      <c r="AF26" s="282">
        <f>381.0243*(+W!Fak_2)</f>
        <v>3.8102429999999998</v>
      </c>
      <c r="AG26" s="283">
        <f>4737.7549*(+Fak_2)</f>
        <v>47.377549000000002</v>
      </c>
      <c r="AH26" s="159" t="str">
        <f t="shared" si="8"/>
        <v>km²</v>
      </c>
      <c r="AI26" s="160"/>
      <c r="AJ26" s="161">
        <f t="shared" si="9"/>
        <v>0.85438202547687692</v>
      </c>
      <c r="AK26" s="364"/>
    </row>
    <row r="27" spans="2:37" ht="19.5" customHeight="1" thickTop="1" thickBot="1" x14ac:dyDescent="0.35">
      <c r="G27" s="222"/>
      <c r="I27" s="148" t="s">
        <v>7410</v>
      </c>
      <c r="J27" s="282">
        <f>138.869*(+W!Fak_2)</f>
        <v>1.38869</v>
      </c>
      <c r="K27" s="282">
        <f>395.5573*(+W!Fak_2)</f>
        <v>3.9555730000000002</v>
      </c>
      <c r="L27" s="282">
        <f>348.0711*(+W!Fak_2)</f>
        <v>3.4807109999999999</v>
      </c>
      <c r="M27" s="282">
        <f>101.1052*(+W!Fak_2)</f>
        <v>1.0110520000000001</v>
      </c>
      <c r="N27" s="282">
        <f>116.1014*(+W!Fak_2)</f>
        <v>1.161014</v>
      </c>
      <c r="O27" s="282">
        <f>88.2127*(+W!Fak_2)</f>
        <v>0.88212699999999999</v>
      </c>
      <c r="P27" s="282">
        <f>108.3278*(+W!Fak_2)</f>
        <v>1.083278</v>
      </c>
      <c r="Q27" s="282">
        <f>68.6575*(+W!Fak_2)</f>
        <v>0.68657500000000005</v>
      </c>
      <c r="R27" s="282">
        <f>156.4846*(+W!Fak_2)</f>
        <v>1.564846</v>
      </c>
      <c r="S27" s="282">
        <f>708.5883*(+W!Fak_2)</f>
        <v>7.0858829999999999</v>
      </c>
      <c r="T27" s="282">
        <f>701.9832*(+W!Fak_2)</f>
        <v>7.0198320000000001</v>
      </c>
      <c r="U27" s="282">
        <f>317.3925*(+W!Fak_2)</f>
        <v>3.1739250000000001</v>
      </c>
      <c r="V27" s="282">
        <f>381.1228*(+W!Fak_2)</f>
        <v>3.8112279999999998</v>
      </c>
      <c r="W27" s="282">
        <f>457.7728*(+W!Fak_2)</f>
        <v>4.5777280000000005</v>
      </c>
      <c r="X27" s="282">
        <f>180.6835*(+W!Fak_2)</f>
        <v>1.8068350000000002</v>
      </c>
      <c r="Y27" s="282">
        <f>296.3071*(+W!Fak_2)</f>
        <v>2.9630709999999998</v>
      </c>
      <c r="Z27" s="282">
        <f>207.0969*(+W!Fak_2)</f>
        <v>2.0709690000000003</v>
      </c>
      <c r="AA27" s="282">
        <f>203.5937*(+W!Fak_2)</f>
        <v>2.0359370000000001</v>
      </c>
      <c r="AB27" s="282">
        <f>367.3358*(+W!Fak_2)</f>
        <v>3.6733580000000003</v>
      </c>
      <c r="AC27" s="282">
        <f>164.4322*(+W!Fak_2)</f>
        <v>1.6443220000000001</v>
      </c>
      <c r="AD27" s="282">
        <f>1074.3836*(+W!Fak_2)</f>
        <v>10.743836</v>
      </c>
      <c r="AE27" s="282">
        <f>1542.712*(+W!Fak_2)</f>
        <v>15.42712</v>
      </c>
      <c r="AF27" s="282">
        <f>1085.2197*(+W!Fak_2)</f>
        <v>10.852197000000002</v>
      </c>
      <c r="AG27" s="283">
        <f>9210.0107*(+Fak_2)</f>
        <v>92.100107000000008</v>
      </c>
      <c r="AH27" s="159" t="str">
        <f t="shared" si="8"/>
        <v>km²</v>
      </c>
      <c r="AI27" s="160"/>
      <c r="AJ27" s="161">
        <f t="shared" si="9"/>
        <v>0.63397651591431359</v>
      </c>
      <c r="AK27" s="364"/>
    </row>
    <row r="28" spans="2:37" ht="19.5" customHeight="1" thickTop="1" thickBot="1" x14ac:dyDescent="0.35">
      <c r="G28" s="222"/>
      <c r="I28" s="148" t="s">
        <v>7409</v>
      </c>
      <c r="J28" s="282">
        <f>0.5338*(+W!Fak_2)</f>
        <v>5.3380000000000007E-3</v>
      </c>
      <c r="K28" s="282">
        <f>7.5332*(+W!Fak_2)</f>
        <v>7.5331999999999996E-2</v>
      </c>
      <c r="L28" s="282">
        <f>25.1911*(+W!Fak_2)</f>
        <v>0.251911</v>
      </c>
      <c r="M28" s="282">
        <f>0.7202*(+W!Fak_2)</f>
        <v>7.2020000000000001E-3</v>
      </c>
      <c r="N28" s="282">
        <f>1.302*(+W!Fak_2)</f>
        <v>1.302E-2</v>
      </c>
      <c r="O28" s="282">
        <f>2.0635*(+W!Fak_2)</f>
        <v>2.0635000000000001E-2</v>
      </c>
      <c r="P28" s="282">
        <f>0.1366*(+W!Fak_2)</f>
        <v>1.366E-3</v>
      </c>
      <c r="Q28" s="282">
        <f>0.2403*(+W!Fak_2)</f>
        <v>2.4030000000000002E-3</v>
      </c>
      <c r="R28" s="282">
        <f>4.8376*(+W!Fak_2)</f>
        <v>4.8376000000000002E-2</v>
      </c>
      <c r="S28" s="282">
        <f>30.9769*(+W!Fak_2)</f>
        <v>0.30976900000000002</v>
      </c>
      <c r="T28" s="282">
        <f>68.8674*(+W!Fak_2)</f>
        <v>0.68867400000000001</v>
      </c>
      <c r="U28" s="282">
        <f>16.002*(+W!Fak_2)</f>
        <v>0.16002</v>
      </c>
      <c r="V28" s="282">
        <f>8.6657*(+W!Fak_2)</f>
        <v>8.6656999999999998E-2</v>
      </c>
      <c r="W28" s="282">
        <f>7.5354*(+W!Fak_2)</f>
        <v>7.5354000000000004E-2</v>
      </c>
      <c r="X28" s="282">
        <f>2.6346*(+W!Fak_2)</f>
        <v>2.6345999999999998E-2</v>
      </c>
      <c r="Y28" s="282">
        <f>3.3655*(+W!Fak_2)</f>
        <v>3.3654999999999997E-2</v>
      </c>
      <c r="Z28" s="282">
        <f>1.4735*(+W!Fak_2)</f>
        <v>1.4735E-2</v>
      </c>
      <c r="AA28" s="282">
        <f>0.5492*(+W!Fak_2)</f>
        <v>5.4920000000000004E-3</v>
      </c>
      <c r="AB28" s="282">
        <f>18.0294*(+W!Fak_2)</f>
        <v>0.18029399999999998</v>
      </c>
      <c r="AC28" s="282">
        <f>15.3252*(+W!Fak_2)</f>
        <v>0.153252</v>
      </c>
      <c r="AD28" s="282">
        <f>35.5088*(+W!Fak_2)</f>
        <v>0.35508800000000001</v>
      </c>
      <c r="AE28" s="282">
        <f>107.0239*(+W!Fak_2)</f>
        <v>1.0702389999999999</v>
      </c>
      <c r="AF28" s="282">
        <f>31.2548*(+W!Fak_2)</f>
        <v>0.31254799999999999</v>
      </c>
      <c r="AG28" s="283">
        <f>389.7706*(+Fak_2)</f>
        <v>3.8977059999999999</v>
      </c>
      <c r="AH28" s="159" t="str">
        <f t="shared" si="8"/>
        <v>km²</v>
      </c>
      <c r="AI28" s="160"/>
      <c r="AJ28" s="161">
        <f t="shared" si="9"/>
        <v>0.53832389032434647</v>
      </c>
      <c r="AK28" s="364"/>
    </row>
    <row r="29" spans="2:37" ht="19.5" customHeight="1" thickTop="1" x14ac:dyDescent="0.3">
      <c r="G29" s="222"/>
      <c r="I29" s="148" t="s">
        <v>7549</v>
      </c>
      <c r="J29" s="282">
        <f>10.6052*(+W!Fak_2)</f>
        <v>0.10605200000000001</v>
      </c>
      <c r="K29" s="282">
        <f>82.3255*(+W!Fak_2)</f>
        <v>0.82325500000000007</v>
      </c>
      <c r="L29" s="282">
        <f>41.6927*(+W!Fak_2)</f>
        <v>0.41692700000000005</v>
      </c>
      <c r="M29" s="282">
        <f>5.0092*(+W!Fak_2)</f>
        <v>5.0091999999999998E-2</v>
      </c>
      <c r="N29" s="282">
        <f>3.1851*(+W!Fak_2)</f>
        <v>3.1850999999999997E-2</v>
      </c>
      <c r="O29" s="282">
        <f>1.8159*(+W!Fak_2)</f>
        <v>1.8159000000000002E-2</v>
      </c>
      <c r="P29" s="282">
        <f>3.2331*(+W!Fak_2)</f>
        <v>3.2330999999999999E-2</v>
      </c>
      <c r="Q29" s="282">
        <f>0.9652*(+W!Fak_2)</f>
        <v>9.6519999999999991E-3</v>
      </c>
      <c r="R29" s="282">
        <f>7.9604*(+W!Fak_2)</f>
        <v>7.9603999999999994E-2</v>
      </c>
      <c r="S29" s="282">
        <f>61.7091*(+W!Fak_2)</f>
        <v>0.61709100000000006</v>
      </c>
      <c r="T29" s="282">
        <f>135.8496*(+W!Fak_2)</f>
        <v>1.3584960000000001</v>
      </c>
      <c r="U29" s="282">
        <f>36.8834*(+W!Fak_2)</f>
        <v>0.36883400000000005</v>
      </c>
      <c r="V29" s="282">
        <f>81.2546*(+W!Fak_2)</f>
        <v>0.81254599999999999</v>
      </c>
      <c r="W29" s="282">
        <f>52.9181*(+W!Fak_2)</f>
        <v>0.52918100000000001</v>
      </c>
      <c r="X29" s="282">
        <f>16.5247*(+W!Fak_2)</f>
        <v>0.165247</v>
      </c>
      <c r="Y29" s="282">
        <f>26.9591*(+W!Fak_2)</f>
        <v>0.26959100000000003</v>
      </c>
      <c r="Z29" s="282">
        <f>33.9571*(+W!Fak_2)</f>
        <v>0.33957099999999996</v>
      </c>
      <c r="AA29" s="282">
        <f>13.6605*(+W!Fak_2)</f>
        <v>0.136605</v>
      </c>
      <c r="AB29" s="282">
        <f>44.9008*(+W!Fak_2)</f>
        <v>0.44900799999999996</v>
      </c>
      <c r="AC29" s="282">
        <f>14.6161*(+W!Fak_2)</f>
        <v>0.14616099999999999</v>
      </c>
      <c r="AD29" s="282">
        <f>80.4673*(+W!Fak_2)</f>
        <v>0.80467299999999997</v>
      </c>
      <c r="AE29" s="282">
        <f>143.4208*(+W!Fak_2)</f>
        <v>1.4342080000000001</v>
      </c>
      <c r="AF29" s="282">
        <f>55.4922*(+W!Fak_2)</f>
        <v>0.55492200000000003</v>
      </c>
      <c r="AG29" s="204">
        <f>955.4057*(+Fak_2)</f>
        <v>9.5540570000000002</v>
      </c>
      <c r="AH29" s="159" t="str">
        <f t="shared" si="8"/>
        <v>km²</v>
      </c>
      <c r="AI29" s="160"/>
      <c r="AJ29" s="161">
        <f t="shared" si="9"/>
        <v>0.27099248169876888</v>
      </c>
      <c r="AK29" s="364"/>
    </row>
    <row r="30" spans="2:37" ht="19.5" customHeight="1" x14ac:dyDescent="0.3">
      <c r="G30" s="222"/>
      <c r="I30" s="148" t="s">
        <v>7519</v>
      </c>
      <c r="J30" s="282">
        <f>0*(+W!Fak_2)</f>
        <v>0</v>
      </c>
      <c r="K30" s="282">
        <f>5.247*(+W!Fak_2)</f>
        <v>5.2470000000000003E-2</v>
      </c>
      <c r="L30" s="282">
        <f>0.0126*(+W!Fak_2)</f>
        <v>1.26E-4</v>
      </c>
      <c r="M30" s="282">
        <f>0*(+W!Fak_2)</f>
        <v>0</v>
      </c>
      <c r="N30" s="282">
        <f>0*(+W!Fak_2)</f>
        <v>0</v>
      </c>
      <c r="O30" s="282">
        <f>0*(+W!Fak_2)</f>
        <v>0</v>
      </c>
      <c r="P30" s="282">
        <f>0*(+W!Fak_2)</f>
        <v>0</v>
      </c>
      <c r="Q30" s="282">
        <f>0*(+W!Fak_2)</f>
        <v>0</v>
      </c>
      <c r="R30" s="282">
        <f>0.1198*(+W!Fak_2)</f>
        <v>1.1980000000000001E-3</v>
      </c>
      <c r="S30" s="282">
        <f>1.422*(+W!Fak_2)</f>
        <v>1.422E-2</v>
      </c>
      <c r="T30" s="282">
        <f>0.6007*(+W!Fak_2)</f>
        <v>6.0070000000000002E-3</v>
      </c>
      <c r="U30" s="282">
        <f>0.1424*(+W!Fak_2)</f>
        <v>1.4239999999999999E-3</v>
      </c>
      <c r="V30" s="282">
        <f>1.4569*(+W!Fak_2)</f>
        <v>1.4569E-2</v>
      </c>
      <c r="W30" s="282">
        <f>1.2219*(+W!Fak_2)</f>
        <v>1.2219000000000001E-2</v>
      </c>
      <c r="X30" s="282">
        <f>0*(+W!Fak_2)</f>
        <v>0</v>
      </c>
      <c r="Y30" s="282">
        <f>0.271*(+W!Fak_2)</f>
        <v>2.7100000000000002E-3</v>
      </c>
      <c r="Z30" s="282">
        <f>0*(+W!Fak_2)</f>
        <v>0</v>
      </c>
      <c r="AA30" s="282">
        <f>0.0067*(+W!Fak_2)</f>
        <v>6.7000000000000002E-5</v>
      </c>
      <c r="AB30" s="282">
        <f>0.4362*(+W!Fak_2)</f>
        <v>4.3619999999999996E-3</v>
      </c>
      <c r="AC30" s="282">
        <f>0.0001*(+W!Fak_2)</f>
        <v>1.0000000000000002E-6</v>
      </c>
      <c r="AD30" s="282">
        <f>3.8574*(+W!Fak_2)</f>
        <v>3.8574000000000004E-2</v>
      </c>
      <c r="AE30" s="282">
        <f>11.279*(+W!Fak_2)</f>
        <v>0.11279</v>
      </c>
      <c r="AF30" s="282">
        <f>1.8186*(+W!Fak_2)</f>
        <v>1.8186000000000001E-2</v>
      </c>
      <c r="AG30" s="204">
        <f>27.8923*(+Fak_2)</f>
        <v>0.27892299999999998</v>
      </c>
      <c r="AH30" s="159" t="str">
        <f t="shared" si="8"/>
        <v>km²</v>
      </c>
      <c r="AI30" s="160"/>
      <c r="AJ30" s="161">
        <f t="shared" si="9"/>
        <v>0.15505037079925651</v>
      </c>
      <c r="AK30" s="364"/>
    </row>
    <row r="31" spans="2:37" ht="19.5" customHeight="1" x14ac:dyDescent="0.3">
      <c r="G31" s="222"/>
      <c r="I31" s="148"/>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159"/>
      <c r="AI31" s="160"/>
      <c r="AJ31" s="189"/>
      <c r="AK31" s="147"/>
    </row>
    <row r="32" spans="2:37" ht="19.5" customHeight="1" x14ac:dyDescent="0.3">
      <c r="G32" s="144"/>
      <c r="I32" s="148" t="s">
        <v>7514</v>
      </c>
      <c r="J32" s="282">
        <f t="shared" ref="J32:AG32" si="10">+VS_gesamt*10000/EW</f>
        <v>158.99343949044587</v>
      </c>
      <c r="K32" s="282">
        <f t="shared" ref="K32:R32" si="11">+VS_gesamt*10000/EW</f>
        <v>72.743265703805591</v>
      </c>
      <c r="L32" s="282">
        <f t="shared" si="11"/>
        <v>63.293501450759514</v>
      </c>
      <c r="M32" s="282">
        <f t="shared" si="11"/>
        <v>46.274426636774017</v>
      </c>
      <c r="N32" s="282">
        <f t="shared" si="11"/>
        <v>33.944110476261379</v>
      </c>
      <c r="O32" s="282">
        <f t="shared" si="11"/>
        <v>42.895277472704954</v>
      </c>
      <c r="P32" s="282">
        <f t="shared" si="11"/>
        <v>47.547340867011428</v>
      </c>
      <c r="Q32" s="282">
        <f t="shared" si="11"/>
        <v>40.588656000661459</v>
      </c>
      <c r="R32" s="282">
        <f t="shared" si="11"/>
        <v>61.984051036682615</v>
      </c>
      <c r="S32" s="282">
        <f t="shared" si="10"/>
        <v>60.076181950955217</v>
      </c>
      <c r="T32" s="282">
        <f t="shared" si="10"/>
        <v>118.0144327758819</v>
      </c>
      <c r="U32" s="282">
        <f t="shared" si="10"/>
        <v>55.865946950739975</v>
      </c>
      <c r="V32" s="282">
        <f t="shared" si="10"/>
        <v>123.57115587761078</v>
      </c>
      <c r="W32" s="282">
        <f t="shared" si="10"/>
        <v>82.499424663132203</v>
      </c>
      <c r="X32" s="282">
        <f t="shared" si="10"/>
        <v>41.928260725854436</v>
      </c>
      <c r="Y32" s="282">
        <f t="shared" si="10"/>
        <v>45.811566540073592</v>
      </c>
      <c r="Z32" s="282">
        <f t="shared" si="10"/>
        <v>61.179615810333132</v>
      </c>
      <c r="AA32" s="282">
        <f t="shared" si="10"/>
        <v>60.310134670205443</v>
      </c>
      <c r="AB32" s="282">
        <f t="shared" si="10"/>
        <v>86.613986165446093</v>
      </c>
      <c r="AC32" s="282">
        <f t="shared" si="10"/>
        <v>40.262918634797742</v>
      </c>
      <c r="AD32" s="282">
        <f t="shared" si="10"/>
        <v>95.407234054493927</v>
      </c>
      <c r="AE32" s="282">
        <f t="shared" si="10"/>
        <v>126.08435260005004</v>
      </c>
      <c r="AF32" s="282">
        <f t="shared" si="10"/>
        <v>134.99657908903052</v>
      </c>
      <c r="AG32" s="282">
        <f t="shared" si="10"/>
        <v>79.317093197169399</v>
      </c>
      <c r="AH32" s="224" t="s">
        <v>7513</v>
      </c>
      <c r="AI32" s="147"/>
      <c r="AJ32" s="147"/>
      <c r="AK32" s="147"/>
    </row>
    <row r="33" spans="7:37" ht="19.5" customHeight="1" x14ac:dyDescent="0.3">
      <c r="G33" s="144"/>
      <c r="I33" s="148" t="s">
        <v>7472</v>
      </c>
      <c r="J33" s="285">
        <f>100*Fak_Einheit*VS_gesamt/W!DSR</f>
        <v>87.057659149885012</v>
      </c>
      <c r="K33" s="285">
        <f>100*Fak_Einheit*VS_gesamt/W!DSR</f>
        <v>47.329626869914556</v>
      </c>
      <c r="L33" s="285">
        <f>100*Fak_Einheit*VS_gesamt/W!DSR</f>
        <v>80.095718222928454</v>
      </c>
      <c r="M33" s="285">
        <f>100*Fak_Einheit*VS_gesamt/W!DSR</f>
        <v>84.48058020330555</v>
      </c>
      <c r="N33" s="285">
        <f>100*Fak_Einheit*VS_gesamt/W!DSR</f>
        <v>90.556749193373122</v>
      </c>
      <c r="O33" s="285">
        <f>100*Fak_Einheit*VS_gesamt/W!DSR</f>
        <v>91.314621018138354</v>
      </c>
      <c r="P33" s="285">
        <f>100*Fak_Einheit*VS_gesamt/W!DSR</f>
        <v>92.664048433014628</v>
      </c>
      <c r="Q33" s="285">
        <f>100*Fak_Einheit*VS_gesamt/W!DSR</f>
        <v>90.125731272553452</v>
      </c>
      <c r="R33" s="285">
        <f>100*Fak_Einheit*VS_gesamt/W!DSR</f>
        <v>86.487615582730911</v>
      </c>
      <c r="S33" s="285">
        <f>100*Fak_Einheit*VS_gesamt/W!DSR</f>
        <v>41.706565271885871</v>
      </c>
      <c r="T33" s="285">
        <f>100*Fak_Einheit*VS_gesamt/W!DSR</f>
        <v>53.606664005989451</v>
      </c>
      <c r="U33" s="285">
        <f>100*Fak_Einheit*VS_gesamt/W!DSR</f>
        <v>68.298602815357967</v>
      </c>
      <c r="V33" s="285">
        <f>100*Fak_Einheit*VS_gesamt/W!DSR</f>
        <v>36.005248719430767</v>
      </c>
      <c r="W33" s="285">
        <f>100*Fak_Einheit*VS_gesamt/W!DSR</f>
        <v>42.327881392071312</v>
      </c>
      <c r="X33" s="285">
        <f>100*Fak_Einheit*VS_gesamt/W!DSR</f>
        <v>80.841516119012525</v>
      </c>
      <c r="Y33" s="285">
        <f>100*Fak_Einheit*VS_gesamt/W!DSR</f>
        <v>66.180179223456093</v>
      </c>
      <c r="Z33" s="285">
        <f>100*Fak_Einheit*VS_gesamt/W!DSR</f>
        <v>45.315303250548737</v>
      </c>
      <c r="AA33" s="285">
        <f>100*Fak_Einheit*VS_gesamt/W!DSR</f>
        <v>53.473494789625207</v>
      </c>
      <c r="AB33" s="285">
        <f>100*Fak_Einheit*VS_gesamt/W!DSR</f>
        <v>34.755102629970303</v>
      </c>
      <c r="AC33" s="285">
        <f>100*Fak_Einheit*VS_gesamt/W!DSR</f>
        <v>72.863285192465909</v>
      </c>
      <c r="AD33" s="285">
        <f>100*Fak_Einheit*VS_gesamt/W!DSR</f>
        <v>39.321970983738915</v>
      </c>
      <c r="AE33" s="285">
        <f>100*Fak_Einheit*VS_gesamt/W!DSR</f>
        <v>32.219048646793944</v>
      </c>
      <c r="AF33" s="285">
        <f>100*Fak_Einheit*VS_gesamt/W!DSR</f>
        <v>55.334463414393916</v>
      </c>
      <c r="AG33" s="285">
        <f>100*Fak_Einheit*VS_gesamt/W!DSR</f>
        <v>0.45827845797194211</v>
      </c>
      <c r="AH33" s="210" t="s">
        <v>7418</v>
      </c>
      <c r="AI33" s="147"/>
      <c r="AJ33" s="147"/>
      <c r="AK33" s="147"/>
    </row>
    <row r="34" spans="7:37" ht="19.5" customHeight="1" x14ac:dyDescent="0.3">
      <c r="G34" s="144"/>
      <c r="I34" s="148"/>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10"/>
      <c r="AI34" s="147"/>
      <c r="AJ34" s="147"/>
      <c r="AK34" s="147"/>
    </row>
    <row r="35" spans="7:37" ht="19.5" customHeight="1" x14ac:dyDescent="0.3">
      <c r="G35" s="144"/>
      <c r="I35" s="369" t="s">
        <v>7415</v>
      </c>
      <c r="J35" s="369"/>
      <c r="K35" s="369"/>
      <c r="L35" s="369"/>
      <c r="M35" s="369"/>
      <c r="N35" s="369"/>
      <c r="O35" s="369"/>
      <c r="P35" s="369"/>
      <c r="Q35" s="369"/>
      <c r="R35" s="369"/>
      <c r="S35" s="369"/>
      <c r="T35" s="369"/>
      <c r="U35" s="369"/>
      <c r="V35" s="285"/>
      <c r="W35" s="285"/>
      <c r="X35" s="285"/>
      <c r="Y35" s="285"/>
      <c r="Z35" s="285"/>
      <c r="AA35" s="285"/>
      <c r="AB35" s="285"/>
      <c r="AC35" s="285"/>
      <c r="AD35" s="285"/>
      <c r="AE35" s="285"/>
      <c r="AF35" s="285"/>
      <c r="AG35" s="285"/>
      <c r="AH35" s="210"/>
      <c r="AI35" s="147"/>
      <c r="AJ35" s="147"/>
      <c r="AK35" s="147"/>
    </row>
    <row r="36" spans="7:37" ht="19.5" customHeight="1" x14ac:dyDescent="0.3">
      <c r="G36" s="144"/>
      <c r="I36" s="148"/>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10"/>
      <c r="AI36" s="147"/>
      <c r="AJ36" s="147"/>
      <c r="AK36" s="147"/>
    </row>
    <row r="37" spans="7:37" ht="19.5" customHeight="1" x14ac:dyDescent="0.3">
      <c r="G37" s="144"/>
      <c r="I37" s="148"/>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10"/>
      <c r="AI37" s="147"/>
      <c r="AJ37" s="147"/>
      <c r="AK37" s="147"/>
    </row>
    <row r="38" spans="7:37" ht="90.75" customHeight="1" x14ac:dyDescent="0.4">
      <c r="G38" s="144"/>
      <c r="I38" s="148"/>
      <c r="J38" s="337" t="str">
        <f t="shared" ref="J38:AF38" si="12">J24</f>
        <v>Wien  1., Innere Stadt</v>
      </c>
      <c r="K38" s="337" t="str">
        <f t="shared" si="12"/>
        <v>Wien  2., Leopoldstadt</v>
      </c>
      <c r="L38" s="337" t="str">
        <f t="shared" si="12"/>
        <v>Wien  3., Landstraße</v>
      </c>
      <c r="M38" s="337" t="str">
        <f t="shared" si="12"/>
        <v>Wien  4., Wieden</v>
      </c>
      <c r="N38" s="337" t="str">
        <f t="shared" si="12"/>
        <v>Wien  5., Margareten</v>
      </c>
      <c r="O38" s="337" t="str">
        <f t="shared" si="12"/>
        <v>Wien  6., Mariahilf</v>
      </c>
      <c r="P38" s="337" t="str">
        <f t="shared" si="12"/>
        <v>Wien  7., Neubau</v>
      </c>
      <c r="Q38" s="337" t="str">
        <f t="shared" si="12"/>
        <v>Wien  8., Josefstadt</v>
      </c>
      <c r="R38" s="337" t="str">
        <f t="shared" si="12"/>
        <v>Wien  9., Alsergrund</v>
      </c>
      <c r="S38" s="337" t="str">
        <f t="shared" si="12"/>
        <v>Wien  10., Favoriten</v>
      </c>
      <c r="T38" s="337" t="str">
        <f t="shared" si="12"/>
        <v>Wien  11., Simmering</v>
      </c>
      <c r="U38" s="337" t="str">
        <f t="shared" si="12"/>
        <v>Wien  12., Meidling</v>
      </c>
      <c r="V38" s="337" t="str">
        <f t="shared" si="12"/>
        <v>Wien  13., Hietzing</v>
      </c>
      <c r="W38" s="337" t="str">
        <f t="shared" si="12"/>
        <v>Wien  14., Penzing</v>
      </c>
      <c r="X38" s="337" t="str">
        <f t="shared" si="12"/>
        <v>Wien  15., Rudolfsheim-Fünfhaus</v>
      </c>
      <c r="Y38" s="337" t="str">
        <f t="shared" si="12"/>
        <v>Wien  16., Ottakring</v>
      </c>
      <c r="Z38" s="337" t="str">
        <f t="shared" si="12"/>
        <v>Wien  17., Hernals</v>
      </c>
      <c r="AA38" s="337" t="str">
        <f t="shared" si="12"/>
        <v>Wien  18., Währing</v>
      </c>
      <c r="AB38" s="337" t="str">
        <f t="shared" si="12"/>
        <v>Wien  19., Döbling</v>
      </c>
      <c r="AC38" s="337" t="str">
        <f t="shared" si="12"/>
        <v>Wien  20., Brigittenau</v>
      </c>
      <c r="AD38" s="337" t="str">
        <f t="shared" si="12"/>
        <v>Wien  21., Floridsdorf</v>
      </c>
      <c r="AE38" s="337" t="str">
        <f t="shared" si="12"/>
        <v>Wien  22., Donaustadt</v>
      </c>
      <c r="AF38" s="337" t="str">
        <f t="shared" si="12"/>
        <v>Wien  23., Liesing</v>
      </c>
      <c r="AG38" s="277" t="str">
        <f>W!BL</f>
        <v>W</v>
      </c>
      <c r="AH38" s="339"/>
      <c r="AI38" s="210"/>
      <c r="AJ38" s="147"/>
      <c r="AK38" s="147"/>
    </row>
    <row r="39" spans="7:37"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36"/>
      <c r="AI39" s="147"/>
      <c r="AJ39" s="147"/>
      <c r="AK39" s="147"/>
    </row>
    <row r="40" spans="7:37" ht="19.5" customHeight="1" x14ac:dyDescent="0.3">
      <c r="G40" s="144"/>
      <c r="I40" s="148"/>
      <c r="J40" s="191">
        <f>Fak_1*141.07134</f>
        <v>1.4107133999999999</v>
      </c>
      <c r="K40" s="191">
        <f>Fak_1*515.008453</f>
        <v>5.15008453</v>
      </c>
      <c r="L40" s="191">
        <f>Fak_1*401.166648</f>
        <v>4.0116664800000006</v>
      </c>
      <c r="M40" s="191">
        <f>Fak_1*112.561981</f>
        <v>1.1256198100000001</v>
      </c>
      <c r="N40" s="191">
        <f>Fak_1*126.607265</f>
        <v>1.2660726499999999</v>
      </c>
      <c r="O40" s="191">
        <f>Fak_1*92.981118</f>
        <v>0.92981117999999996</v>
      </c>
      <c r="P40" s="191">
        <f>Fak_1*115.119367</f>
        <v>1.1511936700000001</v>
      </c>
      <c r="Q40" s="191">
        <f>Fak_1*76.320816</f>
        <v>0.76320815999999991</v>
      </c>
      <c r="R40" s="191">
        <f>Fak_1*173.984512</f>
        <v>1.73984512</v>
      </c>
      <c r="S40" s="191">
        <f>Fak_1*1091.841182</f>
        <v>10.918411819999999</v>
      </c>
      <c r="T40" s="191">
        <f>Fak_1*1032.615367</f>
        <v>10.326153670000002</v>
      </c>
      <c r="U40" s="191">
        <f>Fak_1*461.192447</f>
        <v>4.6119244699999999</v>
      </c>
      <c r="V40" s="191">
        <f>Fak_1*818.749029</f>
        <v>8.1874902899999995</v>
      </c>
      <c r="W40" s="191">
        <f>Fak_1*903.748798</f>
        <v>9.0374879799999999</v>
      </c>
      <c r="X40" s="191">
        <f>Fak_1*206.759071</f>
        <v>2.0675907100000002</v>
      </c>
      <c r="Y40" s="191">
        <f>Fak_1*433.359366</f>
        <v>4.33359366</v>
      </c>
      <c r="Z40" s="191">
        <f>Fak_1*376.187477</f>
        <v>3.7618747699999999</v>
      </c>
      <c r="AA40" s="191">
        <f>Fak_1*372.563561</f>
        <v>3.7256356099999999</v>
      </c>
      <c r="AB40" s="191">
        <f>Fak_1*748.010292</f>
        <v>7.4801029200000002</v>
      </c>
      <c r="AC40" s="191">
        <f>Fak_1*203.535496</f>
        <v>2.0353549599999998</v>
      </c>
      <c r="AD40" s="191">
        <f>Fak_1*1829.58594</f>
        <v>18.295859400000001</v>
      </c>
      <c r="AE40" s="191">
        <f>Fak_1*2760.447754</f>
        <v>27.604477539999998</v>
      </c>
      <c r="AF40" s="191">
        <f>Fak_1*1722.302906</f>
        <v>17.223029059999998</v>
      </c>
      <c r="AG40" s="191">
        <f>Fak_1*14715.720184</f>
        <v>147.15720184</v>
      </c>
      <c r="AH40" s="210"/>
      <c r="AI40" s="147"/>
      <c r="AJ40" s="147"/>
      <c r="AK40" s="147"/>
    </row>
    <row r="41" spans="7:37" ht="19.5" customHeight="1" x14ac:dyDescent="0.3">
      <c r="G41" s="144"/>
      <c r="I41" s="148"/>
      <c r="J41" s="378" t="s">
        <v>7548</v>
      </c>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36"/>
      <c r="AI41" s="147"/>
      <c r="AJ41" s="147"/>
      <c r="AK41" s="147"/>
    </row>
    <row r="42" spans="7:37" ht="19.5" customHeight="1" x14ac:dyDescent="0.3">
      <c r="G42" s="144"/>
      <c r="I42" s="307"/>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210"/>
      <c r="AI42" s="147"/>
      <c r="AJ42" s="147"/>
      <c r="AK42" s="147"/>
    </row>
    <row r="43" spans="7:37" ht="19.5" customHeight="1" x14ac:dyDescent="0.3">
      <c r="G43" s="144"/>
      <c r="I43" s="307" t="s">
        <v>7546</v>
      </c>
      <c r="J43" s="191">
        <f t="shared" ref="J43:AG43" si="13">100*J44/Baulandwidmung</f>
        <v>1.1595558672654558</v>
      </c>
      <c r="K43" s="191">
        <f t="shared" si="13"/>
        <v>4.5113739133132249</v>
      </c>
      <c r="L43" s="191">
        <f t="shared" si="13"/>
        <v>4.9096733485182442</v>
      </c>
      <c r="M43" s="191">
        <f t="shared" si="13"/>
        <v>2.3944505738576152</v>
      </c>
      <c r="N43" s="191">
        <f t="shared" si="13"/>
        <v>0.92234675474586725</v>
      </c>
      <c r="O43" s="191">
        <f t="shared" si="13"/>
        <v>0.66739786888774566</v>
      </c>
      <c r="P43" s="191">
        <f t="shared" si="13"/>
        <v>0.44092059679237111</v>
      </c>
      <c r="Q43" s="191">
        <f t="shared" si="13"/>
        <v>1.4234648644217851</v>
      </c>
      <c r="R43" s="191">
        <f t="shared" si="13"/>
        <v>0.90377354968239931</v>
      </c>
      <c r="S43" s="191">
        <f t="shared" si="13"/>
        <v>6.8353132516300343</v>
      </c>
      <c r="T43" s="191">
        <f t="shared" si="13"/>
        <v>7.9028410391649722</v>
      </c>
      <c r="U43" s="191">
        <f t="shared" si="13"/>
        <v>4.8418132485157548</v>
      </c>
      <c r="V43" s="191">
        <f t="shared" si="13"/>
        <v>6.8663684485420013</v>
      </c>
      <c r="W43" s="191">
        <f t="shared" si="13"/>
        <v>8.059810443034193</v>
      </c>
      <c r="X43" s="191">
        <f t="shared" si="13"/>
        <v>1.2335284675369815</v>
      </c>
      <c r="Y43" s="191">
        <f t="shared" si="13"/>
        <v>6.1131700566499356</v>
      </c>
      <c r="Z43" s="191">
        <f t="shared" si="13"/>
        <v>10.454187447606078</v>
      </c>
      <c r="AA43" s="191">
        <f t="shared" si="13"/>
        <v>8.0329984284211857</v>
      </c>
      <c r="AB43" s="191">
        <f t="shared" si="13"/>
        <v>9.7633219463777117</v>
      </c>
      <c r="AC43" s="191">
        <f t="shared" si="13"/>
        <v>1.9219085009132757</v>
      </c>
      <c r="AD43" s="191">
        <f t="shared" si="13"/>
        <v>8.8385761206713251</v>
      </c>
      <c r="AE43" s="191">
        <f t="shared" si="13"/>
        <v>10.763121401934711</v>
      </c>
      <c r="AF43" s="191">
        <f t="shared" si="13"/>
        <v>7.7177115905069495</v>
      </c>
      <c r="AG43" s="191">
        <f t="shared" si="13"/>
        <v>7.6572774754521662</v>
      </c>
      <c r="AH43" s="210"/>
      <c r="AI43" s="147"/>
      <c r="AJ43" s="147"/>
      <c r="AK43" s="147"/>
    </row>
    <row r="44" spans="7:37" ht="19.5" customHeight="1" x14ac:dyDescent="0.3">
      <c r="G44" s="144"/>
      <c r="I44" s="152" t="str">
        <f>"in " &amp; Einheit</f>
        <v>in km²</v>
      </c>
      <c r="J44" s="191">
        <f>Fak_1*1.635801</f>
        <v>1.6358009999999999E-2</v>
      </c>
      <c r="K44" s="191">
        <f>Fak_1*23.233957</f>
        <v>0.23233957</v>
      </c>
      <c r="L44" s="191">
        <f>Fak_1*19.695972</f>
        <v>0.19695972</v>
      </c>
      <c r="M44" s="191">
        <f>Fak_1*2.695241</f>
        <v>2.6952410000000003E-2</v>
      </c>
      <c r="N44" s="191">
        <f>Fak_1*1.167758</f>
        <v>1.1677580000000002E-2</v>
      </c>
      <c r="O44" s="191">
        <f>Fak_1*0.620554</f>
        <v>6.2055400000000007E-3</v>
      </c>
      <c r="P44" s="191">
        <f>Fak_1*0.507585</f>
        <v>5.0758499999999998E-3</v>
      </c>
      <c r="Q44" s="191">
        <f>Fak_1*1.0864</f>
        <v>1.0864E-2</v>
      </c>
      <c r="R44" s="191">
        <f>Fak_1*1.572426</f>
        <v>1.572426E-2</v>
      </c>
      <c r="S44" s="191">
        <f>Fak_1*74.630765</f>
        <v>0.74630764999999999</v>
      </c>
      <c r="T44" s="191">
        <f>Fak_1*81.605951</f>
        <v>0.8160595100000001</v>
      </c>
      <c r="U44" s="191">
        <f>Fak_1*22.330077</f>
        <v>0.22330077000000001</v>
      </c>
      <c r="V44" s="191">
        <f>Fak_1*56.218325</f>
        <v>0.56218325000000002</v>
      </c>
      <c r="W44" s="191">
        <f>Fak_1*72.84044</f>
        <v>0.72840440000000006</v>
      </c>
      <c r="X44" s="191">
        <f>Fak_1*2.550432</f>
        <v>2.5504319999999997E-2</v>
      </c>
      <c r="Y44" s="191">
        <f>Fak_1*26.491995</f>
        <v>0.26491995000000002</v>
      </c>
      <c r="Z44" s="191">
        <f>Fak_1*39.327344</f>
        <v>0.39327343999999997</v>
      </c>
      <c r="AA44" s="191">
        <f>Fak_1*29.928025</f>
        <v>0.29928025000000003</v>
      </c>
      <c r="AB44" s="191">
        <f>Fak_1*73.030653</f>
        <v>0.73030653000000001</v>
      </c>
      <c r="AC44" s="191">
        <f>Fak_1*3.911766</f>
        <v>3.9117659999999999E-2</v>
      </c>
      <c r="AD44" s="191">
        <f>Fak_1*161.709346</f>
        <v>1.6170934600000002</v>
      </c>
      <c r="AE44" s="191">
        <f>Fak_1*297.110343</f>
        <v>2.9711034299999999</v>
      </c>
      <c r="AF44" s="191">
        <f>Fak_1*132.922371</f>
        <v>1.3292237099999999</v>
      </c>
      <c r="AG44" s="191">
        <f>Fak_1*1126.823527</f>
        <v>11.26823527</v>
      </c>
      <c r="AH44" s="210"/>
      <c r="AI44" s="147"/>
      <c r="AJ44" s="147"/>
      <c r="AK44" s="147"/>
    </row>
    <row r="45" spans="7:37" ht="19.5" customHeight="1" x14ac:dyDescent="0.3">
      <c r="G45" s="144"/>
      <c r="I45" s="148"/>
      <c r="J45" s="378" t="s">
        <v>7476</v>
      </c>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36"/>
      <c r="AI45" s="147"/>
      <c r="AJ45" s="147"/>
      <c r="AK45" s="147"/>
    </row>
    <row r="46" spans="7:37" ht="19.5" customHeight="1" x14ac:dyDescent="0.3">
      <c r="G46" s="144"/>
      <c r="I46" s="148"/>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210"/>
      <c r="AI46" s="147"/>
      <c r="AJ46" s="147"/>
      <c r="AK46" s="147"/>
    </row>
    <row r="47" spans="7:37" ht="19.5" customHeight="1" x14ac:dyDescent="0.3">
      <c r="G47" s="144"/>
      <c r="I47" s="307" t="s">
        <v>7546</v>
      </c>
      <c r="J47" s="191">
        <f t="shared" ref="J47:AG47" si="14">100*J48/Baulandwidmung</f>
        <v>0</v>
      </c>
      <c r="K47" s="191">
        <f t="shared" si="14"/>
        <v>1.0734386916946392E-2</v>
      </c>
      <c r="L47" s="191">
        <f t="shared" si="14"/>
        <v>0</v>
      </c>
      <c r="M47" s="191">
        <f t="shared" si="14"/>
        <v>0</v>
      </c>
      <c r="N47" s="191">
        <f t="shared" si="14"/>
        <v>0</v>
      </c>
      <c r="O47" s="191">
        <f t="shared" si="14"/>
        <v>0</v>
      </c>
      <c r="P47" s="191">
        <f t="shared" si="14"/>
        <v>0</v>
      </c>
      <c r="Q47" s="191">
        <f t="shared" si="14"/>
        <v>0</v>
      </c>
      <c r="R47" s="191">
        <f t="shared" si="14"/>
        <v>3.2416678560445657E-3</v>
      </c>
      <c r="S47" s="191">
        <f t="shared" si="14"/>
        <v>0.96878961651036166</v>
      </c>
      <c r="T47" s="191">
        <f t="shared" si="14"/>
        <v>1.9932089583168091</v>
      </c>
      <c r="U47" s="191">
        <f t="shared" si="14"/>
        <v>3.7086253496254676E-2</v>
      </c>
      <c r="V47" s="191">
        <f t="shared" si="14"/>
        <v>0.11530725125293555</v>
      </c>
      <c r="W47" s="191">
        <f t="shared" si="14"/>
        <v>8.9834144376920111E-2</v>
      </c>
      <c r="X47" s="191">
        <f t="shared" si="14"/>
        <v>0</v>
      </c>
      <c r="Y47" s="191">
        <f t="shared" si="14"/>
        <v>1.2365487907788752E-2</v>
      </c>
      <c r="Z47" s="191">
        <f t="shared" si="14"/>
        <v>0.19311940041002482</v>
      </c>
      <c r="AA47" s="191">
        <f t="shared" si="14"/>
        <v>2.5631331132783541E-2</v>
      </c>
      <c r="AB47" s="191">
        <f t="shared" si="14"/>
        <v>0.1513108859737454</v>
      </c>
      <c r="AC47" s="191">
        <f t="shared" si="14"/>
        <v>0</v>
      </c>
      <c r="AD47" s="191">
        <f t="shared" si="14"/>
        <v>2.0453392312361123</v>
      </c>
      <c r="AE47" s="191">
        <f t="shared" si="14"/>
        <v>3.6374301181575635</v>
      </c>
      <c r="AF47" s="191">
        <f t="shared" si="14"/>
        <v>0.87044973028687456</v>
      </c>
      <c r="AG47" s="191">
        <f t="shared" si="14"/>
        <v>1.2773925207166061</v>
      </c>
      <c r="AH47" s="210"/>
      <c r="AI47" s="147"/>
      <c r="AJ47" s="147"/>
      <c r="AK47" s="147"/>
    </row>
    <row r="48" spans="7:37" ht="19.5" customHeight="1" x14ac:dyDescent="0.3">
      <c r="G48" s="144"/>
      <c r="I48" s="152" t="str">
        <f>"in " &amp; Einheit</f>
        <v>in km²</v>
      </c>
      <c r="J48" s="191">
        <f>Fak_1*0</f>
        <v>0</v>
      </c>
      <c r="K48" s="191">
        <f>Fak_1*0.055283</f>
        <v>5.5283000000000003E-4</v>
      </c>
      <c r="L48" s="191">
        <f t="shared" ref="L48:Q48" si="15">Fak_1*0</f>
        <v>0</v>
      </c>
      <c r="M48" s="191">
        <f t="shared" si="15"/>
        <v>0</v>
      </c>
      <c r="N48" s="191">
        <f t="shared" si="15"/>
        <v>0</v>
      </c>
      <c r="O48" s="191">
        <f t="shared" si="15"/>
        <v>0</v>
      </c>
      <c r="P48" s="191">
        <f t="shared" si="15"/>
        <v>0</v>
      </c>
      <c r="Q48" s="191">
        <f t="shared" si="15"/>
        <v>0</v>
      </c>
      <c r="R48" s="191">
        <f>Fak_1*0.00564</f>
        <v>5.6400000000000002E-5</v>
      </c>
      <c r="S48" s="191">
        <f>Fak_1*10.577644</f>
        <v>0.10577644</v>
      </c>
      <c r="T48" s="191">
        <f>Fak_1*20.582182</f>
        <v>0.20582181999999999</v>
      </c>
      <c r="U48" s="191">
        <f>Fak_1*0.171039</f>
        <v>1.71039E-3</v>
      </c>
      <c r="V48" s="191">
        <f>Fak_1*0.944077</f>
        <v>9.4407700000000011E-3</v>
      </c>
      <c r="W48" s="191">
        <f>Fak_1*0.811875</f>
        <v>8.118750000000001E-3</v>
      </c>
      <c r="X48" s="191">
        <f>Fak_1*0</f>
        <v>0</v>
      </c>
      <c r="Y48" s="191">
        <f>Fak_1*0.053587</f>
        <v>5.3587000000000003E-4</v>
      </c>
      <c r="Z48" s="191">
        <f>Fak_1*0.726491</f>
        <v>7.2649100000000003E-3</v>
      </c>
      <c r="AA48" s="191">
        <f>Fak_1*0.095493</f>
        <v>9.5492999999999999E-4</v>
      </c>
      <c r="AB48" s="191">
        <f>Fak_1*1.131821</f>
        <v>1.131821E-2</v>
      </c>
      <c r="AC48" s="191">
        <f>Fak_1*0</f>
        <v>0</v>
      </c>
      <c r="AD48" s="191">
        <f>Fak_1*37.421239</f>
        <v>0.37421239000000001</v>
      </c>
      <c r="AE48" s="191">
        <f>Fak_1*100.409358</f>
        <v>1.0040935799999999</v>
      </c>
      <c r="AF48" s="191">
        <f>Fak_1*14.991781</f>
        <v>0.14991781000000001</v>
      </c>
      <c r="AG48" s="191">
        <f>Fak_1*187.977509</f>
        <v>1.8797750900000001</v>
      </c>
      <c r="AH48" s="210"/>
      <c r="AI48" s="147"/>
      <c r="AJ48" s="147"/>
      <c r="AK48" s="147"/>
    </row>
    <row r="49" spans="1:83" ht="19.5" customHeight="1" x14ac:dyDescent="0.3">
      <c r="G49" s="144"/>
      <c r="I49" s="148"/>
      <c r="J49" s="378" t="s">
        <v>7420</v>
      </c>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36"/>
      <c r="AI49" s="147"/>
      <c r="AJ49" s="147"/>
      <c r="AK49" s="147"/>
    </row>
    <row r="50" spans="1:83" ht="19.5" customHeight="1" x14ac:dyDescent="0.3">
      <c r="G50" s="144"/>
      <c r="I50" s="307"/>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210"/>
      <c r="AI50" s="147"/>
      <c r="AJ50" s="147"/>
      <c r="AK50" s="147"/>
    </row>
    <row r="51" spans="1:83" ht="19.5" customHeight="1" x14ac:dyDescent="0.3">
      <c r="G51" s="144"/>
      <c r="I51" s="307" t="s">
        <v>7546</v>
      </c>
      <c r="J51" s="191">
        <f t="shared" ref="J51:AG51" si="16">100*J52/Baulandwidmung</f>
        <v>84.522399092544248</v>
      </c>
      <c r="K51" s="191">
        <f t="shared" si="16"/>
        <v>44.612985216380515</v>
      </c>
      <c r="L51" s="191">
        <f t="shared" si="16"/>
        <v>58.911682010015944</v>
      </c>
      <c r="M51" s="191">
        <f t="shared" si="16"/>
        <v>68.161534932474211</v>
      </c>
      <c r="N51" s="191">
        <f t="shared" si="16"/>
        <v>68.934872734198947</v>
      </c>
      <c r="O51" s="191">
        <f t="shared" si="16"/>
        <v>76.73512916891363</v>
      </c>
      <c r="P51" s="191">
        <f t="shared" si="16"/>
        <v>74.825553027927967</v>
      </c>
      <c r="Q51" s="191">
        <f t="shared" si="16"/>
        <v>70.639843525782027</v>
      </c>
      <c r="R51" s="191">
        <f t="shared" si="16"/>
        <v>73.913698708997728</v>
      </c>
      <c r="S51" s="191">
        <f t="shared" si="16"/>
        <v>35.852697393493266</v>
      </c>
      <c r="T51" s="191">
        <f t="shared" si="16"/>
        <v>33.11211985866175</v>
      </c>
      <c r="U51" s="191">
        <f t="shared" si="16"/>
        <v>44.079199978745535</v>
      </c>
      <c r="V51" s="191">
        <f t="shared" si="16"/>
        <v>29.711382045498581</v>
      </c>
      <c r="W51" s="191">
        <f t="shared" si="16"/>
        <v>31.489353969796372</v>
      </c>
      <c r="X51" s="191">
        <f t="shared" si="16"/>
        <v>69.110584270326882</v>
      </c>
      <c r="Y51" s="191">
        <f t="shared" si="16"/>
        <v>46.4073618291199</v>
      </c>
      <c r="Z51" s="191">
        <f t="shared" si="16"/>
        <v>38.066905666825271</v>
      </c>
      <c r="AA51" s="191">
        <f t="shared" si="16"/>
        <v>38.189102181144335</v>
      </c>
      <c r="AB51" s="191">
        <f t="shared" si="16"/>
        <v>32.848289205090239</v>
      </c>
      <c r="AC51" s="191">
        <f t="shared" si="16"/>
        <v>60.796773256690329</v>
      </c>
      <c r="AD51" s="191">
        <f t="shared" si="16"/>
        <v>29.891343119962979</v>
      </c>
      <c r="AE51" s="191">
        <f t="shared" si="16"/>
        <v>28.492493142110746</v>
      </c>
      <c r="AF51" s="191">
        <f t="shared" si="16"/>
        <v>32.975264166453194</v>
      </c>
      <c r="AG51" s="191">
        <f t="shared" si="16"/>
        <v>37.063230197392024</v>
      </c>
      <c r="AH51" s="210"/>
      <c r="AI51" s="147"/>
      <c r="AJ51" s="147"/>
      <c r="AK51" s="147"/>
    </row>
    <row r="52" spans="1:83" ht="19.5" customHeight="1" x14ac:dyDescent="0.3">
      <c r="G52" s="144"/>
      <c r="I52" s="152" t="str">
        <f>"in " &amp; Einheit</f>
        <v>in km²</v>
      </c>
      <c r="J52" s="191">
        <f>Fak_1*119.236881</f>
        <v>1.1923688100000001</v>
      </c>
      <c r="K52" s="191">
        <f>Fak_1*229.760645</f>
        <v>2.29760645</v>
      </c>
      <c r="L52" s="191">
        <f>Fak_1*236.33402</f>
        <v>2.3633402000000001</v>
      </c>
      <c r="M52" s="191">
        <f>Fak_1*76.723974</f>
        <v>0.76723973999999995</v>
      </c>
      <c r="N52" s="191">
        <f>Fak_1*87.276557</f>
        <v>0.87276556999999999</v>
      </c>
      <c r="O52" s="191">
        <f>Fak_1*71.349181</f>
        <v>0.71349181000000006</v>
      </c>
      <c r="P52" s="191">
        <f>Fak_1*86.138703</f>
        <v>0.86138703000000005</v>
      </c>
      <c r="Q52" s="191">
        <f>Fak_1*53.912905</f>
        <v>0.53912905</v>
      </c>
      <c r="R52" s="191">
        <f>Fak_1*128.598388</f>
        <v>1.2859838800000001</v>
      </c>
      <c r="S52" s="191">
        <f>Fak_1*391.454515</f>
        <v>3.9145451500000004</v>
      </c>
      <c r="T52" s="191">
        <f>Fak_1*341.920838</f>
        <v>3.4192083800000002</v>
      </c>
      <c r="U52" s="191">
        <f>Fak_1*203.289941</f>
        <v>2.0328994100000002</v>
      </c>
      <c r="V52" s="191">
        <f>Fak_1*243.261652</f>
        <v>2.4326165199999998</v>
      </c>
      <c r="W52" s="191">
        <f>Fak_1*284.584658</f>
        <v>2.8458465799999999</v>
      </c>
      <c r="X52" s="191">
        <f>Fak_1*142.892402</f>
        <v>1.42892402</v>
      </c>
      <c r="Y52" s="191">
        <f>Fak_1*201.110649</f>
        <v>2.01110649</v>
      </c>
      <c r="Z52" s="191">
        <f>Fak_1*143.202932</f>
        <v>1.43202932</v>
      </c>
      <c r="AA52" s="191">
        <f>Fak_1*142.278679</f>
        <v>1.4227867900000002</v>
      </c>
      <c r="AB52" s="191">
        <f>Fak_1*245.708584</f>
        <v>2.45708584</v>
      </c>
      <c r="AC52" s="191">
        <f>Fak_1*123.743014</f>
        <v>1.2374301400000001</v>
      </c>
      <c r="AD52" s="191">
        <f>Fak_1*546.887811</f>
        <v>5.4688781100000003</v>
      </c>
      <c r="AE52" s="191">
        <f>Fak_1*786.520387</f>
        <v>7.8652038700000002</v>
      </c>
      <c r="AF52" s="191">
        <f>Fak_1*567.933933</f>
        <v>5.6793393300000004</v>
      </c>
      <c r="AG52" s="191">
        <f>Fak_1*5454.121247</f>
        <v>54.541212470000005</v>
      </c>
      <c r="AH52" s="210"/>
      <c r="AI52" s="147"/>
      <c r="AJ52" s="147"/>
      <c r="AK52" s="147"/>
    </row>
    <row r="53" spans="1:83" ht="19.5" customHeight="1" x14ac:dyDescent="0.3">
      <c r="G53" s="144"/>
      <c r="I53" s="148"/>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10"/>
      <c r="AI53" s="147"/>
      <c r="AJ53" s="147"/>
      <c r="AK53" s="147"/>
    </row>
    <row r="54" spans="1:83" s="144" customFormat="1" ht="74.25" customHeight="1" x14ac:dyDescent="0.6">
      <c r="B54" s="227"/>
      <c r="C54" s="228"/>
      <c r="D54" s="229"/>
      <c r="E54" s="244" t="s">
        <v>7408</v>
      </c>
      <c r="F54" s="188"/>
      <c r="G54" s="187"/>
      <c r="H54" s="187"/>
    </row>
    <row r="55" spans="1:83"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"&amp;W!Einheit, IF(Versatz = 2, "in m² pro Einwohner:in", "in Prozent des Dauersiedlungsraums"))</f>
        <v>Flächeninanspruchnahme in km²</v>
      </c>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row>
    <row r="56" spans="1:83" x14ac:dyDescent="0.3">
      <c r="F56" s="181"/>
      <c r="G56" s="137"/>
      <c r="H56" s="178"/>
      <c r="I56" s="180"/>
      <c r="J56" s="137"/>
      <c r="K56" s="137"/>
      <c r="L56" s="137"/>
      <c r="M56" s="137"/>
      <c r="N56" s="137"/>
      <c r="O56" s="137"/>
      <c r="P56" s="137"/>
      <c r="Q56" s="137"/>
      <c r="R56" s="137"/>
      <c r="S56" s="137"/>
      <c r="T56" s="137"/>
      <c r="U56" s="137"/>
      <c r="V56" s="137"/>
      <c r="W56" s="137"/>
      <c r="X56" s="137"/>
      <c r="Y56" s="137"/>
      <c r="Z56" s="179"/>
      <c r="AA56" s="179"/>
      <c r="AB56" s="179"/>
      <c r="AC56" s="179"/>
      <c r="AD56" s="179"/>
      <c r="AE56" s="179"/>
      <c r="AF56" s="178"/>
      <c r="AG56" s="137"/>
      <c r="AH56" s="137"/>
      <c r="AI56" s="137"/>
      <c r="AJ56" s="136"/>
    </row>
    <row r="57" spans="1:83" hidden="1" x14ac:dyDescent="0.3">
      <c r="F57" s="137"/>
      <c r="G57" s="137"/>
      <c r="H57" s="178" t="s">
        <v>7532</v>
      </c>
      <c r="I57" s="180"/>
      <c r="J57" s="137">
        <f t="shared" ref="J57:AG57" si="17">IF(Versatz = 1, Fak_Einheit, IF(Versatz = 2, 10000/J59, 100*Fak_Einheit/J60))</f>
        <v>0.01</v>
      </c>
      <c r="K57" s="137">
        <f t="shared" ref="K57:R57" si="18">IF(Versatz = 1, Fak_Einheit, IF(Versatz = 2, 10000/K59, 100*Fak_Einheit/K60))</f>
        <v>0.01</v>
      </c>
      <c r="L57" s="137">
        <f t="shared" si="18"/>
        <v>0.01</v>
      </c>
      <c r="M57" s="137">
        <f t="shared" si="18"/>
        <v>0.01</v>
      </c>
      <c r="N57" s="137">
        <f t="shared" si="18"/>
        <v>0.01</v>
      </c>
      <c r="O57" s="137">
        <f t="shared" si="18"/>
        <v>0.01</v>
      </c>
      <c r="P57" s="137">
        <f t="shared" si="18"/>
        <v>0.01</v>
      </c>
      <c r="Q57" s="137">
        <f t="shared" si="18"/>
        <v>0.01</v>
      </c>
      <c r="R57" s="137">
        <f t="shared" si="18"/>
        <v>0.01</v>
      </c>
      <c r="S57" s="137">
        <f t="shared" si="17"/>
        <v>0.01</v>
      </c>
      <c r="T57" s="137">
        <f t="shared" si="17"/>
        <v>0.01</v>
      </c>
      <c r="U57" s="137">
        <f t="shared" si="17"/>
        <v>0.01</v>
      </c>
      <c r="V57" s="137">
        <f t="shared" si="17"/>
        <v>0.01</v>
      </c>
      <c r="W57" s="137">
        <f t="shared" si="17"/>
        <v>0.01</v>
      </c>
      <c r="X57" s="137">
        <f t="shared" si="17"/>
        <v>0.01</v>
      </c>
      <c r="Y57" s="137">
        <f t="shared" si="17"/>
        <v>0.01</v>
      </c>
      <c r="Z57" s="137">
        <f t="shared" si="17"/>
        <v>0.01</v>
      </c>
      <c r="AA57" s="137">
        <f t="shared" si="17"/>
        <v>0.01</v>
      </c>
      <c r="AB57" s="137">
        <f t="shared" si="17"/>
        <v>0.01</v>
      </c>
      <c r="AC57" s="137">
        <f t="shared" si="17"/>
        <v>0.01</v>
      </c>
      <c r="AD57" s="137">
        <f t="shared" si="17"/>
        <v>0.01</v>
      </c>
      <c r="AE57" s="137">
        <f t="shared" si="17"/>
        <v>0.01</v>
      </c>
      <c r="AF57" s="137">
        <f t="shared" si="17"/>
        <v>0.01</v>
      </c>
      <c r="AG57" s="137">
        <f t="shared" si="17"/>
        <v>0.01</v>
      </c>
      <c r="AH57" s="137"/>
      <c r="AI57" s="137"/>
      <c r="AJ57" s="136"/>
    </row>
    <row r="58" spans="1:83" hidden="1" x14ac:dyDescent="0.3">
      <c r="F58" s="137"/>
      <c r="G58" s="137"/>
      <c r="H58" s="178" t="s">
        <v>7531</v>
      </c>
      <c r="I58" s="180"/>
      <c r="J58" s="137">
        <v>1</v>
      </c>
      <c r="K58" s="137">
        <v>1</v>
      </c>
      <c r="L58" s="137">
        <v>1</v>
      </c>
      <c r="M58" s="137">
        <v>1</v>
      </c>
      <c r="N58" s="137">
        <v>1</v>
      </c>
      <c r="O58" s="137">
        <v>1</v>
      </c>
      <c r="P58" s="137">
        <v>1</v>
      </c>
      <c r="Q58" s="137">
        <v>1</v>
      </c>
      <c r="R58" s="137">
        <v>1</v>
      </c>
      <c r="S58" s="137">
        <v>1</v>
      </c>
      <c r="T58" s="137">
        <v>1</v>
      </c>
      <c r="U58" s="137">
        <v>1</v>
      </c>
      <c r="V58" s="137">
        <v>1</v>
      </c>
      <c r="W58" s="137">
        <v>1</v>
      </c>
      <c r="X58" s="137">
        <v>1</v>
      </c>
      <c r="Y58" s="137">
        <v>1</v>
      </c>
      <c r="Z58" s="137">
        <v>1</v>
      </c>
      <c r="AA58" s="137">
        <v>1</v>
      </c>
      <c r="AB58" s="137">
        <v>1</v>
      </c>
      <c r="AC58" s="137">
        <v>1</v>
      </c>
      <c r="AD58" s="137">
        <v>1</v>
      </c>
      <c r="AE58" s="137">
        <v>1</v>
      </c>
      <c r="AF58" s="137">
        <v>1</v>
      </c>
      <c r="AG58" s="137">
        <v>1</v>
      </c>
      <c r="AH58" s="137"/>
      <c r="AI58" s="137"/>
      <c r="AJ58" s="136"/>
    </row>
    <row r="59" spans="1:83" x14ac:dyDescent="0.3">
      <c r="F59" s="149"/>
      <c r="G59" s="149"/>
      <c r="H59" s="192" t="s">
        <v>159</v>
      </c>
      <c r="I59" s="154"/>
      <c r="J59" s="193">
        <v>15700</v>
      </c>
      <c r="K59" s="193">
        <v>104688</v>
      </c>
      <c r="L59" s="193">
        <v>93744</v>
      </c>
      <c r="M59" s="193">
        <v>33007</v>
      </c>
      <c r="N59" s="193">
        <v>53731</v>
      </c>
      <c r="O59" s="193">
        <v>30958</v>
      </c>
      <c r="P59" s="193">
        <v>31326</v>
      </c>
      <c r="Q59" s="193">
        <v>24189</v>
      </c>
      <c r="R59" s="193">
        <v>41382</v>
      </c>
      <c r="S59" s="193">
        <v>212255</v>
      </c>
      <c r="T59" s="193">
        <v>106078</v>
      </c>
      <c r="U59" s="193">
        <v>97909</v>
      </c>
      <c r="V59" s="193">
        <v>53959</v>
      </c>
      <c r="W59" s="193">
        <v>92989</v>
      </c>
      <c r="X59" s="193">
        <v>75635</v>
      </c>
      <c r="Y59" s="193">
        <v>101638</v>
      </c>
      <c r="Z59" s="193">
        <v>56014</v>
      </c>
      <c r="AA59" s="193">
        <v>50865</v>
      </c>
      <c r="AB59" s="193">
        <v>73873</v>
      </c>
      <c r="AC59" s="193">
        <v>84471</v>
      </c>
      <c r="AD59" s="193">
        <v>178185</v>
      </c>
      <c r="AE59" s="193">
        <v>203823</v>
      </c>
      <c r="AF59" s="193">
        <v>115174</v>
      </c>
      <c r="AG59" s="193">
        <v>1931593</v>
      </c>
      <c r="AH59" s="194" t="s">
        <v>163</v>
      </c>
      <c r="AI59" s="194"/>
      <c r="AJ59" s="195"/>
      <c r="AK59" s="147"/>
      <c r="AL59" s="147"/>
    </row>
    <row r="60" spans="1:83" x14ac:dyDescent="0.3">
      <c r="F60" s="150"/>
      <c r="G60" s="150"/>
      <c r="H60" s="192" t="s">
        <v>171</v>
      </c>
      <c r="I60" s="154"/>
      <c r="J60" s="193">
        <f>286.7291659775*(+W!Fak_Einheit)</f>
        <v>2.8672916597749998</v>
      </c>
      <c r="K60" s="193">
        <f>1609.002120581*(+W!Fak_Einheit)</f>
        <v>16.09002120581</v>
      </c>
      <c r="L60" s="193">
        <f>740.7869149117*(+W!Fak_Einheit)</f>
        <v>7.4078691491170003</v>
      </c>
      <c r="M60" s="193">
        <f>180.7965802702*(+W!Fak_Einheit)</f>
        <v>1.807965802702</v>
      </c>
      <c r="N60" s="193">
        <f>201.4042041312*(+W!Fak_Einheit)</f>
        <v>2.0140420413119999</v>
      </c>
      <c r="O60" s="193">
        <f>145.4259991657*(+W!Fak_Einheit)</f>
        <v>1.454259991657</v>
      </c>
      <c r="P60" s="193">
        <f>160.7384983915*(+W!Fak_Einheit)</f>
        <v>1.6073849839150001</v>
      </c>
      <c r="Q60" s="193">
        <f>108.9365918187*(+W!Fak_Einheit)</f>
        <v>1.0893659181869999</v>
      </c>
      <c r="R60" s="193">
        <f>296.5770281349*(+W!Fak_Einheit)</f>
        <v>2.9657702813490001</v>
      </c>
      <c r="S60" s="193">
        <f>3057.4251120592*(+W!Fak_Einheit)</f>
        <v>30.574251120591999</v>
      </c>
      <c r="T60" s="193">
        <f>2335.2945444621*(+W!Fak_Einheit)</f>
        <v>23.352945444621</v>
      </c>
      <c r="U60" s="193">
        <f>800.8625029691*(+W!Fak_Einheit)</f>
        <v>8.0086250296910002</v>
      </c>
      <c r="V60" s="193">
        <f>1851.8899985828*(+W!Fak_Einheit)</f>
        <v>18.518899985828</v>
      </c>
      <c r="W60" s="193">
        <f>1812.4079797287*(+W!Fak_Einheit)</f>
        <v>18.124079797286999</v>
      </c>
      <c r="X60" s="193">
        <f>392.2791348113*(+W!Fak_Einheit)</f>
        <v>3.9227913481130003</v>
      </c>
      <c r="Y60" s="193">
        <f>703.5635222864*(+W!Fak_Einheit)</f>
        <v>7.0356352228640002</v>
      </c>
      <c r="Z60" s="193">
        <f>756.2379051184*(+W!Fak_Einheit)</f>
        <v>7.5623790511840001</v>
      </c>
      <c r="AA60" s="193">
        <f>573.6814120844*(+W!Fak_Einheit)</f>
        <v>5.7368141208440004</v>
      </c>
      <c r="AB60" s="193">
        <f>1841.0059288625*(+W!Fak_Einheit)</f>
        <v>18.410059288625</v>
      </c>
      <c r="AC60" s="193">
        <f>466.7712951751*(+W!Fak_Einheit)</f>
        <v>4.6677129517510005</v>
      </c>
      <c r="AD60" s="193">
        <f>4323.3178741295*(+W!Fak_Einheit)</f>
        <v>43.233178741294999</v>
      </c>
      <c r="AE60" s="193">
        <f>7976.3034848508*(+W!Fak_Einheit)</f>
        <v>79.763034848507999</v>
      </c>
      <c r="AF60" s="193">
        <f>2809.8394816919*(+W!Fak_Einheit)</f>
        <v>28.098394816919001</v>
      </c>
      <c r="AG60" s="193">
        <v>33431.277280194598</v>
      </c>
      <c r="AH60" s="194" t="str">
        <f t="shared" ref="AH60" si="19">Einheit</f>
        <v>km²</v>
      </c>
      <c r="AI60" s="194"/>
      <c r="AJ60" s="195"/>
      <c r="AK60" s="147"/>
      <c r="AL60" s="147"/>
    </row>
    <row r="61" spans="1:83" x14ac:dyDescent="0.3">
      <c r="F61" s="150"/>
      <c r="G61" s="150"/>
      <c r="H61" s="192"/>
      <c r="I61" s="154"/>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4"/>
      <c r="AI61" s="194"/>
      <c r="AJ61" s="195"/>
      <c r="AK61" s="147"/>
      <c r="AL61" s="147"/>
    </row>
    <row r="62" spans="1:83" s="144" customFormat="1" ht="112.5" customHeight="1" x14ac:dyDescent="0.4">
      <c r="B62" s="227"/>
      <c r="C62" s="228"/>
      <c r="D62" s="229"/>
      <c r="E62" s="131"/>
      <c r="F62" s="210"/>
      <c r="G62" s="196"/>
      <c r="H62" s="210"/>
      <c r="I62" s="148"/>
      <c r="J62" s="278" t="str">
        <f t="shared" ref="J62:AG62" si="20">+J24</f>
        <v>Wien  1., Innere Stadt</v>
      </c>
      <c r="K62" s="278" t="str">
        <f t="shared" si="20"/>
        <v>Wien  2., Leopoldstadt</v>
      </c>
      <c r="L62" s="278" t="str">
        <f t="shared" si="20"/>
        <v>Wien  3., Landstraße</v>
      </c>
      <c r="M62" s="278" t="str">
        <f t="shared" si="20"/>
        <v>Wien  4., Wieden</v>
      </c>
      <c r="N62" s="278" t="str">
        <f t="shared" si="20"/>
        <v>Wien  5., Margareten</v>
      </c>
      <c r="O62" s="278" t="str">
        <f t="shared" si="20"/>
        <v>Wien  6., Mariahilf</v>
      </c>
      <c r="P62" s="278" t="str">
        <f t="shared" si="20"/>
        <v>Wien  7., Neubau</v>
      </c>
      <c r="Q62" s="278" t="str">
        <f t="shared" si="20"/>
        <v>Wien  8., Josefstadt</v>
      </c>
      <c r="R62" s="278" t="str">
        <f t="shared" si="20"/>
        <v>Wien  9., Alsergrund</v>
      </c>
      <c r="S62" s="278" t="str">
        <f t="shared" si="20"/>
        <v>Wien  10., Favoriten</v>
      </c>
      <c r="T62" s="278" t="str">
        <f t="shared" si="20"/>
        <v>Wien  11., Simmering</v>
      </c>
      <c r="U62" s="278" t="str">
        <f t="shared" si="20"/>
        <v>Wien  12., Meidling</v>
      </c>
      <c r="V62" s="278" t="str">
        <f t="shared" si="20"/>
        <v>Wien  13., Hietzing</v>
      </c>
      <c r="W62" s="278" t="str">
        <f t="shared" si="20"/>
        <v>Wien  14., Penzing</v>
      </c>
      <c r="X62" s="278" t="str">
        <f t="shared" si="20"/>
        <v>Wien  15., Rudolfsheim-Fünfhaus</v>
      </c>
      <c r="Y62" s="278" t="str">
        <f t="shared" si="20"/>
        <v>Wien  16., Ottakring</v>
      </c>
      <c r="Z62" s="278" t="str">
        <f t="shared" si="20"/>
        <v>Wien  17., Hernals</v>
      </c>
      <c r="AA62" s="278" t="str">
        <f t="shared" si="20"/>
        <v>Wien  18., Währing</v>
      </c>
      <c r="AB62" s="278" t="str">
        <f t="shared" si="20"/>
        <v>Wien  19., Döbling</v>
      </c>
      <c r="AC62" s="278" t="str">
        <f t="shared" si="20"/>
        <v>Wien  20., Brigittenau</v>
      </c>
      <c r="AD62" s="278" t="str">
        <f t="shared" si="20"/>
        <v>Wien  21., Floridsdorf</v>
      </c>
      <c r="AE62" s="278" t="str">
        <f t="shared" si="20"/>
        <v>Wien  22., Donaustadt</v>
      </c>
      <c r="AF62" s="278" t="str">
        <f t="shared" si="20"/>
        <v>Wien  23., Liesing</v>
      </c>
      <c r="AG62" s="279" t="str">
        <f t="shared" si="20"/>
        <v>W</v>
      </c>
      <c r="AH62" s="211"/>
      <c r="AI62" s="210"/>
      <c r="AJ62" s="210"/>
      <c r="AK62" s="210"/>
      <c r="AL62" s="210"/>
    </row>
    <row r="63" spans="1:83" s="144" customFormat="1" ht="24" customHeight="1" x14ac:dyDescent="0.25">
      <c r="B63" s="227"/>
      <c r="C63" s="228"/>
      <c r="D63" s="229"/>
      <c r="E63" s="131"/>
      <c r="F63" s="198" t="s">
        <v>25</v>
      </c>
      <c r="G63" s="196">
        <v>101</v>
      </c>
      <c r="H63" s="148" t="str">
        <f>+VLOOKUP($G63,Konstanten!$A$2:$B$15,2,FALSE)</f>
        <v>Autobahn u. Schnellstraße</v>
      </c>
      <c r="I63" s="148"/>
      <c r="J63" s="267">
        <f>Fak_3*0</f>
        <v>0</v>
      </c>
      <c r="K63" s="267">
        <f>Fak_3*25.2259870226938</f>
        <v>0.25225987022693802</v>
      </c>
      <c r="L63" s="267">
        <f>Fak_3*13.3307488128497</f>
        <v>0.13330748812849699</v>
      </c>
      <c r="M63" s="267">
        <f t="shared" ref="M63:R63" si="21">Fak_3*0</f>
        <v>0</v>
      </c>
      <c r="N63" s="267">
        <f t="shared" si="21"/>
        <v>0</v>
      </c>
      <c r="O63" s="267">
        <f t="shared" si="21"/>
        <v>0</v>
      </c>
      <c r="P63" s="267">
        <f t="shared" si="21"/>
        <v>0</v>
      </c>
      <c r="Q63" s="267">
        <f t="shared" si="21"/>
        <v>0</v>
      </c>
      <c r="R63" s="267">
        <f t="shared" si="21"/>
        <v>0</v>
      </c>
      <c r="S63" s="267">
        <f>Fak_3*58.0205728573161</f>
        <v>0.58020572857316099</v>
      </c>
      <c r="T63" s="267">
        <f>Fak_3*39.8484087752277</f>
        <v>0.39848408775227706</v>
      </c>
      <c r="U63" s="267">
        <f>Fak_3*4.38800308999096</f>
        <v>4.3880030899909599E-2</v>
      </c>
      <c r="V63" s="267">
        <f>Fak_3*16.4319695720336</f>
        <v>0.16431969572033603</v>
      </c>
      <c r="W63" s="267">
        <f>Fak_3*0</f>
        <v>0</v>
      </c>
      <c r="X63" s="267">
        <f>Fak_3*0</f>
        <v>0</v>
      </c>
      <c r="Y63" s="267">
        <f>Fak_3*0</f>
        <v>0</v>
      </c>
      <c r="Z63" s="267">
        <f>Fak_3*0</f>
        <v>0</v>
      </c>
      <c r="AA63" s="267">
        <f>Fak_3*0</f>
        <v>0</v>
      </c>
      <c r="AB63" s="267">
        <f>Fak_3*0.439344454040558</f>
        <v>4.3934445404055803E-3</v>
      </c>
      <c r="AC63" s="267">
        <f>Fak_3*2.12104399546085</f>
        <v>2.1210439954608501E-2</v>
      </c>
      <c r="AD63" s="267">
        <f>Fak_3*40.9577905242846</f>
        <v>0.40957790524284599</v>
      </c>
      <c r="AE63" s="267">
        <f>Fak_3*81.0225028036507</f>
        <v>0.81022502803650698</v>
      </c>
      <c r="AF63" s="267">
        <f>Fak_3*35.6003005070033</f>
        <v>0.35600300507003296</v>
      </c>
      <c r="AG63" s="267">
        <f>Fak_3*317.386672414552</f>
        <v>3.1738667241455198</v>
      </c>
      <c r="AH63" s="213"/>
      <c r="AI63" s="220">
        <f t="shared" ref="AI63:AI76" si="22">+BR63/BQ63</f>
        <v>0.62529156358129656</v>
      </c>
      <c r="AJ63" s="367" t="s">
        <v>7527</v>
      </c>
      <c r="AL63" s="210"/>
      <c r="BQ63" s="144">
        <v>110.40250823890199</v>
      </c>
      <c r="BR63" s="144">
        <v>69.033756999999994</v>
      </c>
      <c r="BS63" s="144">
        <f>+BQ63-BR63</f>
        <v>41.368751238901993</v>
      </c>
      <c r="CD63" s="214"/>
      <c r="CE63" s="214"/>
    </row>
    <row r="64" spans="1:83" s="144" customFormat="1" ht="24" customHeight="1" x14ac:dyDescent="0.25">
      <c r="B64" s="227"/>
      <c r="C64" s="228"/>
      <c r="D64" s="229"/>
      <c r="E64" s="131"/>
      <c r="F64" s="198"/>
      <c r="G64" s="196">
        <v>102</v>
      </c>
      <c r="H64" s="148" t="str">
        <f>+VLOOKUP($G64,Konstanten!$A$2:$B$15,2,FALSE)</f>
        <v>Landesstraße B + L</v>
      </c>
      <c r="I64" s="148"/>
      <c r="J64" s="267">
        <f>Fak_3*22.8035415255447</f>
        <v>0.22803541525544699</v>
      </c>
      <c r="K64" s="267">
        <f>Fak_3*68.2290957011251</f>
        <v>0.68229095701125109</v>
      </c>
      <c r="L64" s="267">
        <f>Fak_3*52.3720454742559</f>
        <v>0.52372045474255902</v>
      </c>
      <c r="M64" s="267">
        <f>Fak_3*17.8924078313824</f>
        <v>0.17892407831382401</v>
      </c>
      <c r="N64" s="267">
        <f>Fak_3*24.223452747329</f>
        <v>0.24223452747329</v>
      </c>
      <c r="O64" s="267">
        <f>Fak_3*18.6443335850578</f>
        <v>0.18644333585057801</v>
      </c>
      <c r="P64" s="267">
        <f>Fak_3*17.061640928692</f>
        <v>0.17061640928692001</v>
      </c>
      <c r="Q64" s="267">
        <f>Fak_3*9.23428650118889</f>
        <v>9.2342865011888903E-2</v>
      </c>
      <c r="R64" s="267">
        <f>Fak_3*23.1485578939957</f>
        <v>0.23148557893995703</v>
      </c>
      <c r="S64" s="267">
        <f>Fak_3*111.093496452666</f>
        <v>1.11093496452666</v>
      </c>
      <c r="T64" s="267">
        <f>Fak_3*78.1173883192934</f>
        <v>0.78117388319293402</v>
      </c>
      <c r="U64" s="267">
        <f>Fak_3*58.3470573007564</f>
        <v>0.583470573007564</v>
      </c>
      <c r="V64" s="267">
        <f>Fak_3*42.3550353854818</f>
        <v>0.42355035385481798</v>
      </c>
      <c r="W64" s="267">
        <f>Fak_3*57.8001509424161</f>
        <v>0.57800150942416106</v>
      </c>
      <c r="X64" s="267">
        <f>Fak_3*31.9363045378442</f>
        <v>0.31936304537844201</v>
      </c>
      <c r="Y64" s="267">
        <f>Fak_3*20.1962929491233</f>
        <v>0.20196292949123301</v>
      </c>
      <c r="Z64" s="267">
        <f>Fak_3*15.1591071583706</f>
        <v>0.15159107158370602</v>
      </c>
      <c r="AA64" s="267">
        <f>Fak_3*17.5346313192139</f>
        <v>0.175346313192139</v>
      </c>
      <c r="AB64" s="267">
        <f>Fak_3*55.7817530381605</f>
        <v>0.55781753038160509</v>
      </c>
      <c r="AC64" s="267">
        <f>Fak_3*50.0714983413742</f>
        <v>0.50071498341374199</v>
      </c>
      <c r="AD64" s="267">
        <f>Fak_3*121.3028257976</f>
        <v>1.2130282579759999</v>
      </c>
      <c r="AE64" s="267">
        <f>Fak_3*146.401085352974</f>
        <v>1.46401085352974</v>
      </c>
      <c r="AF64" s="267">
        <f>Fak_3*111.369598705435</f>
        <v>1.1136959870543499</v>
      </c>
      <c r="AG64" s="267">
        <f>Fak_3*1171.07558778928</f>
        <v>11.710755877892801</v>
      </c>
      <c r="AH64" s="213"/>
      <c r="AI64" s="220">
        <f t="shared" si="22"/>
        <v>0.74842676287368548</v>
      </c>
      <c r="AJ64" s="367"/>
      <c r="AL64" s="210"/>
      <c r="BQ64" s="144">
        <v>429.83434045676199</v>
      </c>
      <c r="BR64" s="144">
        <v>321.699524</v>
      </c>
      <c r="BS64" s="144">
        <f t="shared" ref="BS64:BS76" si="23">+BQ64-BR64</f>
        <v>108.134816456762</v>
      </c>
      <c r="CD64" s="214"/>
      <c r="CE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Fak_3*86.3872589606195</f>
        <v>0.86387258960619506</v>
      </c>
      <c r="K65" s="267">
        <f>Fak_3*187.192215563859</f>
        <v>1.8719221556385901</v>
      </c>
      <c r="L65" s="267">
        <f>Fak_3*115.098641610924</f>
        <v>1.15098641610924</v>
      </c>
      <c r="M65" s="267">
        <f>Fak_3*29.1199065083819</f>
        <v>0.29119906508381899</v>
      </c>
      <c r="N65" s="267">
        <f>Fak_3*37.1219120423264</f>
        <v>0.37121912042326399</v>
      </c>
      <c r="O65" s="267">
        <f>Fak_3*22.9473413738533</f>
        <v>0.229473413738533</v>
      </c>
      <c r="P65" s="267">
        <f>Fak_3*20.8592286681011</f>
        <v>0.20859228668101101</v>
      </c>
      <c r="Q65" s="267">
        <f>Fak_3*20.0974893586832</f>
        <v>0.20097489358683202</v>
      </c>
      <c r="R65" s="267">
        <f>Fak_3*58.3847475248522</f>
        <v>0.58384747524852199</v>
      </c>
      <c r="S65" s="267">
        <f>Fak_3*272.665278560487</f>
        <v>2.7266527856048701</v>
      </c>
      <c r="T65" s="267">
        <f>Fak_3*192.176934792643</f>
        <v>1.9217693479264302</v>
      </c>
      <c r="U65" s="267">
        <f>Fak_3*112.384458104159</f>
        <v>1.12384458104159</v>
      </c>
      <c r="V65" s="267">
        <f>Fak_3*170.659034036082</f>
        <v>1.70659034036082</v>
      </c>
      <c r="W65" s="267">
        <f>Fak_3*185.962888186263</f>
        <v>1.8596288818626301</v>
      </c>
      <c r="X65" s="267">
        <f>Fak_3*72.4284383126604</f>
        <v>0.72428438312660404</v>
      </c>
      <c r="Y65" s="267">
        <f>Fak_3*125.259691702555</f>
        <v>1.25259691702555</v>
      </c>
      <c r="Z65" s="267">
        <f>Fak_3*97.3927915141117</f>
        <v>0.9739279151411171</v>
      </c>
      <c r="AA65" s="267">
        <f>Fak_3*85.0571663748927</f>
        <v>0.85057166374892701</v>
      </c>
      <c r="AB65" s="267">
        <f>Fak_3*175.076600193174</f>
        <v>1.7507660019317399</v>
      </c>
      <c r="AC65" s="267">
        <f>Fak_3*70.5487005888198</f>
        <v>0.70548700588819802</v>
      </c>
      <c r="AD65" s="267">
        <f>Fak_3*370.004844419934</f>
        <v>3.7000484441993398</v>
      </c>
      <c r="AE65" s="267">
        <f>Fak_3*584.452036358599</f>
        <v>5.8445203635859899</v>
      </c>
      <c r="AF65" s="267">
        <f>Fak_3*246.237691408694</f>
        <v>2.4623769140869398</v>
      </c>
      <c r="AG65" s="267">
        <f>Fak_3*3337.51529616467</f>
        <v>33.375152961646698</v>
      </c>
      <c r="AH65" s="213"/>
      <c r="AI65" s="220">
        <f t="shared" si="22"/>
        <v>0.77800703868448506</v>
      </c>
      <c r="AJ65" s="367"/>
      <c r="AL65" s="210"/>
      <c r="BQ65" s="144">
        <v>1051.88642686803</v>
      </c>
      <c r="BR65" s="144">
        <v>818.37504400000012</v>
      </c>
      <c r="BS65" s="144">
        <f t="shared" si="23"/>
        <v>233.51138286802984</v>
      </c>
      <c r="CD65" s="214"/>
      <c r="CE65" s="214"/>
    </row>
    <row r="66" spans="2:128" s="144" customFormat="1" ht="24" customHeight="1" x14ac:dyDescent="0.25">
      <c r="B66" s="227"/>
      <c r="C66" s="228"/>
      <c r="D66" s="229"/>
      <c r="E66" s="131"/>
      <c r="F66" s="198"/>
      <c r="G66" s="196">
        <v>104</v>
      </c>
      <c r="H66" s="148" t="str">
        <f>+VLOOKUP($G66,Konstanten!$A$2:$B$15,2,FALSE)</f>
        <v>Schiene</v>
      </c>
      <c r="I66" s="148"/>
      <c r="J66" s="267">
        <f>Fak_3*0</f>
        <v>0</v>
      </c>
      <c r="K66" s="267">
        <f>Fak_3*42.7196698766711</f>
        <v>0.42719669876671101</v>
      </c>
      <c r="L66" s="267">
        <f>Fak_3*9.96052083284752</f>
        <v>9.9605208328475192E-2</v>
      </c>
      <c r="M66" s="267">
        <f>Fak_3*0.191258403666304</f>
        <v>1.9125840366630402E-3</v>
      </c>
      <c r="N66" s="267">
        <f>Fak_3*2.28468384186172</f>
        <v>2.2846838418617201E-2</v>
      </c>
      <c r="O66" s="267">
        <f>Fak_3*0.517809508425346</f>
        <v>5.1780950842534599E-3</v>
      </c>
      <c r="P66" s="267">
        <f>Fak_3*0.966327439025772</f>
        <v>9.6632743902577197E-3</v>
      </c>
      <c r="Q66" s="267">
        <f>Fak_3*0.55328054236535</f>
        <v>5.5328054236534994E-3</v>
      </c>
      <c r="R66" s="267">
        <f>Fak_3*10.8461904837232</f>
        <v>0.108461904837232</v>
      </c>
      <c r="S66" s="267">
        <f>Fak_3*104.547914922962</f>
        <v>1.04547914922962</v>
      </c>
      <c r="T66" s="267">
        <f>Fak_3*121.908898700564</f>
        <v>1.2190889870056401</v>
      </c>
      <c r="U66" s="267">
        <f>Fak_3*31.5568754244196</f>
        <v>0.315568754244196</v>
      </c>
      <c r="V66" s="267">
        <f>Fak_3*12.4907189863021</f>
        <v>0.124907189863021</v>
      </c>
      <c r="W66" s="267">
        <f>Fak_3*44.5295487465111</f>
        <v>0.445295487465111</v>
      </c>
      <c r="X66" s="267">
        <f>Fak_3*22.0375877746491</f>
        <v>0.22037587774649101</v>
      </c>
      <c r="Y66" s="267">
        <f>Fak_3*5.55639569084096</f>
        <v>5.5563956908409595E-2</v>
      </c>
      <c r="Z66" s="267">
        <f>Fak_3*2.7117302727072</f>
        <v>2.7117302727072003E-2</v>
      </c>
      <c r="AA66" s="267">
        <f>Fak_3*1.80922278499481</f>
        <v>1.80922278499481E-2</v>
      </c>
      <c r="AB66" s="267">
        <f>Fak_3*29.9154349975972</f>
        <v>0.29915434997597201</v>
      </c>
      <c r="AC66" s="267">
        <f>Fak_3*48.2613784664979</f>
        <v>0.48261378466497901</v>
      </c>
      <c r="AD66" s="267">
        <f>Fak_3*65.5578157117539</f>
        <v>0.65557815711753908</v>
      </c>
      <c r="AE66" s="267">
        <f>Fak_3*113.11377726146</f>
        <v>1.1311377726146001</v>
      </c>
      <c r="AF66" s="267">
        <f>Fak_3*47.2271785661836</f>
        <v>0.47227178566183603</v>
      </c>
      <c r="AG66" s="267">
        <f>Fak_3*719.264219236031</f>
        <v>7.1926421923603101</v>
      </c>
      <c r="AH66" s="213"/>
      <c r="AI66" s="220">
        <f t="shared" si="22"/>
        <v>0.50588581842325953</v>
      </c>
      <c r="AJ66" s="367"/>
      <c r="AL66" s="210"/>
      <c r="BQ66" s="144">
        <v>127.56757285891301</v>
      </c>
      <c r="BR66" s="144">
        <v>64.534626000000003</v>
      </c>
      <c r="BS66" s="144">
        <f t="shared" si="23"/>
        <v>63.032946858913007</v>
      </c>
      <c r="CD66" s="214"/>
      <c r="CE66" s="214"/>
    </row>
    <row r="67" spans="2:128" s="144" customFormat="1" ht="24" customHeight="1" x14ac:dyDescent="0.25">
      <c r="B67" s="227"/>
      <c r="C67" s="228"/>
      <c r="D67" s="229"/>
      <c r="E67" s="131"/>
      <c r="F67" s="200"/>
      <c r="G67" s="215"/>
      <c r="H67" s="216"/>
      <c r="I67" s="217" t="s">
        <v>7535</v>
      </c>
      <c r="J67" s="268">
        <f>Fak_3*109.190800486164</f>
        <v>1.0919080048616399</v>
      </c>
      <c r="K67" s="268">
        <f>Fak_3*323.366968164349</f>
        <v>3.23366968164349</v>
      </c>
      <c r="L67" s="268">
        <f>Fak_3*190.761956730877</f>
        <v>1.9076195673087699</v>
      </c>
      <c r="M67" s="268">
        <f>Fak_3*47.2035727434306</f>
        <v>0.472035727434306</v>
      </c>
      <c r="N67" s="268">
        <f>Fak_3*63.6300486315171</f>
        <v>0.636300486315171</v>
      </c>
      <c r="O67" s="268">
        <f>Fak_3*42.1094844673364</f>
        <v>0.421094844673364</v>
      </c>
      <c r="P67" s="268">
        <f>Fak_3*38.8871970358188</f>
        <v>0.38887197035818799</v>
      </c>
      <c r="Q67" s="268">
        <f>Fak_3*29.8850564022375</f>
        <v>0.29885056402237498</v>
      </c>
      <c r="R67" s="268">
        <f>Fak_3*92.3794959025712</f>
        <v>0.92379495902571196</v>
      </c>
      <c r="S67" s="268">
        <f>Fak_3*546.327262793432</f>
        <v>5.4632726279343204</v>
      </c>
      <c r="T67" s="268">
        <f>Fak_3*432.051630587729</f>
        <v>4.3205163058772902</v>
      </c>
      <c r="U67" s="268">
        <f>Fak_3*206.676393919326</f>
        <v>2.06676393919326</v>
      </c>
      <c r="V67" s="268">
        <f>Fak_3*241.936757979899</f>
        <v>2.41936757979899</v>
      </c>
      <c r="W67" s="268">
        <f>Fak_3*288.29258787519</f>
        <v>2.8829258787519003</v>
      </c>
      <c r="X67" s="268">
        <f>Fak_3*126.402330625154</f>
        <v>1.26402330625154</v>
      </c>
      <c r="Y67" s="268">
        <f>Fak_3*151.012380342519</f>
        <v>1.51012380342519</v>
      </c>
      <c r="Z67" s="268">
        <f>Fak_3*115.26362894519</f>
        <v>1.1526362894519</v>
      </c>
      <c r="AA67" s="268">
        <f>Fak_3*104.401020479101</f>
        <v>1.04401020479101</v>
      </c>
      <c r="AB67" s="268">
        <f>Fak_3*261.213132682972</f>
        <v>2.6121313268297199</v>
      </c>
      <c r="AC67" s="268">
        <f>Fak_3*171.002621392153</f>
        <v>1.7100262139215301</v>
      </c>
      <c r="AD67" s="268">
        <f>Fak_3*597.823276453573</f>
        <v>5.9782327645357309</v>
      </c>
      <c r="AE67" s="268">
        <f>Fak_3*924.989401776684</f>
        <v>9.2498940177668398</v>
      </c>
      <c r="AF67" s="268">
        <f>Fak_3*440.434769187316</f>
        <v>4.4043476918731601</v>
      </c>
      <c r="AG67" s="268">
        <f>Fak_3*5545.24177560454</f>
        <v>55.452417756045399</v>
      </c>
      <c r="AH67" s="213"/>
      <c r="AI67" s="220">
        <f t="shared" si="22"/>
        <v>0.7406232068794526</v>
      </c>
      <c r="AJ67" s="367"/>
      <c r="AL67" s="210"/>
      <c r="BQ67" s="144">
        <v>1719.6908484226101</v>
      </c>
      <c r="BR67" s="144">
        <v>1273.642951</v>
      </c>
      <c r="BS67" s="144">
        <f t="shared" si="23"/>
        <v>446.04789742261005</v>
      </c>
      <c r="CD67" s="214"/>
      <c r="CE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Fak_3*0.0000965369421883059</f>
        <v>9.6536942188305899E-7</v>
      </c>
      <c r="K68" s="267">
        <f>Fak_3*225.842423730232</f>
        <v>2.2584242373023202</v>
      </c>
      <c r="L68" s="267">
        <f>Fak_3*199.449570268337</f>
        <v>1.9944957026833701</v>
      </c>
      <c r="M68" s="267">
        <f>Fak_3*83.0406874720418</f>
        <v>0.83040687472041796</v>
      </c>
      <c r="N68" s="267">
        <f>Fak_3*80.0923548677194</f>
        <v>0.80092354867719395</v>
      </c>
      <c r="O68" s="267">
        <f>Fak_3*46.0772802619555</f>
        <v>0.460772802619555</v>
      </c>
      <c r="P68" s="267">
        <f>Fak_3*51.9520188343823</f>
        <v>0.51952018834382296</v>
      </c>
      <c r="Q68" s="267">
        <f>Fak_3*52.4387327352896</f>
        <v>0.52438732735289595</v>
      </c>
      <c r="R68" s="267">
        <f>Fak_3*89.6269078729963</f>
        <v>0.89626907872996298</v>
      </c>
      <c r="S68" s="267">
        <f>Fak_3*729.225375845618</f>
        <v>7.2922537584561802</v>
      </c>
      <c r="T68" s="267">
        <f>Fak_3*393.609527519148</f>
        <v>3.9360952751914802</v>
      </c>
      <c r="U68" s="267">
        <f>Fak_3*321.340178053854</f>
        <v>3.2134017805385402</v>
      </c>
      <c r="V68" s="267">
        <f>Fak_3*756.825740141483</f>
        <v>7.5682574014148303</v>
      </c>
      <c r="W68" s="267">
        <f>Fak_3*774.778216528417</f>
        <v>7.7477821652841703</v>
      </c>
      <c r="X68" s="267">
        <f>Fak_3*118.854054069094</f>
        <v>1.1885405406909402</v>
      </c>
      <c r="Y68" s="267">
        <f>Fak_3*313.426348702283</f>
        <v>3.1342634870228303</v>
      </c>
      <c r="Z68" s="267">
        <f>Fak_3*297.031969537589</f>
        <v>2.9703196953758901</v>
      </c>
      <c r="AA68" s="267">
        <f>Fak_3*330.362477237408</f>
        <v>3.3036247723740799</v>
      </c>
      <c r="AB68" s="267">
        <f>Fak_3*688.536246178562</f>
        <v>6.8853624617856202</v>
      </c>
      <c r="AC68" s="267">
        <f>Fak_3*107.942969846998</f>
        <v>1.07942969846998</v>
      </c>
      <c r="AD68" s="267">
        <f>Fak_3*1168.09332865921</f>
        <v>11.680933286592101</v>
      </c>
      <c r="AE68" s="267">
        <f>Fak_3*1718.62551313289</f>
        <v>17.186255131328902</v>
      </c>
      <c r="AF68" s="267">
        <f>Fak_3*1006.54437088459</f>
        <v>10.065443708845899</v>
      </c>
      <c r="AG68" s="267">
        <f>Fak_3*9553.71638891704</f>
        <v>95.537163889170415</v>
      </c>
      <c r="AH68" s="213"/>
      <c r="AI68" s="220">
        <f t="shared" si="22"/>
        <v>0.39295521959753704</v>
      </c>
      <c r="AJ68" s="367"/>
      <c r="AL68" s="210"/>
      <c r="BQ68" s="144">
        <v>1112.6431516746302</v>
      </c>
      <c r="BR68" s="144">
        <v>437.21893399999999</v>
      </c>
      <c r="BS68" s="144">
        <f t="shared" si="23"/>
        <v>675.4242176746302</v>
      </c>
      <c r="CD68" s="214"/>
      <c r="CE68" s="214"/>
    </row>
    <row r="69" spans="2:128" s="144" customFormat="1" ht="24" customHeight="1" x14ac:dyDescent="0.25">
      <c r="B69" s="227"/>
      <c r="C69" s="228"/>
      <c r="D69" s="229"/>
      <c r="E69" s="131"/>
      <c r="F69" s="198"/>
      <c r="G69" s="197">
        <v>212</v>
      </c>
      <c r="H69" s="148" t="str">
        <f>+VLOOKUP($G69,Konstanten!$A$2:$B$15,2,FALSE)</f>
        <v>gemischte bauliche Nutzung</v>
      </c>
      <c r="I69" s="148"/>
      <c r="J69" s="267">
        <f>Fak_3*141.071243303847</f>
        <v>1.4107124330384702</v>
      </c>
      <c r="K69" s="267">
        <f>Fak_3*138.536829143859</f>
        <v>1.3853682914385901</v>
      </c>
      <c r="L69" s="267">
        <f>Fak_3*157.542366545676</f>
        <v>1.5754236654567602</v>
      </c>
      <c r="M69" s="267">
        <f>Fak_3*29.5212931414049</f>
        <v>0.29521293141404903</v>
      </c>
      <c r="N69" s="267">
        <f>Fak_3*43.936601574425</f>
        <v>0.43936601574424999</v>
      </c>
      <c r="O69" s="267">
        <f>Fak_3*46.3240208994075</f>
        <v>0.46324020899407503</v>
      </c>
      <c r="P69" s="267">
        <f>Fak_3*62.9668343980986</f>
        <v>0.62966834398098603</v>
      </c>
      <c r="Q69" s="267">
        <f>Fak_3*23.8820831064586</f>
        <v>0.23882083106458601</v>
      </c>
      <c r="R69" s="267">
        <f>Fak_3*81.6008868152241</f>
        <v>0.81600886815224105</v>
      </c>
      <c r="S69" s="267">
        <f>Fak_3*212.527199062302</f>
        <v>2.1252719906230202</v>
      </c>
      <c r="T69" s="267">
        <f>Fak_3*144.107131886394</f>
        <v>1.4410713188639401</v>
      </c>
      <c r="U69" s="267">
        <f>Fak_3*92.2807448681741</f>
        <v>0.92280744868174103</v>
      </c>
      <c r="V69" s="267">
        <f>Fak_3*49.6829283838053</f>
        <v>0.49682928383805297</v>
      </c>
      <c r="W69" s="267">
        <f>Fak_3*79.9132891408672</f>
        <v>0.79913289140867205</v>
      </c>
      <c r="X69" s="267">
        <f>Fak_3*84.5385865798201</f>
        <v>0.84538586579820107</v>
      </c>
      <c r="Y69" s="267">
        <f>Fak_3*99.0914787103903</f>
        <v>0.99091478710390313</v>
      </c>
      <c r="Z69" s="267">
        <f>Fak_3*69.0857800247204</f>
        <v>0.69085780024720411</v>
      </c>
      <c r="AA69" s="267">
        <f>Fak_3*39.7578202685262</f>
        <v>0.39757820268526206</v>
      </c>
      <c r="AB69" s="267">
        <f>Fak_3*31.245772380308</f>
        <v>0.31245772380308001</v>
      </c>
      <c r="AC69" s="267">
        <f>Fak_3*76.0906966647651</f>
        <v>0.76090696664765112</v>
      </c>
      <c r="AD69" s="267">
        <f>Fak_3*298.528025883668</f>
        <v>2.9852802588366805</v>
      </c>
      <c r="AE69" s="267">
        <f>Fak_3*408.765092415563</f>
        <v>4.0876509241556302</v>
      </c>
      <c r="AF69" s="267">
        <f>Fak_3*133.355622706336</f>
        <v>1.3335562270633599</v>
      </c>
      <c r="AG69" s="267">
        <f>Fak_3*2544.35232790404</f>
        <v>25.443523279040402</v>
      </c>
      <c r="AH69" s="213"/>
      <c r="AI69" s="220">
        <f t="shared" si="22"/>
        <v>0.47014924161630484</v>
      </c>
      <c r="AJ69" s="367"/>
      <c r="AL69" s="210"/>
      <c r="BQ69" s="144">
        <v>1091.9388516614299</v>
      </c>
      <c r="BR69" s="144">
        <v>513.37422300000003</v>
      </c>
      <c r="BS69" s="144">
        <f t="shared" si="23"/>
        <v>578.56462866142988</v>
      </c>
      <c r="CD69" s="214"/>
      <c r="CE69" s="214"/>
    </row>
    <row r="70" spans="2:128" s="144" customFormat="1" ht="24" customHeight="1" x14ac:dyDescent="0.25">
      <c r="B70" s="227"/>
      <c r="C70" s="228"/>
      <c r="D70" s="229"/>
      <c r="E70" s="131"/>
      <c r="F70" s="198"/>
      <c r="G70" s="197">
        <v>213</v>
      </c>
      <c r="H70" s="148" t="str">
        <f>+VLOOKUP($G70,Konstanten!$A$2:$B$15,2,FALSE)</f>
        <v>betriebliche Nutzung</v>
      </c>
      <c r="I70" s="148"/>
      <c r="J70" s="267">
        <f>Fak_3*0</f>
        <v>0</v>
      </c>
      <c r="K70" s="267">
        <f>Fak_3*2.22398975539198</f>
        <v>2.22398975539198E-2</v>
      </c>
      <c r="L70" s="267">
        <f>Fak_3*42.6018535410848</f>
        <v>0.426018535410848</v>
      </c>
      <c r="M70" s="267">
        <f>Fak_3*0</f>
        <v>0</v>
      </c>
      <c r="N70" s="267">
        <f>Fak_3*2.57830838802573</f>
        <v>2.5783083880257299E-2</v>
      </c>
      <c r="O70" s="267">
        <f>Fak_3*0.517819759881957</f>
        <v>5.178197598819571E-3</v>
      </c>
      <c r="P70" s="267">
        <f>Fak_3*0</f>
        <v>0</v>
      </c>
      <c r="Q70" s="267">
        <f>Fak_3*0</f>
        <v>0</v>
      </c>
      <c r="R70" s="267">
        <f>Fak_3*0.746350311408372</f>
        <v>7.4635031140837206E-3</v>
      </c>
      <c r="S70" s="267">
        <f>Fak_3*94.6326965080935</f>
        <v>0.94632696508093506</v>
      </c>
      <c r="T70" s="267">
        <f>Fak_3*370.765977715275</f>
        <v>3.7076597771527502</v>
      </c>
      <c r="U70" s="267">
        <f>Fak_3*45.1576509453146</f>
        <v>0.45157650945314604</v>
      </c>
      <c r="V70" s="267">
        <f>Fak_3*11.2962832440833</f>
        <v>0.11296283244083301</v>
      </c>
      <c r="W70" s="267">
        <f>Fak_3*47.1441875512443</f>
        <v>0.47144187551244299</v>
      </c>
      <c r="X70" s="267">
        <f>Fak_3*3.36642756461312</f>
        <v>3.3664275646131205E-2</v>
      </c>
      <c r="Y70" s="267">
        <f>Fak_3*16.2938458237362</f>
        <v>0.162938458237362</v>
      </c>
      <c r="Z70" s="267">
        <f>Fak_3*7.10680303866574</f>
        <v>7.1068030386657405E-2</v>
      </c>
      <c r="AA70" s="267">
        <f>Fak_3*2.22174597895267</f>
        <v>2.2217459789526699E-2</v>
      </c>
      <c r="AB70" s="267">
        <f>Fak_3*24.8150264307975</f>
        <v>0.24815026430797499</v>
      </c>
      <c r="AC70" s="267">
        <f>Fak_3*18.8664830778286</f>
        <v>0.18866483077828602</v>
      </c>
      <c r="AD70" s="267">
        <f>Fak_3*308.806386981401</f>
        <v>3.0880638698140097</v>
      </c>
      <c r="AE70" s="267">
        <f>Fak_3*474.220392934123</f>
        <v>4.7422039293412306</v>
      </c>
      <c r="AF70" s="267">
        <f>Fak_3*554.591932067142</f>
        <v>5.5459193206714206</v>
      </c>
      <c r="AG70" s="267">
        <f>Fak_3*2027.95416161706</f>
        <v>20.279541616170601</v>
      </c>
      <c r="AH70" s="213"/>
      <c r="AI70" s="220">
        <f t="shared" si="22"/>
        <v>0.67934740484148592</v>
      </c>
      <c r="AJ70" s="367"/>
      <c r="AL70" s="210"/>
      <c r="BQ70" s="144">
        <v>435.91739350075102</v>
      </c>
      <c r="BR70" s="144">
        <v>296.13935000000004</v>
      </c>
      <c r="BS70" s="144">
        <f t="shared" si="23"/>
        <v>139.77804350075098</v>
      </c>
      <c r="CD70" s="214"/>
      <c r="CE70" s="214"/>
    </row>
    <row r="71" spans="2:128" s="144" customFormat="1" ht="24" customHeight="1" x14ac:dyDescent="0.25">
      <c r="B71" s="227"/>
      <c r="C71" s="228"/>
      <c r="D71" s="229"/>
      <c r="E71" s="131"/>
      <c r="F71" s="198"/>
      <c r="G71" s="197">
        <v>214</v>
      </c>
      <c r="H71" s="148" t="str">
        <f>+VLOOKUP($G71,Konstanten!$A$2:$B$15,2,FALSE)</f>
        <v>sonstige bauliche Nutzung</v>
      </c>
      <c r="I71" s="148"/>
      <c r="J71" s="267">
        <f>Fak_3*0</f>
        <v>0</v>
      </c>
      <c r="K71" s="267">
        <f>Fak_3*148.349927018701</f>
        <v>1.4834992701870102</v>
      </c>
      <c r="L71" s="267">
        <f>Fak_3*1.57285797403851</f>
        <v>1.57285797403851E-2</v>
      </c>
      <c r="M71" s="267">
        <f>Fak_3*0</f>
        <v>0</v>
      </c>
      <c r="N71" s="267">
        <f>Fak_3*0</f>
        <v>0</v>
      </c>
      <c r="O71" s="267">
        <f>Fak_3*0.0619970275421029</f>
        <v>6.1997027542102904E-4</v>
      </c>
      <c r="P71" s="267">
        <f>Fak_3*0.200513282451689</f>
        <v>2.0051328245168903E-3</v>
      </c>
      <c r="Q71" s="267">
        <f>Fak_3*0</f>
        <v>0</v>
      </c>
      <c r="R71" s="267">
        <f>Fak_3*2.00472691660927</f>
        <v>2.0047269166092702E-2</v>
      </c>
      <c r="S71" s="267">
        <f>Fak_3*44.8782670588519</f>
        <v>0.44878267058851895</v>
      </c>
      <c r="T71" s="267">
        <f>Fak_3*103.550547303444</f>
        <v>1.0355054730344402</v>
      </c>
      <c r="U71" s="267">
        <f>Fak_3*2.24283490573375</f>
        <v>2.24283490573375E-2</v>
      </c>
      <c r="V71" s="267">
        <f>Fak_3*0</f>
        <v>0</v>
      </c>
      <c r="W71" s="267">
        <f>Fak_3*1.10122985117218</f>
        <v>1.1012298511721801E-2</v>
      </c>
      <c r="X71" s="267">
        <f>Fak_3*2.83065316093243E-06</f>
        <v>2.8306531609324304E-8</v>
      </c>
      <c r="Y71" s="267">
        <f>Fak_3*4.49410580743218</f>
        <v>4.4941058074321798E-2</v>
      </c>
      <c r="Z71" s="267">
        <f>Fak_3*2.23643322631677</f>
        <v>2.23643322631677E-2</v>
      </c>
      <c r="AA71" s="267">
        <f>Fak_3*0.126023896842131</f>
        <v>1.2602389684213101E-3</v>
      </c>
      <c r="AB71" s="267">
        <f>Fak_3*2.28142618780112</f>
        <v>2.2814261878011201E-2</v>
      </c>
      <c r="AC71" s="267">
        <f>Fak_3*0.635346330662785</f>
        <v>6.35346330662785E-3</v>
      </c>
      <c r="AD71" s="267">
        <f>Fak_3*16.7369590908109</f>
        <v>0.16736959090810899</v>
      </c>
      <c r="AE71" s="267">
        <f>Fak_3*58.4273978246438</f>
        <v>0.58427397824643801</v>
      </c>
      <c r="AF71" s="267">
        <f>Fak_3*12.8191998415046</f>
        <v>0.128191998415046</v>
      </c>
      <c r="AG71" s="267">
        <f>Fak_3*401.719796375211</f>
        <v>4.0171979637521096</v>
      </c>
      <c r="AH71" s="213"/>
      <c r="AI71" s="220">
        <f t="shared" si="22"/>
        <v>0.49709310254569294</v>
      </c>
      <c r="AJ71" s="367"/>
      <c r="AL71" s="210"/>
      <c r="BQ71" s="144">
        <v>153.25834860683301</v>
      </c>
      <c r="BR71" s="144">
        <v>76.183667999999997</v>
      </c>
      <c r="BS71" s="144">
        <f t="shared" si="23"/>
        <v>77.074680606833013</v>
      </c>
      <c r="CD71" s="214"/>
      <c r="CE71" s="214"/>
    </row>
    <row r="72" spans="2:128" s="144" customFormat="1" ht="24" customHeight="1" x14ac:dyDescent="0.25">
      <c r="B72" s="227"/>
      <c r="C72" s="228"/>
      <c r="D72" s="229"/>
      <c r="E72" s="131"/>
      <c r="F72" s="200"/>
      <c r="G72" s="215"/>
      <c r="H72" s="216"/>
      <c r="I72" s="217" t="s">
        <v>7536</v>
      </c>
      <c r="J72" s="268">
        <f>Fak_3*141.071339840789</f>
        <v>1.4107133984078899</v>
      </c>
      <c r="K72" s="268">
        <f>Fak_3*514.953169648184</f>
        <v>5.1495316964818407</v>
      </c>
      <c r="L72" s="268">
        <f>Fak_3*401.166648329137</f>
        <v>4.0116664832913695</v>
      </c>
      <c r="M72" s="268">
        <f>Fak_3*112.561980613447</f>
        <v>1.12561980613447</v>
      </c>
      <c r="N72" s="268">
        <f>Fak_3*126.60726483017</f>
        <v>1.2660726483017</v>
      </c>
      <c r="O72" s="268">
        <f>Fak_3*92.981117948787</f>
        <v>0.92981117948787007</v>
      </c>
      <c r="P72" s="268">
        <f>Fak_3*115.119366514933</f>
        <v>1.1511936651493302</v>
      </c>
      <c r="Q72" s="268">
        <f>Fak_3*76.3208158417483</f>
        <v>0.76320815841748302</v>
      </c>
      <c r="R72" s="268">
        <f>Fak_3*173.978871916238</f>
        <v>1.7397887191623802</v>
      </c>
      <c r="S72" s="268">
        <f>Fak_3*1081.26353847487</f>
        <v>10.812635384748701</v>
      </c>
      <c r="T72" s="268">
        <f>Fak_3*1012.03318442426</f>
        <v>10.1203318442426</v>
      </c>
      <c r="U72" s="268">
        <f>Fak_3*461.021408773076</f>
        <v>4.6102140877307605</v>
      </c>
      <c r="V72" s="268">
        <f>Fak_3*817.804951769372</f>
        <v>8.1780495176937205</v>
      </c>
      <c r="W72" s="268">
        <f>Fak_3*902.936923071701</f>
        <v>9.0293692307170108</v>
      </c>
      <c r="X72" s="268">
        <f>Fak_3*206.75907104418</f>
        <v>2.0675907104418001</v>
      </c>
      <c r="Y72" s="268">
        <f>Fak_3*433.305779043841</f>
        <v>4.33305779043841</v>
      </c>
      <c r="Z72" s="268">
        <f>Fak_3*375.460985827291</f>
        <v>3.7546098582729099</v>
      </c>
      <c r="AA72" s="268">
        <f>Fak_3*372.468067381729</f>
        <v>3.7246806738172897</v>
      </c>
      <c r="AB72" s="268">
        <f>Fak_3*746.878471177469</f>
        <v>7.4687847117746902</v>
      </c>
      <c r="AC72" s="268">
        <f>Fak_3*203.535495920254</f>
        <v>2.0353549592025399</v>
      </c>
      <c r="AD72" s="268">
        <f>Fak_3*1792.16470061509</f>
        <v>17.921647006150899</v>
      </c>
      <c r="AE72" s="268">
        <f>Fak_3*2660.03839630722</f>
        <v>26.600383963072201</v>
      </c>
      <c r="AF72" s="268">
        <f>Fak_3*1707.31112549957</f>
        <v>17.073111254995698</v>
      </c>
      <c r="AG72" s="268">
        <f>Fak_3*14527.7426748134</f>
        <v>145.27742674813402</v>
      </c>
      <c r="AH72" s="213"/>
      <c r="AI72" s="220">
        <f t="shared" si="22"/>
        <v>0.47352572969419021</v>
      </c>
      <c r="AJ72" s="367"/>
      <c r="AL72" s="210"/>
      <c r="BQ72" s="144">
        <v>2793.75774544365</v>
      </c>
      <c r="BR72" s="144">
        <v>1322.9161750000001</v>
      </c>
      <c r="BS72" s="144">
        <f t="shared" si="23"/>
        <v>1470.84157044365</v>
      </c>
      <c r="CD72" s="214"/>
      <c r="CE72" s="214"/>
    </row>
    <row r="73" spans="2:128" s="144" customFormat="1" ht="24" customHeight="1" x14ac:dyDescent="0.25">
      <c r="B73" s="227"/>
      <c r="C73" s="228"/>
      <c r="D73" s="229"/>
      <c r="E73" s="131"/>
      <c r="F73" s="200" t="s">
        <v>7409</v>
      </c>
      <c r="G73" s="215"/>
      <c r="H73" s="216"/>
      <c r="I73" s="217" t="s">
        <v>7537</v>
      </c>
      <c r="J73" s="268">
        <f>Fak_3*0.550766669099226</f>
        <v>5.5076666909922604E-3</v>
      </c>
      <c r="K73" s="268">
        <f>Fak_3*10.8545637742143</f>
        <v>0.108545637742143</v>
      </c>
      <c r="L73" s="268">
        <f>Fak_3*27.4088006556619</f>
        <v>0.27408800655661902</v>
      </c>
      <c r="M73" s="268">
        <f>Fak_3*0.728845401252894</f>
        <v>7.2884540125289403E-3</v>
      </c>
      <c r="N73" s="268">
        <f>Fak_3*1.51372539780635</f>
        <v>1.5137253978063502E-2</v>
      </c>
      <c r="O73" s="268">
        <f>Fak_3*2.06646658748017</f>
        <v>2.0664665874801699E-2</v>
      </c>
      <c r="P73" s="268">
        <f>Fak_3*0.136627929587347</f>
        <v>1.3662792958734702E-3</v>
      </c>
      <c r="Q73" s="268">
        <f>Fak_3*0.243868152350673</f>
        <v>2.43868152350673E-3</v>
      </c>
      <c r="R73" s="268">
        <f>Fak_3*4.94944790450062</f>
        <v>4.9494479045006201E-2</v>
      </c>
      <c r="S73" s="268">
        <f>Fak_3*52.7249865294064</f>
        <v>0.52724986529406404</v>
      </c>
      <c r="T73" s="268">
        <f>Fak_3*100.9906038586</f>
        <v>1.0099060385859999</v>
      </c>
      <c r="U73" s="268">
        <f>Fak_3*26.2052671062576</f>
        <v>0.26205267106257601</v>
      </c>
      <c r="V73" s="268">
        <f>Fak_3*18.9352055119125</f>
        <v>0.18935205511912501</v>
      </c>
      <c r="W73" s="268">
        <f>Fak_3*19.5271635497745</f>
        <v>0.19527163549774501</v>
      </c>
      <c r="X73" s="268">
        <f>Fak_3*2.75026903342433</f>
        <v>2.7502690334243299E-2</v>
      </c>
      <c r="Y73" s="268">
        <f>Fak_3*8.40197582869611</f>
        <v>8.4019758286961094E-2</v>
      </c>
      <c r="Z73" s="268">
        <f>Fak_3*7.5923178608659</f>
        <v>7.5923178608659006E-2</v>
      </c>
      <c r="AA73" s="268">
        <f>Fak_3*1.34002762479094</f>
        <v>1.3400276247909401E-2</v>
      </c>
      <c r="AB73" s="268">
        <f>Fak_3*84.2181164910607</f>
        <v>0.84218116491060702</v>
      </c>
      <c r="AC73" s="268">
        <f>Fak_3*19.5696009340003</f>
        <v>0.195696009340003</v>
      </c>
      <c r="AD73" s="268">
        <f>Fak_3*74.3706374066564</f>
        <v>0.74370637406656404</v>
      </c>
      <c r="AE73" s="268">
        <f>Fak_3*210.303580753925</f>
        <v>2.1030358075392499</v>
      </c>
      <c r="AF73" s="268">
        <f>Fak_3*48.661909951338</f>
        <v>0.48661909951337995</v>
      </c>
      <c r="AG73" s="268">
        <f>Fak_3*724.044774912662</f>
        <v>7.2404477491266199</v>
      </c>
      <c r="AH73" s="213"/>
      <c r="AI73" s="220">
        <f t="shared" si="22"/>
        <v>0.44779624681110691</v>
      </c>
      <c r="AJ73" s="367"/>
      <c r="AL73" s="210"/>
      <c r="BQ73" s="144">
        <v>659.18180668565299</v>
      </c>
      <c r="BR73" s="144">
        <v>295.17913900000002</v>
      </c>
      <c r="BS73" s="144">
        <f t="shared" si="23"/>
        <v>364.00266768565297</v>
      </c>
      <c r="CD73" s="214"/>
      <c r="CE73" s="214"/>
      <c r="DV73" s="330"/>
      <c r="DW73" s="330"/>
      <c r="DX73" s="330"/>
    </row>
    <row r="74" spans="2:128" s="144" customFormat="1" ht="24" customHeight="1" x14ac:dyDescent="0.25">
      <c r="B74" s="227"/>
      <c r="C74" s="228"/>
      <c r="D74" s="229"/>
      <c r="E74" s="131"/>
      <c r="F74" s="321" t="s">
        <v>7549</v>
      </c>
      <c r="G74" s="199"/>
      <c r="H74" s="200"/>
      <c r="I74" s="217" t="s">
        <v>7538</v>
      </c>
      <c r="J74" s="268">
        <f>Fak_3*31.5031973129145</f>
        <v>0.31503197312914505</v>
      </c>
      <c r="K74" s="268">
        <f>Fak_3*407.314155686559</f>
        <v>4.0731415568655898</v>
      </c>
      <c r="L74" s="268">
        <f>Fak_3*108.029084076082</f>
        <v>1.08029084076082</v>
      </c>
      <c r="M74" s="268">
        <f>Fak_3*18.4965585447411</f>
        <v>0.18496558544741099</v>
      </c>
      <c r="N74" s="268">
        <f>Fak_3*9.16617232521378</f>
        <v>9.1661723252137811E-2</v>
      </c>
      <c r="O74" s="268">
        <f>Fak_3*4.45328296678764</f>
        <v>4.4532829667876403E-2</v>
      </c>
      <c r="P74" s="268">
        <f>Fak_3*6.42510599211234</f>
        <v>6.4251059921123399E-2</v>
      </c>
      <c r="Q74" s="268">
        <f>Fak_3*2.16938986449346</f>
        <v>2.1693898644934602E-2</v>
      </c>
      <c r="R74" s="268">
        <f>Fak_3*21.6841367402115</f>
        <v>0.21684136740211502</v>
      </c>
      <c r="S74" s="268">
        <f>Fak_3*320.005382644958</f>
        <v>3.2000538264495799</v>
      </c>
      <c r="T74" s="268">
        <f>Fak_3*372.593438667658</f>
        <v>3.7259343866765802</v>
      </c>
      <c r="U74" s="268">
        <f>Fak_3*88.9302743600732</f>
        <v>0.88930274360073203</v>
      </c>
      <c r="V74" s="268">
        <f>Fak_3*341.910201787222</f>
        <v>3.4191020178722198</v>
      </c>
      <c r="W74" s="268">
        <f>Fak_3*166.043603726335</f>
        <v>1.66043603726335</v>
      </c>
      <c r="X74" s="268">
        <f>Fak_3*50.870376406226</f>
        <v>0.50870376406226003</v>
      </c>
      <c r="Y74" s="268">
        <f>Fak_3*59.498305687238</f>
        <v>0.59498305687238007</v>
      </c>
      <c r="Z74" s="268">
        <f>Fak_3*94.6389217039306</f>
        <v>0.94638921703930612</v>
      </c>
      <c r="AA74" s="268">
        <f>Fak_3*65.6311777669707</f>
        <v>0.65631177766970694</v>
      </c>
      <c r="AB74" s="268">
        <f>Fak_3*142.910692029468</f>
        <v>1.4291069202946802</v>
      </c>
      <c r="AC74" s="268">
        <f>Fak_3*45.6901653582352</f>
        <v>0.45690165358235202</v>
      </c>
      <c r="AD74" s="268">
        <f>Fak_3*317.47894403427</f>
        <v>3.1747894403427002</v>
      </c>
      <c r="AE74" s="268">
        <f>Fak_3*647.853966423807</f>
        <v>6.4785396642380704</v>
      </c>
      <c r="AF74" s="268">
        <f>Fak_3*202.283563212527</f>
        <v>2.0228356321252701</v>
      </c>
      <c r="AG74" s="268">
        <f>Fak_3*3525.58009731803</f>
        <v>35.2558009731803</v>
      </c>
      <c r="AH74" s="213"/>
      <c r="AI74" s="220">
        <f t="shared" si="22"/>
        <v>0.16709269428718873</v>
      </c>
      <c r="AJ74" s="367"/>
      <c r="AL74" s="210"/>
      <c r="BQ74" s="144">
        <v>330.24510877272303</v>
      </c>
      <c r="BR74" s="144">
        <v>55.181545</v>
      </c>
      <c r="BS74" s="144">
        <f t="shared" si="23"/>
        <v>275.063563772723</v>
      </c>
      <c r="CD74" s="214"/>
      <c r="CE74" s="214"/>
      <c r="DV74" s="330"/>
      <c r="DW74" s="330"/>
      <c r="DX74" s="330"/>
    </row>
    <row r="75" spans="2:128" s="144" customFormat="1" ht="24" customHeight="1" x14ac:dyDescent="0.25">
      <c r="B75" s="227"/>
      <c r="C75" s="228"/>
      <c r="D75" s="229"/>
      <c r="E75" s="131"/>
      <c r="F75" s="322" t="s">
        <v>7519</v>
      </c>
      <c r="G75" s="199"/>
      <c r="H75" s="200"/>
      <c r="I75" s="217" t="s">
        <v>7539</v>
      </c>
      <c r="J75" s="268">
        <f>Fak_3*0</f>
        <v>0</v>
      </c>
      <c r="K75" s="268">
        <f>Fak_3*9.54816001505163</f>
        <v>9.5481600150516308E-2</v>
      </c>
      <c r="L75" s="268">
        <f>Fak_3*0.0343077174041446</f>
        <v>3.4307717404144603E-4</v>
      </c>
      <c r="M75" s="268">
        <f>Fak_3*0</f>
        <v>0</v>
      </c>
      <c r="N75" s="268">
        <f>Fak_3*0</f>
        <v>0</v>
      </c>
      <c r="O75" s="268">
        <f>Fak_3*0</f>
        <v>0</v>
      </c>
      <c r="P75" s="268">
        <f>Fak_3*0</f>
        <v>0</v>
      </c>
      <c r="Q75" s="268">
        <f>Fak_3*0</f>
        <v>0</v>
      </c>
      <c r="R75" s="268">
        <f>Fak_3*0.119975916799552</f>
        <v>1.19975916799552E-3</v>
      </c>
      <c r="S75" s="268">
        <f>Fak_3*5.15355208563177</f>
        <v>5.1535520856317699E-2</v>
      </c>
      <c r="T75" s="268">
        <f>Fak_3*1.50546436007098</f>
        <v>1.5054643600709801E-2</v>
      </c>
      <c r="U75" s="268">
        <f>Fak_3*0.78354264265982</f>
        <v>7.8354264265982007E-3</v>
      </c>
      <c r="V75" s="268">
        <f>Fak_3*3.14028686482327</f>
        <v>3.1402868648232704E-2</v>
      </c>
      <c r="W75" s="268">
        <f>Fak_3*4.3887446653419</f>
        <v>4.3887446653418996E-2</v>
      </c>
      <c r="X75" s="268">
        <f>Fak_3*0</f>
        <v>0</v>
      </c>
      <c r="Y75" s="268">
        <f>Fak_3*1.60902725319432</f>
        <v>1.6090272531943201E-2</v>
      </c>
      <c r="Z75" s="268">
        <f>Fak_3*0</f>
        <v>0</v>
      </c>
      <c r="AA75" s="268">
        <f>Fak_3*0.252513264528089</f>
        <v>2.5251326452808897E-3</v>
      </c>
      <c r="AB75" s="268">
        <f>Fak_3*2.1038809219248</f>
        <v>2.1038809219247997E-2</v>
      </c>
      <c r="AC75" s="268">
        <f>Fak_3*0.00058576303862545</f>
        <v>5.8576303862544999E-6</v>
      </c>
      <c r="AD75" s="268">
        <f>Fak_3*66.4598567995123</f>
        <v>0.66459856799512296</v>
      </c>
      <c r="AE75" s="268">
        <f>Fak_3*80.5181582832186</f>
        <v>0.80518158283218599</v>
      </c>
      <c r="AF75" s="268">
        <f>Fak_3*4.27380604745249</f>
        <v>4.2738060474524907E-2</v>
      </c>
      <c r="AG75" s="268">
        <f>Fak_3*179.891862600652</f>
        <v>1.79891862600652</v>
      </c>
      <c r="AH75" s="213"/>
      <c r="AI75" s="220">
        <f t="shared" si="22"/>
        <v>0.11640789345535361</v>
      </c>
      <c r="AJ75" s="367"/>
      <c r="AL75" s="210"/>
      <c r="BQ75" s="144">
        <v>145.07992111786899</v>
      </c>
      <c r="BR75" s="144">
        <v>16.888448</v>
      </c>
      <c r="BS75" s="144">
        <f t="shared" si="23"/>
        <v>128.19147311786898</v>
      </c>
      <c r="CD75" s="214"/>
      <c r="CE75" s="214"/>
      <c r="DV75" s="330"/>
      <c r="DW75" s="330"/>
      <c r="DX75" s="330"/>
    </row>
    <row r="76" spans="2:128" s="208" customFormat="1" ht="24" customHeight="1" x14ac:dyDescent="0.25">
      <c r="B76" s="240"/>
      <c r="C76" s="230"/>
      <c r="D76" s="241"/>
      <c r="E76" s="183"/>
      <c r="F76" s="202" t="s">
        <v>7416</v>
      </c>
      <c r="G76" s="203"/>
      <c r="H76" s="201"/>
      <c r="I76" s="204" t="s">
        <v>7533</v>
      </c>
      <c r="J76" s="269">
        <f t="shared" ref="J76:AG76" si="24">+SUM(J75,J74,J73,J72,J67)</f>
        <v>2.8231610430896668</v>
      </c>
      <c r="K76" s="269">
        <f t="shared" ref="K76:R76" si="25">+SUM(K75,K74,K73,K72,K67)</f>
        <v>12.660370172883582</v>
      </c>
      <c r="L76" s="269">
        <f t="shared" si="25"/>
        <v>7.27400797509162</v>
      </c>
      <c r="M76" s="269">
        <f t="shared" si="25"/>
        <v>1.7899095730287158</v>
      </c>
      <c r="N76" s="269">
        <f t="shared" si="25"/>
        <v>2.0091721118470725</v>
      </c>
      <c r="O76" s="269">
        <f t="shared" si="25"/>
        <v>1.416103519703912</v>
      </c>
      <c r="P76" s="269">
        <f t="shared" si="25"/>
        <v>1.6056829747245152</v>
      </c>
      <c r="Q76" s="269">
        <f t="shared" si="25"/>
        <v>1.0861913026082992</v>
      </c>
      <c r="R76" s="269">
        <f t="shared" si="25"/>
        <v>2.9311192838032092</v>
      </c>
      <c r="S76" s="269">
        <f t="shared" si="24"/>
        <v>20.054747225282981</v>
      </c>
      <c r="T76" s="269">
        <f t="shared" si="24"/>
        <v>19.191743218983181</v>
      </c>
      <c r="U76" s="269">
        <f t="shared" si="24"/>
        <v>7.8361688680139263</v>
      </c>
      <c r="V76" s="269">
        <f t="shared" si="24"/>
        <v>14.237274039132288</v>
      </c>
      <c r="W76" s="269">
        <f t="shared" si="24"/>
        <v>13.811890228883424</v>
      </c>
      <c r="X76" s="269">
        <f t="shared" si="24"/>
        <v>3.8678204710898436</v>
      </c>
      <c r="Y76" s="269">
        <f t="shared" si="24"/>
        <v>6.5382746815548849</v>
      </c>
      <c r="Z76" s="269">
        <f t="shared" si="24"/>
        <v>5.9295585433727753</v>
      </c>
      <c r="AA76" s="269">
        <f t="shared" si="24"/>
        <v>5.4409280651711969</v>
      </c>
      <c r="AB76" s="269">
        <f t="shared" si="24"/>
        <v>12.373242933028946</v>
      </c>
      <c r="AC76" s="269">
        <f t="shared" si="24"/>
        <v>4.3979846936768112</v>
      </c>
      <c r="AD76" s="269">
        <f t="shared" si="24"/>
        <v>28.482974153091014</v>
      </c>
      <c r="AE76" s="269">
        <f t="shared" si="24"/>
        <v>45.23703503544855</v>
      </c>
      <c r="AF76" s="269">
        <f t="shared" si="24"/>
        <v>24.029651738982032</v>
      </c>
      <c r="AG76" s="269">
        <f t="shared" si="24"/>
        <v>245.02501185249287</v>
      </c>
      <c r="AH76" s="206"/>
      <c r="AI76" s="220">
        <f t="shared" si="22"/>
        <v>0.52475772773011986</v>
      </c>
      <c r="AJ76" s="367"/>
      <c r="AL76" s="202"/>
      <c r="BQ76" s="208">
        <v>5647.9554304425055</v>
      </c>
      <c r="BR76" s="208">
        <v>2963.808258</v>
      </c>
      <c r="BS76" s="144">
        <f t="shared" si="23"/>
        <v>2684.1471724425055</v>
      </c>
      <c r="CD76" s="209"/>
      <c r="CE76" s="209"/>
    </row>
    <row r="77" spans="2:128" ht="66" customHeight="1" x14ac:dyDescent="0.4">
      <c r="F77" s="365"/>
      <c r="G77" s="365"/>
      <c r="H77" s="365"/>
      <c r="AI77" s="138"/>
    </row>
    <row r="78" spans="2:128" ht="22.5" x14ac:dyDescent="0.3">
      <c r="I78" s="369" t="str">
        <f xml:space="preserve"> "Versiegelung " &amp; IF(Versatz = 1, "in "&amp;W!Einheit, IF(Versatz = 2, "in m² pro Einwohner:in", "in Prozent des Dauersiedlungsraums"))</f>
        <v>Versiegelung in km²</v>
      </c>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row>
    <row r="79" spans="2:128" ht="114" customHeight="1" x14ac:dyDescent="0.4">
      <c r="B79" s="247"/>
      <c r="C79" s="233"/>
      <c r="D79" s="248"/>
      <c r="E79" s="249"/>
      <c r="F79" s="147"/>
      <c r="G79" s="250"/>
      <c r="H79" s="147"/>
      <c r="I79" s="152"/>
      <c r="J79" s="278" t="str">
        <f>+J24</f>
        <v>Wien  1., Innere Stadt</v>
      </c>
      <c r="K79" s="278" t="str">
        <f t="shared" ref="K79:T79" si="26">+S24</f>
        <v>Wien  10., Favoriten</v>
      </c>
      <c r="L79" s="278" t="str">
        <f t="shared" si="26"/>
        <v>Wien  11., Simmering</v>
      </c>
      <c r="M79" s="278" t="str">
        <f t="shared" si="26"/>
        <v>Wien  12., Meidling</v>
      </c>
      <c r="N79" s="278" t="str">
        <f t="shared" si="26"/>
        <v>Wien  13., Hietzing</v>
      </c>
      <c r="O79" s="278" t="str">
        <f t="shared" si="26"/>
        <v>Wien  14., Penzing</v>
      </c>
      <c r="P79" s="278" t="str">
        <f t="shared" si="26"/>
        <v>Wien  15., Rudolfsheim-Fünfhaus</v>
      </c>
      <c r="Q79" s="278" t="str">
        <f t="shared" si="26"/>
        <v>Wien  16., Ottakring</v>
      </c>
      <c r="R79" s="278" t="str">
        <f t="shared" si="26"/>
        <v>Wien  17., Hernals</v>
      </c>
      <c r="S79" s="278" t="str">
        <f t="shared" si="26"/>
        <v>Wien  18., Währing</v>
      </c>
      <c r="T79" s="278" t="str">
        <f t="shared" si="26"/>
        <v>Wien  19., Döbling</v>
      </c>
      <c r="U79" s="278" t="str">
        <f>+K24</f>
        <v>Wien  2., Leopoldstadt</v>
      </c>
      <c r="V79" s="278" t="str">
        <f>+AC24</f>
        <v>Wien  20., Brigittenau</v>
      </c>
      <c r="W79" s="278" t="str">
        <f>+AD24</f>
        <v>Wien  21., Floridsdorf</v>
      </c>
      <c r="X79" s="278" t="str">
        <f>+AE24</f>
        <v>Wien  22., Donaustadt</v>
      </c>
      <c r="Y79" s="278" t="str">
        <f>+AF24</f>
        <v>Wien  23., Liesing</v>
      </c>
      <c r="Z79" s="278" t="str">
        <f t="shared" ref="Z79:AF79" si="27">+L24</f>
        <v>Wien  3., Landstraße</v>
      </c>
      <c r="AA79" s="278" t="str">
        <f t="shared" si="27"/>
        <v>Wien  4., Wieden</v>
      </c>
      <c r="AB79" s="278" t="str">
        <f t="shared" si="27"/>
        <v>Wien  5., Margareten</v>
      </c>
      <c r="AC79" s="278" t="str">
        <f t="shared" si="27"/>
        <v>Wien  6., Mariahilf</v>
      </c>
      <c r="AD79" s="278" t="str">
        <f t="shared" si="27"/>
        <v>Wien  7., Neubau</v>
      </c>
      <c r="AE79" s="278" t="str">
        <f t="shared" si="27"/>
        <v>Wien  8., Josefstadt</v>
      </c>
      <c r="AF79" s="278" t="str">
        <f t="shared" si="27"/>
        <v>Wien  9., Alsergrund</v>
      </c>
      <c r="AG79" s="277" t="str">
        <f>+AG24</f>
        <v>W</v>
      </c>
      <c r="AH79" s="252"/>
      <c r="AI79" s="151"/>
      <c r="AJ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Fak_3*0</f>
        <v>0</v>
      </c>
      <c r="K80" s="267">
        <f>Fak_3*40.3035</f>
        <v>0.40303500000000003</v>
      </c>
      <c r="L80" s="267">
        <f>Fak_3*28.3452</f>
        <v>0.28345199999999998</v>
      </c>
      <c r="M80" s="267">
        <f>Fak_3*3.5174</f>
        <v>3.5173999999999997E-2</v>
      </c>
      <c r="N80" s="267">
        <f>Fak_3*9.8975</f>
        <v>9.8975000000000007E-2</v>
      </c>
      <c r="O80" s="267">
        <f>Fak_3*0</f>
        <v>0</v>
      </c>
      <c r="P80" s="267">
        <f>Fak_3*0</f>
        <v>0</v>
      </c>
      <c r="Q80" s="267">
        <f>Fak_3*0</f>
        <v>0</v>
      </c>
      <c r="R80" s="267">
        <f>Fak_3*0</f>
        <v>0</v>
      </c>
      <c r="S80" s="267">
        <f>Fak_3*0</f>
        <v>0</v>
      </c>
      <c r="T80" s="267">
        <f>Fak_3*0.4304</f>
        <v>4.3040000000000005E-3</v>
      </c>
      <c r="U80" s="267">
        <f>Fak_3*17.3497</f>
        <v>0.17349699999999998</v>
      </c>
      <c r="V80" s="267">
        <f>Fak_3*1.5001</f>
        <v>1.5001E-2</v>
      </c>
      <c r="W80" s="267">
        <f>Fak_3*33.9788</f>
        <v>0.33978799999999998</v>
      </c>
      <c r="X80" s="267">
        <f>Fak_3*61.9031</f>
        <v>0.619031</v>
      </c>
      <c r="Y80" s="267">
        <f>Fak_3*25.2527</f>
        <v>0.252527</v>
      </c>
      <c r="Z80" s="267">
        <f>Fak_3*12.3953</f>
        <v>0.12395300000000001</v>
      </c>
      <c r="AA80" s="267">
        <f t="shared" ref="AA80:AF80" si="28">Fak_3*0</f>
        <v>0</v>
      </c>
      <c r="AB80" s="267">
        <f t="shared" si="28"/>
        <v>0</v>
      </c>
      <c r="AC80" s="267">
        <f t="shared" si="28"/>
        <v>0</v>
      </c>
      <c r="AD80" s="267">
        <f t="shared" si="28"/>
        <v>0</v>
      </c>
      <c r="AE80" s="267">
        <f t="shared" si="28"/>
        <v>0</v>
      </c>
      <c r="AF80" s="267">
        <f t="shared" si="28"/>
        <v>0</v>
      </c>
      <c r="AG80" s="267">
        <f>Fak_3*234.8737</f>
        <v>2.3487370000000003</v>
      </c>
      <c r="AH80" s="213"/>
      <c r="AI80" s="219"/>
      <c r="AJ80" s="210"/>
    </row>
    <row r="81" spans="2:36" s="144" customFormat="1" ht="24" customHeight="1" x14ac:dyDescent="0.25">
      <c r="B81" s="227"/>
      <c r="C81" s="228"/>
      <c r="D81" s="229"/>
      <c r="E81" s="131"/>
      <c r="F81" s="198"/>
      <c r="G81" s="196">
        <v>102</v>
      </c>
      <c r="H81" s="148" t="str">
        <f>+VLOOKUP($G81,Konstanten!$A$2:$B$15,2,FALSE)</f>
        <v>Landesstraße B + L</v>
      </c>
      <c r="I81" s="148"/>
      <c r="J81" s="267">
        <f>Fak_3*22.204</f>
        <v>0.22204000000000002</v>
      </c>
      <c r="K81" s="267">
        <f>Fak_3*100.2773</f>
        <v>1.0027729999999999</v>
      </c>
      <c r="L81" s="267">
        <f>Fak_3*65.4189</f>
        <v>0.65418899999999991</v>
      </c>
      <c r="M81" s="267">
        <f>Fak_3*51.3236</f>
        <v>0.51323600000000003</v>
      </c>
      <c r="N81" s="267">
        <f>Fak_3*33.1815</f>
        <v>0.33181500000000003</v>
      </c>
      <c r="O81" s="267">
        <f>Fak_3*47.7233</f>
        <v>0.47723300000000002</v>
      </c>
      <c r="P81" s="267">
        <f>Fak_3*26.858</f>
        <v>0.26857999999999999</v>
      </c>
      <c r="Q81" s="267">
        <f>Fak_3*18.5665</f>
        <v>0.18566500000000002</v>
      </c>
      <c r="R81" s="267">
        <f>Fak_3*13.1308</f>
        <v>0.13130800000000001</v>
      </c>
      <c r="S81" s="267">
        <f>Fak_3*16.6013</f>
        <v>0.16601299999999999</v>
      </c>
      <c r="T81" s="267">
        <f>Fak_3*47.5287</f>
        <v>0.47528700000000002</v>
      </c>
      <c r="U81" s="267">
        <f>Fak_3*59.732</f>
        <v>0.59731999999999996</v>
      </c>
      <c r="V81" s="267">
        <f>Fak_3*41.306</f>
        <v>0.41305999999999998</v>
      </c>
      <c r="W81" s="267">
        <f>Fak_3*106.7994</f>
        <v>1.0679940000000001</v>
      </c>
      <c r="X81" s="267">
        <f>Fak_3*131.3698</f>
        <v>1.313698</v>
      </c>
      <c r="Y81" s="267">
        <f>Fak_3*100.2303</f>
        <v>1.0023029999999999</v>
      </c>
      <c r="Z81" s="267">
        <f>Fak_3*48.416</f>
        <v>0.48415999999999998</v>
      </c>
      <c r="AA81" s="267">
        <f>Fak_3*17.5015</f>
        <v>0.175015</v>
      </c>
      <c r="AB81" s="267">
        <f>Fak_3*23.496</f>
        <v>0.23496</v>
      </c>
      <c r="AC81" s="267">
        <f>Fak_3*17.903</f>
        <v>0.17902999999999999</v>
      </c>
      <c r="AD81" s="267">
        <f>Fak_3*15.8612</f>
        <v>0.158612</v>
      </c>
      <c r="AE81" s="267">
        <f>Fak_3*8.5329</f>
        <v>8.5329000000000002E-2</v>
      </c>
      <c r="AF81" s="267">
        <f>Fak_3*21.8947</f>
        <v>0.218947</v>
      </c>
      <c r="AG81" s="267">
        <f>Fak_3*1035.8567</f>
        <v>10.358567000000001</v>
      </c>
      <c r="AH81" s="213"/>
      <c r="AI81" s="219"/>
      <c r="AJ81" s="210"/>
    </row>
    <row r="82" spans="2:36" s="144" customFormat="1" ht="24" customHeight="1" x14ac:dyDescent="0.25">
      <c r="B82" s="227"/>
      <c r="C82" s="228"/>
      <c r="D82" s="229"/>
      <c r="E82" s="131"/>
      <c r="F82" s="198"/>
      <c r="G82" s="196">
        <v>103</v>
      </c>
      <c r="H82" s="148" t="str">
        <f>+VLOOKUP($G82,Konstanten!$A$2:$B$15,2,FALSE)</f>
        <v>Gemeinde- und sonstige Straßen</v>
      </c>
      <c r="I82" s="148"/>
      <c r="J82" s="267">
        <f>Fak_3*77.4077</f>
        <v>0.77407700000000013</v>
      </c>
      <c r="K82" s="267">
        <f>Fak_3*234.4</f>
        <v>2.3440000000000003</v>
      </c>
      <c r="L82" s="267">
        <f>Fak_3*160.1545</f>
        <v>1.6015450000000002</v>
      </c>
      <c r="M82" s="267">
        <f>Fak_3*96.521</f>
        <v>0.96521000000000001</v>
      </c>
      <c r="N82" s="267">
        <f>Fak_3*142.0282</f>
        <v>1.420282</v>
      </c>
      <c r="O82" s="267">
        <f>Fak_3*164.7314</f>
        <v>1.6473140000000002</v>
      </c>
      <c r="P82" s="267">
        <f>Fak_3*68.81</f>
        <v>0.68810000000000004</v>
      </c>
      <c r="Q82" s="267">
        <f>Fak_3*114.8245</f>
        <v>1.148245</v>
      </c>
      <c r="R82" s="267">
        <f>Fak_3*85.7516</f>
        <v>0.85751599999999994</v>
      </c>
      <c r="S82" s="267">
        <f>Fak_3*71.0353</f>
        <v>0.71035300000000012</v>
      </c>
      <c r="T82" s="267">
        <f>Fak_3*137.1344</f>
        <v>1.3713440000000001</v>
      </c>
      <c r="U82" s="267">
        <f>Fak_3*156.509</f>
        <v>1.5650899999999999</v>
      </c>
      <c r="V82" s="267">
        <f>Fak_3*61.9429</f>
        <v>0.61942900000000001</v>
      </c>
      <c r="W82" s="267">
        <f>Fak_3*314.5499</f>
        <v>3.145499</v>
      </c>
      <c r="X82" s="267">
        <f>Fak_3*500.0381</f>
        <v>5.000381</v>
      </c>
      <c r="Y82" s="267">
        <f>Fak_3*221.1546</f>
        <v>2.2115459999999998</v>
      </c>
      <c r="Z82" s="267">
        <f>Fak_3*108.7223</f>
        <v>1.0872230000000001</v>
      </c>
      <c r="AA82" s="267">
        <f>Fak_3*28.2148</f>
        <v>0.28214800000000001</v>
      </c>
      <c r="AB82" s="267">
        <f>Fak_3*36.1201</f>
        <v>0.36120099999999999</v>
      </c>
      <c r="AC82" s="267">
        <f>Fak_3*22.3888</f>
        <v>0.223888</v>
      </c>
      <c r="AD82" s="267">
        <f>Fak_3*20.458</f>
        <v>0.20457999999999998</v>
      </c>
      <c r="AE82" s="267">
        <f>Fak_3*19.309</f>
        <v>0.19309000000000001</v>
      </c>
      <c r="AF82" s="267">
        <f>Fak_3*54.6976</f>
        <v>0.54697600000000002</v>
      </c>
      <c r="AG82" s="267">
        <f>Fak_3*2896.9037</f>
        <v>28.969037</v>
      </c>
      <c r="AH82" s="213"/>
      <c r="AI82" s="219"/>
      <c r="AJ82" s="210"/>
    </row>
    <row r="83" spans="2:36" s="144" customFormat="1" ht="24" customHeight="1" x14ac:dyDescent="0.25">
      <c r="B83" s="227"/>
      <c r="C83" s="228"/>
      <c r="D83" s="229"/>
      <c r="E83" s="131"/>
      <c r="F83" s="198"/>
      <c r="G83" s="196">
        <v>104</v>
      </c>
      <c r="H83" s="148" t="str">
        <f>+VLOOKUP($G83,Konstanten!$A$2:$B$15,2,FALSE)</f>
        <v>Schiene</v>
      </c>
      <c r="I83" s="148"/>
      <c r="J83" s="267">
        <f>Fak_3*0</f>
        <v>0</v>
      </c>
      <c r="K83" s="267">
        <f>Fak_3*97.4699</f>
        <v>0.97469899999999998</v>
      </c>
      <c r="L83" s="267">
        <f>Fak_3*90.654</f>
        <v>0.90654000000000001</v>
      </c>
      <c r="M83" s="267">
        <f>Fak_3*25.1956</f>
        <v>0.25195600000000001</v>
      </c>
      <c r="N83" s="267">
        <f>Fak_3*9.1704</f>
        <v>9.1704000000000008E-2</v>
      </c>
      <c r="O83" s="267">
        <f>Fak_3*35.251</f>
        <v>0.35250999999999999</v>
      </c>
      <c r="P83" s="267">
        <f>Fak_3*21.6136</f>
        <v>0.21613600000000002</v>
      </c>
      <c r="Q83" s="267">
        <f>Fak_3*5.3259</f>
        <v>5.3259000000000001E-2</v>
      </c>
      <c r="R83" s="267">
        <f>Fak_3*1.2816</f>
        <v>1.2816000000000001E-2</v>
      </c>
      <c r="S83" s="267">
        <f>Fak_3*1.3208</f>
        <v>1.3207999999999999E-2</v>
      </c>
      <c r="T83" s="267">
        <f>Fak_3*24.0478</f>
        <v>0.240478</v>
      </c>
      <c r="U83" s="267">
        <f>Fak_3*37.281</f>
        <v>0.37280999999999997</v>
      </c>
      <c r="V83" s="267">
        <f>Fak_3*40.9823</f>
        <v>0.40982300000000005</v>
      </c>
      <c r="W83" s="267">
        <f>Fak_3*50.4686</f>
        <v>0.50468600000000008</v>
      </c>
      <c r="X83" s="267">
        <f>Fak_3*72.1424</f>
        <v>0.72142399999999995</v>
      </c>
      <c r="Y83" s="267">
        <f>Fak_3*34.3867</f>
        <v>0.34386699999999998</v>
      </c>
      <c r="Z83" s="267">
        <f>Fak_3*8.8375</f>
        <v>8.8375000000000009E-2</v>
      </c>
      <c r="AA83" s="267">
        <f>Fak_3*0.1871</f>
        <v>1.8709999999999998E-3</v>
      </c>
      <c r="AB83" s="267">
        <f>Fak_3*2.1805</f>
        <v>2.1804999999999998E-2</v>
      </c>
      <c r="AC83" s="267">
        <f>Fak_3*0.4113</f>
        <v>4.1130000000000003E-3</v>
      </c>
      <c r="AD83" s="267">
        <f>Fak_3*0.9301</f>
        <v>9.3010000000000002E-3</v>
      </c>
      <c r="AE83" s="267">
        <f>Fak_3*0.475</f>
        <v>4.7499999999999999E-3</v>
      </c>
      <c r="AF83" s="267">
        <f>Fak_3*10.5077</f>
        <v>0.105077</v>
      </c>
      <c r="AG83" s="267">
        <f>Fak_3*570.1208</f>
        <v>5.7012080000000003</v>
      </c>
      <c r="AH83" s="213"/>
      <c r="AI83" s="219"/>
      <c r="AJ83" s="210"/>
    </row>
    <row r="84" spans="2:36" s="144" customFormat="1" ht="24" customHeight="1" x14ac:dyDescent="0.25">
      <c r="B84" s="227"/>
      <c r="C84" s="228"/>
      <c r="D84" s="229"/>
      <c r="E84" s="131"/>
      <c r="F84" s="200"/>
      <c r="G84" s="215"/>
      <c r="H84" s="216"/>
      <c r="I84" s="217" t="s">
        <v>7535</v>
      </c>
      <c r="J84" s="268">
        <f>Fak_3*99.6117</f>
        <v>0.99611700000000003</v>
      </c>
      <c r="K84" s="268">
        <f>Fak_3*472.4507</f>
        <v>4.724507</v>
      </c>
      <c r="L84" s="268">
        <f>Fak_3*344.5726</f>
        <v>3.4457260000000005</v>
      </c>
      <c r="M84" s="268">
        <f>Fak_3*176.5576</f>
        <v>1.765576</v>
      </c>
      <c r="N84" s="268">
        <f>Fak_3*194.2776</f>
        <v>1.9427760000000001</v>
      </c>
      <c r="O84" s="268">
        <f>Fak_3*247.7057</f>
        <v>2.4770570000000003</v>
      </c>
      <c r="P84" s="268">
        <f>Fak_3*117.2816</f>
        <v>1.1728160000000001</v>
      </c>
      <c r="Q84" s="268">
        <f>Fak_3*138.7169</f>
        <v>1.3871690000000001</v>
      </c>
      <c r="R84" s="268">
        <f>Fak_3*100.164</f>
        <v>1.0016400000000001</v>
      </c>
      <c r="S84" s="268">
        <f>Fak_3*88.9574</f>
        <v>0.88957400000000009</v>
      </c>
      <c r="T84" s="268">
        <f>Fak_3*209.1413</f>
        <v>2.0914130000000002</v>
      </c>
      <c r="U84" s="268">
        <f>Fak_3*270.8717</f>
        <v>2.7087169999999996</v>
      </c>
      <c r="V84" s="268">
        <f>Fak_3*145.7313</f>
        <v>1.4573130000000001</v>
      </c>
      <c r="W84" s="268">
        <f>Fak_3*505.7967</f>
        <v>5.0579669999999997</v>
      </c>
      <c r="X84" s="268">
        <f>Fak_3*765.4534</f>
        <v>7.6545339999999999</v>
      </c>
      <c r="Y84" s="268">
        <f>Fak_3*381.0243</f>
        <v>3.8102429999999998</v>
      </c>
      <c r="Z84" s="268">
        <f>Fak_3*178.3711</f>
        <v>1.7837110000000003</v>
      </c>
      <c r="AA84" s="268">
        <f>Fak_3*45.9034</f>
        <v>0.459034</v>
      </c>
      <c r="AB84" s="268">
        <f>Fak_3*61.7966</f>
        <v>0.61796600000000002</v>
      </c>
      <c r="AC84" s="268">
        <f>Fak_3*40.7031</f>
        <v>0.40703099999999998</v>
      </c>
      <c r="AD84" s="268">
        <f>Fak_3*37.2493</f>
        <v>0.37249299999999996</v>
      </c>
      <c r="AE84" s="268">
        <f>Fak_3*28.3169</f>
        <v>0.283169</v>
      </c>
      <c r="AF84" s="268">
        <f>Fak_3*87.1</f>
        <v>0.871</v>
      </c>
      <c r="AG84" s="268">
        <f>Fak_3*4737.7549</f>
        <v>47.377549000000002</v>
      </c>
      <c r="AH84" s="213"/>
      <c r="AI84" s="219"/>
      <c r="AJ84" s="210"/>
    </row>
    <row r="85" spans="2:36" s="144" customFormat="1" ht="24" customHeight="1" x14ac:dyDescent="0.25">
      <c r="B85" s="227"/>
      <c r="C85" s="228"/>
      <c r="D85" s="229"/>
      <c r="E85" s="131"/>
      <c r="F85" s="198" t="s">
        <v>7410</v>
      </c>
      <c r="G85" s="197">
        <v>211</v>
      </c>
      <c r="H85" s="148" t="str">
        <f>+VLOOKUP($G85,Konstanten!$A$2:$B$15,2,FALSE)</f>
        <v>Wohnnutzung</v>
      </c>
      <c r="I85" s="148"/>
      <c r="J85" s="267">
        <f>Fak_3*0</f>
        <v>0</v>
      </c>
      <c r="K85" s="267">
        <f>Fak_3*435.1456</f>
        <v>4.3514559999999998</v>
      </c>
      <c r="L85" s="267">
        <f>Fak_3*234.7079</f>
        <v>2.3470789999999999</v>
      </c>
      <c r="M85" s="267">
        <f>Fak_3*192.0508</f>
        <v>1.9205080000000001</v>
      </c>
      <c r="N85" s="267">
        <f>Fak_3*336.6915</f>
        <v>3.3669150000000001</v>
      </c>
      <c r="O85" s="267">
        <f>Fak_3*353.8244</f>
        <v>3.5382440000000002</v>
      </c>
      <c r="P85" s="267">
        <f>Fak_3*98.783</f>
        <v>0.98782999999999999</v>
      </c>
      <c r="Q85" s="267">
        <f>Fak_3*185.7956</f>
        <v>1.8579560000000002</v>
      </c>
      <c r="R85" s="267">
        <f>Fak_3*136.4387</f>
        <v>1.3643870000000002</v>
      </c>
      <c r="S85" s="267">
        <f>Fak_3*165.36</f>
        <v>1.6536000000000002</v>
      </c>
      <c r="T85" s="267">
        <f>Fak_3*318.5441</f>
        <v>3.1854410000000004</v>
      </c>
      <c r="U85" s="267">
        <f>Fak_3*158.9274</f>
        <v>1.5892740000000001</v>
      </c>
      <c r="V85" s="267">
        <f>Fak_3*77.2077</f>
        <v>0.77207700000000001</v>
      </c>
      <c r="W85" s="267">
        <f>Fak_3*603.3308</f>
        <v>6.0333079999999999</v>
      </c>
      <c r="X85" s="267">
        <f>Fak_3*875.1938</f>
        <v>8.7519380000000009</v>
      </c>
      <c r="Y85" s="267">
        <f>Fak_3*485.8856</f>
        <v>4.8588560000000003</v>
      </c>
      <c r="Z85" s="267">
        <f>Fak_3*168.3309</f>
        <v>1.6833090000000002</v>
      </c>
      <c r="AA85" s="267">
        <f>Fak_3*73.0275</f>
        <v>0.73027500000000001</v>
      </c>
      <c r="AB85" s="267">
        <f>Fak_3*71.4016</f>
        <v>0.71401599999999998</v>
      </c>
      <c r="AC85" s="267">
        <f>Fak_3*43.3276</f>
        <v>0.43327599999999999</v>
      </c>
      <c r="AD85" s="267">
        <f>Fak_3*47.5625</f>
        <v>0.47562500000000002</v>
      </c>
      <c r="AE85" s="267">
        <f>Fak_3*46.2641</f>
        <v>0.46264100000000002</v>
      </c>
      <c r="AF85" s="267">
        <f>Fak_3*82.1312</f>
        <v>0.82131200000000004</v>
      </c>
      <c r="AG85" s="267">
        <f>Fak_3*5189.9323</f>
        <v>51.899323000000003</v>
      </c>
      <c r="AH85" s="213"/>
      <c r="AI85" s="219"/>
      <c r="AJ85" s="210"/>
    </row>
    <row r="86" spans="2:36" s="144" customFormat="1" ht="24" customHeight="1" x14ac:dyDescent="0.25">
      <c r="B86" s="227"/>
      <c r="C86" s="228"/>
      <c r="D86" s="229"/>
      <c r="E86" s="131"/>
      <c r="F86" s="198"/>
      <c r="G86" s="197">
        <v>212</v>
      </c>
      <c r="H86" s="148" t="str">
        <f>+VLOOKUP($G86,Konstanten!$A$2:$B$15,2,FALSE)</f>
        <v>gemischte bauliche Nutzung</v>
      </c>
      <c r="I86" s="148"/>
      <c r="J86" s="267">
        <f>Fak_3*138.869</f>
        <v>1.38869</v>
      </c>
      <c r="K86" s="267">
        <f>Fak_3*171.959</f>
        <v>1.7195900000000002</v>
      </c>
      <c r="L86" s="267">
        <f>Fak_3*98.7603</f>
        <v>0.98760300000000001</v>
      </c>
      <c r="M86" s="267">
        <f>Fak_3*82.3665</f>
        <v>0.82366500000000009</v>
      </c>
      <c r="N86" s="267">
        <f>Fak_3*34.9901</f>
        <v>0.34990099999999996</v>
      </c>
      <c r="O86" s="267">
        <f>Fak_3*62.5552</f>
        <v>0.625552</v>
      </c>
      <c r="P86" s="267">
        <f>Fak_3*78.728</f>
        <v>0.78727999999999998</v>
      </c>
      <c r="Q86" s="267">
        <f>Fak_3*91.7581</f>
        <v>0.91758099999999998</v>
      </c>
      <c r="R86" s="267">
        <f>Fak_3*62.9099</f>
        <v>0.62909899999999996</v>
      </c>
      <c r="S86" s="267">
        <f>Fak_3*35.9494</f>
        <v>0.35949399999999998</v>
      </c>
      <c r="T86" s="267">
        <f>Fak_3*24.9815</f>
        <v>0.24981500000000001</v>
      </c>
      <c r="U86" s="267">
        <f>Fak_3*121.294</f>
        <v>1.2129399999999999</v>
      </c>
      <c r="V86" s="267">
        <f>Fak_3*70.3522</f>
        <v>0.70352199999999998</v>
      </c>
      <c r="W86" s="267">
        <f>Fak_3*217.7273</f>
        <v>2.177273</v>
      </c>
      <c r="X86" s="267">
        <f>Fak_3*275.5294</f>
        <v>2.7552940000000001</v>
      </c>
      <c r="Y86" s="267">
        <f>Fak_3*99.6994</f>
        <v>0.99699400000000005</v>
      </c>
      <c r="Z86" s="267">
        <f>Fak_3*138.7583</f>
        <v>1.387583</v>
      </c>
      <c r="AA86" s="267">
        <f>Fak_3*28.0777</f>
        <v>0.280777</v>
      </c>
      <c r="AB86" s="267">
        <f>Fak_3*42.2873</f>
        <v>0.42287300000000005</v>
      </c>
      <c r="AC86" s="267">
        <f>Fak_3*44.3054</f>
        <v>0.443054</v>
      </c>
      <c r="AD86" s="267">
        <f>Fak_3*60.5645</f>
        <v>0.60564499999999999</v>
      </c>
      <c r="AE86" s="267">
        <f>Fak_3*22.3934</f>
        <v>0.22393399999999999</v>
      </c>
      <c r="AF86" s="267">
        <f>Fak_3*71.6481</f>
        <v>0.71648100000000003</v>
      </c>
      <c r="AG86" s="267">
        <f>Fak_3*2076.464</f>
        <v>20.76464</v>
      </c>
      <c r="AH86" s="213"/>
      <c r="AI86" s="219"/>
      <c r="AJ86" s="210"/>
    </row>
    <row r="87" spans="2:36" s="144" customFormat="1" ht="24" customHeight="1" x14ac:dyDescent="0.25">
      <c r="B87" s="227"/>
      <c r="C87" s="228"/>
      <c r="D87" s="229"/>
      <c r="E87" s="131"/>
      <c r="F87" s="198"/>
      <c r="G87" s="197">
        <v>213</v>
      </c>
      <c r="H87" s="148" t="str">
        <f>+VLOOKUP($G87,Konstanten!$A$2:$B$15,2,FALSE)</f>
        <v>betriebliche Nutzung</v>
      </c>
      <c r="I87" s="148"/>
      <c r="J87" s="267">
        <f>Fak_3*0</f>
        <v>0</v>
      </c>
      <c r="K87" s="267">
        <f>Fak_3*86.7028</f>
        <v>0.86702800000000002</v>
      </c>
      <c r="L87" s="267">
        <f>Fak_3*306.3091</f>
        <v>3.063091</v>
      </c>
      <c r="M87" s="267">
        <f>Fak_3*41.2675</f>
        <v>0.41267500000000001</v>
      </c>
      <c r="N87" s="267">
        <f>Fak_3*9.4412</f>
        <v>9.441200000000001E-2</v>
      </c>
      <c r="O87" s="267">
        <f>Fak_3*41.2287</f>
        <v>0.41228700000000007</v>
      </c>
      <c r="P87" s="267">
        <f>Fak_3*3.1725</f>
        <v>3.1724999999999996E-2</v>
      </c>
      <c r="Q87" s="267">
        <f>Fak_3*15.6611</f>
        <v>0.156611</v>
      </c>
      <c r="R87" s="267">
        <f>Fak_3*6.9855</f>
        <v>6.9855E-2</v>
      </c>
      <c r="S87" s="267">
        <f>Fak_3*2.1663</f>
        <v>2.1663000000000002E-2</v>
      </c>
      <c r="T87" s="267">
        <f>Fak_3*22.7205</f>
        <v>0.22720500000000002</v>
      </c>
      <c r="U87" s="267">
        <f>Fak_3*2.1801</f>
        <v>2.1801000000000001E-2</v>
      </c>
      <c r="V87" s="267">
        <f>Fak_3*16.3036</f>
        <v>0.16303599999999999</v>
      </c>
      <c r="W87" s="267">
        <f>Fak_3*248.6845</f>
        <v>2.4868450000000002</v>
      </c>
      <c r="X87" s="267">
        <f>Fak_3*359.4441</f>
        <v>3.5944409999999998</v>
      </c>
      <c r="Y87" s="267">
        <f>Fak_3*492.6941</f>
        <v>4.9269410000000002</v>
      </c>
      <c r="Z87" s="267">
        <f>Fak_3*39.5153</f>
        <v>0.39515300000000003</v>
      </c>
      <c r="AA87" s="267">
        <f>Fak_3*0</f>
        <v>0</v>
      </c>
      <c r="AB87" s="267">
        <f>Fak_3*2.4125</f>
        <v>2.4125000000000001E-2</v>
      </c>
      <c r="AC87" s="267">
        <f>Fak_3*0.5176</f>
        <v>5.1759999999999992E-3</v>
      </c>
      <c r="AD87" s="267">
        <f>Fak_3*0</f>
        <v>0</v>
      </c>
      <c r="AE87" s="267">
        <f>Fak_3*0</f>
        <v>0</v>
      </c>
      <c r="AF87" s="267">
        <f>Fak_3*0.7017</f>
        <v>7.0169999999999998E-3</v>
      </c>
      <c r="AG87" s="267">
        <f>Fak_3*1698.1087</f>
        <v>16.981086999999999</v>
      </c>
      <c r="AH87" s="213"/>
      <c r="AI87" s="219"/>
      <c r="AJ87" s="210"/>
    </row>
    <row r="88" spans="2:36" s="144" customFormat="1" ht="24" customHeight="1" x14ac:dyDescent="0.25">
      <c r="B88" s="227"/>
      <c r="C88" s="228"/>
      <c r="D88" s="229"/>
      <c r="E88" s="131"/>
      <c r="F88" s="198"/>
      <c r="G88" s="197">
        <v>214</v>
      </c>
      <c r="H88" s="148" t="str">
        <f>+VLOOKUP($G88,Konstanten!$A$2:$B$15,2,FALSE)</f>
        <v>sonstige bauliche Nutzung</v>
      </c>
      <c r="I88" s="148"/>
      <c r="J88" s="267">
        <f>Fak_3*0</f>
        <v>0</v>
      </c>
      <c r="K88" s="267">
        <f>Fak_3*14.7809</f>
        <v>0.14780900000000002</v>
      </c>
      <c r="L88" s="267">
        <f>Fak_3*62.2059</f>
        <v>0.62205900000000003</v>
      </c>
      <c r="M88" s="267">
        <f>Fak_3*1.7077</f>
        <v>1.7077000000000002E-2</v>
      </c>
      <c r="N88" s="267">
        <f>Fak_3*0</f>
        <v>0</v>
      </c>
      <c r="O88" s="267">
        <f>Fak_3*0.1645</f>
        <v>1.6450000000000002E-3</v>
      </c>
      <c r="P88" s="267">
        <f>Fak_3*0</f>
        <v>0</v>
      </c>
      <c r="Q88" s="267">
        <f>Fak_3*3.0923</f>
        <v>3.0922999999999999E-2</v>
      </c>
      <c r="R88" s="267">
        <f>Fak_3*0.7628</f>
        <v>7.6280000000000002E-3</v>
      </c>
      <c r="S88" s="267">
        <f>Fak_3*0.118</f>
        <v>1.1800000000000001E-3</v>
      </c>
      <c r="T88" s="267">
        <f>Fak_3*1.0897</f>
        <v>1.0896999999999999E-2</v>
      </c>
      <c r="U88" s="267">
        <f>Fak_3*113.1558</f>
        <v>1.1315580000000001</v>
      </c>
      <c r="V88" s="267">
        <f>Fak_3*0.5687</f>
        <v>5.6870000000000002E-3</v>
      </c>
      <c r="W88" s="267">
        <f>Fak_3*4.641</f>
        <v>4.641E-2</v>
      </c>
      <c r="X88" s="267">
        <f>Fak_3*32.5447</f>
        <v>0.32544699999999999</v>
      </c>
      <c r="Y88" s="267">
        <f>Fak_3*6.9406</f>
        <v>6.9405999999999995E-2</v>
      </c>
      <c r="Z88" s="267">
        <f>Fak_3*1.4666</f>
        <v>1.4665999999999998E-2</v>
      </c>
      <c r="AA88" s="267">
        <f>Fak_3*0</f>
        <v>0</v>
      </c>
      <c r="AB88" s="267">
        <f>Fak_3*0</f>
        <v>0</v>
      </c>
      <c r="AC88" s="267">
        <f>Fak_3*0.0621</f>
        <v>6.2100000000000002E-4</v>
      </c>
      <c r="AD88" s="267">
        <f>Fak_3*0.2008</f>
        <v>2.0080000000000002E-3</v>
      </c>
      <c r="AE88" s="267">
        <f>Fak_3*0</f>
        <v>0</v>
      </c>
      <c r="AF88" s="267">
        <f>Fak_3*2.0036</f>
        <v>2.0036000000000002E-2</v>
      </c>
      <c r="AG88" s="267">
        <f>Fak_3*245.5057</f>
        <v>2.455057</v>
      </c>
      <c r="AH88" s="213"/>
      <c r="AI88" s="219"/>
      <c r="AJ88" s="210"/>
    </row>
    <row r="89" spans="2:36" s="144" customFormat="1" ht="24" customHeight="1" x14ac:dyDescent="0.25">
      <c r="B89" s="227"/>
      <c r="C89" s="228"/>
      <c r="D89" s="229"/>
      <c r="E89" s="131"/>
      <c r="F89" s="200"/>
      <c r="G89" s="215"/>
      <c r="H89" s="216"/>
      <c r="I89" s="217" t="s">
        <v>7536</v>
      </c>
      <c r="J89" s="268">
        <f>Fak_3*138.869</f>
        <v>1.38869</v>
      </c>
      <c r="K89" s="268">
        <f>Fak_3*708.5883</f>
        <v>7.0858829999999999</v>
      </c>
      <c r="L89" s="268">
        <f>Fak_3*701.9832</f>
        <v>7.0198320000000001</v>
      </c>
      <c r="M89" s="268">
        <f>Fak_3*317.3925</f>
        <v>3.1739250000000001</v>
      </c>
      <c r="N89" s="268">
        <f>Fak_3*381.1228</f>
        <v>3.8112279999999998</v>
      </c>
      <c r="O89" s="268">
        <f>Fak_3*457.7728</f>
        <v>4.5777280000000005</v>
      </c>
      <c r="P89" s="268">
        <f>Fak_3*180.6835</f>
        <v>1.8068350000000002</v>
      </c>
      <c r="Q89" s="268">
        <f>Fak_3*296.3071</f>
        <v>2.9630709999999998</v>
      </c>
      <c r="R89" s="268">
        <f>Fak_3*207.0969</f>
        <v>2.0709690000000003</v>
      </c>
      <c r="S89" s="268">
        <f>Fak_3*203.5937</f>
        <v>2.0359370000000001</v>
      </c>
      <c r="T89" s="268">
        <f>Fak_3*367.3358</f>
        <v>3.6733580000000003</v>
      </c>
      <c r="U89" s="268">
        <f>Fak_3*395.5573</f>
        <v>3.9555730000000002</v>
      </c>
      <c r="V89" s="268">
        <f>Fak_3*164.4322</f>
        <v>1.6443220000000001</v>
      </c>
      <c r="W89" s="268">
        <f>Fak_3*1074.3836</f>
        <v>10.743836</v>
      </c>
      <c r="X89" s="268">
        <f>Fak_3*1542.712</f>
        <v>15.42712</v>
      </c>
      <c r="Y89" s="268">
        <f>Fak_3*1085.2197</f>
        <v>10.852197000000002</v>
      </c>
      <c r="Z89" s="268">
        <f>Fak_3*348.0711</f>
        <v>3.4807109999999999</v>
      </c>
      <c r="AA89" s="268">
        <f>Fak_3*101.1052</f>
        <v>1.0110520000000001</v>
      </c>
      <c r="AB89" s="268">
        <f>Fak_3*116.1014</f>
        <v>1.161014</v>
      </c>
      <c r="AC89" s="268">
        <f>Fak_3*88.2127</f>
        <v>0.88212699999999999</v>
      </c>
      <c r="AD89" s="268">
        <f>Fak_3*108.3278</f>
        <v>1.083278</v>
      </c>
      <c r="AE89" s="268">
        <f>Fak_3*68.6575</f>
        <v>0.68657500000000005</v>
      </c>
      <c r="AF89" s="268">
        <f>Fak_3*156.4846</f>
        <v>1.564846</v>
      </c>
      <c r="AG89" s="268">
        <f>Fak_3*9210.0107</f>
        <v>92.100107000000008</v>
      </c>
      <c r="AH89" s="213"/>
      <c r="AI89" s="219"/>
      <c r="AJ89" s="210"/>
    </row>
    <row r="90" spans="2:36" s="144" customFormat="1" ht="24" customHeight="1" x14ac:dyDescent="0.25">
      <c r="B90" s="227"/>
      <c r="C90" s="228"/>
      <c r="D90" s="229"/>
      <c r="E90" s="131"/>
      <c r="F90" s="200" t="s">
        <v>7409</v>
      </c>
      <c r="G90" s="215"/>
      <c r="H90" s="216"/>
      <c r="I90" s="217" t="s">
        <v>7537</v>
      </c>
      <c r="J90" s="268">
        <f>Fak_3*0.5338</f>
        <v>5.3380000000000007E-3</v>
      </c>
      <c r="K90" s="268">
        <f>Fak_3*30.9769</f>
        <v>0.30976900000000002</v>
      </c>
      <c r="L90" s="268">
        <f>Fak_3*68.8674</f>
        <v>0.68867400000000001</v>
      </c>
      <c r="M90" s="268">
        <f>Fak_3*16.002</f>
        <v>0.16002</v>
      </c>
      <c r="N90" s="268">
        <f>Fak_3*8.6657</f>
        <v>8.6656999999999998E-2</v>
      </c>
      <c r="O90" s="268">
        <f>Fak_3*7.5354</f>
        <v>7.5354000000000004E-2</v>
      </c>
      <c r="P90" s="268">
        <f>Fak_3*2.6346</f>
        <v>2.6345999999999998E-2</v>
      </c>
      <c r="Q90" s="268">
        <f>Fak_3*3.3655</f>
        <v>3.3654999999999997E-2</v>
      </c>
      <c r="R90" s="268">
        <f>Fak_3*1.4735</f>
        <v>1.4735E-2</v>
      </c>
      <c r="S90" s="268">
        <f>Fak_3*0.5492</f>
        <v>5.4920000000000004E-3</v>
      </c>
      <c r="T90" s="268">
        <f>Fak_3*18.0294</f>
        <v>0.18029399999999998</v>
      </c>
      <c r="U90" s="268">
        <f>Fak_3*7.5332</f>
        <v>7.5331999999999996E-2</v>
      </c>
      <c r="V90" s="268">
        <f>Fak_3*15.3252</f>
        <v>0.153252</v>
      </c>
      <c r="W90" s="268">
        <f>Fak_3*35.5088</f>
        <v>0.35508800000000001</v>
      </c>
      <c r="X90" s="268">
        <f>Fak_3*107.0239</f>
        <v>1.0702389999999999</v>
      </c>
      <c r="Y90" s="268">
        <f>Fak_3*31.2548</f>
        <v>0.31254799999999999</v>
      </c>
      <c r="Z90" s="268">
        <f>Fak_3*25.1911</f>
        <v>0.251911</v>
      </c>
      <c r="AA90" s="268">
        <f>Fak_3*0.7202</f>
        <v>7.2020000000000001E-3</v>
      </c>
      <c r="AB90" s="268">
        <f>Fak_3*1.302</f>
        <v>1.302E-2</v>
      </c>
      <c r="AC90" s="268">
        <f>Fak_3*2.0635</f>
        <v>2.0635000000000001E-2</v>
      </c>
      <c r="AD90" s="268">
        <f>Fak_3*0.1366</f>
        <v>1.366E-3</v>
      </c>
      <c r="AE90" s="268">
        <f>Fak_3*0.2403</f>
        <v>2.4030000000000002E-3</v>
      </c>
      <c r="AF90" s="268">
        <f>Fak_3*4.8376</f>
        <v>4.8376000000000002E-2</v>
      </c>
      <c r="AG90" s="268">
        <f>Fak_3*389.7706</f>
        <v>3.8977059999999999</v>
      </c>
      <c r="AH90" s="213"/>
      <c r="AI90" s="219"/>
      <c r="AJ90" s="210"/>
    </row>
    <row r="91" spans="2:36" s="144" customFormat="1" ht="24" customHeight="1" x14ac:dyDescent="0.25">
      <c r="B91" s="227"/>
      <c r="C91" s="228"/>
      <c r="D91" s="229"/>
      <c r="E91" s="131"/>
      <c r="F91" s="321" t="s">
        <v>7549</v>
      </c>
      <c r="G91" s="199"/>
      <c r="H91" s="200"/>
      <c r="I91" s="217" t="s">
        <v>7538</v>
      </c>
      <c r="J91" s="268">
        <f>Fak_3*10.6052</f>
        <v>0.10605200000000001</v>
      </c>
      <c r="K91" s="268">
        <f>Fak_3*61.7091</f>
        <v>0.61709100000000006</v>
      </c>
      <c r="L91" s="268">
        <f>Fak_3*135.8496</f>
        <v>1.3584960000000001</v>
      </c>
      <c r="M91" s="268">
        <f>Fak_3*36.8834</f>
        <v>0.36883400000000005</v>
      </c>
      <c r="N91" s="268">
        <f>Fak_3*81.2546</f>
        <v>0.81254599999999999</v>
      </c>
      <c r="O91" s="268">
        <f>Fak_3*52.9181</f>
        <v>0.52918100000000001</v>
      </c>
      <c r="P91" s="268">
        <f>Fak_3*16.5247</f>
        <v>0.165247</v>
      </c>
      <c r="Q91" s="268">
        <f>Fak_3*26.9591</f>
        <v>0.26959100000000003</v>
      </c>
      <c r="R91" s="268">
        <f>Fak_3*33.9571</f>
        <v>0.33957099999999996</v>
      </c>
      <c r="S91" s="268">
        <f>Fak_3*13.6605</f>
        <v>0.136605</v>
      </c>
      <c r="T91" s="268">
        <f>Fak_3*44.9008</f>
        <v>0.44900799999999996</v>
      </c>
      <c r="U91" s="268">
        <f>Fak_3*82.3255</f>
        <v>0.82325500000000007</v>
      </c>
      <c r="V91" s="268">
        <f>Fak_3*14.6161</f>
        <v>0.14616099999999999</v>
      </c>
      <c r="W91" s="268">
        <f>Fak_3*80.4673</f>
        <v>0.80467299999999997</v>
      </c>
      <c r="X91" s="268">
        <f>Fak_3*143.4208</f>
        <v>1.4342080000000001</v>
      </c>
      <c r="Y91" s="268">
        <f>Fak_3*55.4922</f>
        <v>0.55492200000000003</v>
      </c>
      <c r="Z91" s="268">
        <f>Fak_3*41.6927</f>
        <v>0.41692700000000005</v>
      </c>
      <c r="AA91" s="268">
        <f>Fak_3*5.0092</f>
        <v>5.0091999999999998E-2</v>
      </c>
      <c r="AB91" s="268">
        <f>Fak_3*3.1851</f>
        <v>3.1850999999999997E-2</v>
      </c>
      <c r="AC91" s="268">
        <f>Fak_3*1.8159</f>
        <v>1.8159000000000002E-2</v>
      </c>
      <c r="AD91" s="268">
        <f>Fak_3*3.2331</f>
        <v>3.2330999999999999E-2</v>
      </c>
      <c r="AE91" s="268">
        <f>Fak_3*0.9652</f>
        <v>9.6519999999999991E-3</v>
      </c>
      <c r="AF91" s="268">
        <f>Fak_3*7.9604</f>
        <v>7.9603999999999994E-2</v>
      </c>
      <c r="AG91" s="268">
        <f>Fak_3*955.4057</f>
        <v>9.5540570000000002</v>
      </c>
      <c r="AH91" s="213"/>
      <c r="AI91" s="219"/>
      <c r="AJ91" s="210"/>
    </row>
    <row r="92" spans="2:36" s="144" customFormat="1" ht="24" customHeight="1" x14ac:dyDescent="0.25">
      <c r="B92" s="227"/>
      <c r="C92" s="228"/>
      <c r="D92" s="229"/>
      <c r="E92" s="131"/>
      <c r="F92" s="322" t="s">
        <v>7519</v>
      </c>
      <c r="G92" s="199"/>
      <c r="H92" s="200"/>
      <c r="I92" s="217" t="s">
        <v>7539</v>
      </c>
      <c r="J92" s="268">
        <f>Fak_3*0</f>
        <v>0</v>
      </c>
      <c r="K92" s="268">
        <f>Fak_3*1.422</f>
        <v>1.422E-2</v>
      </c>
      <c r="L92" s="268">
        <f>Fak_3*0.6007</f>
        <v>6.0070000000000002E-3</v>
      </c>
      <c r="M92" s="268">
        <f>Fak_3*0.1424</f>
        <v>1.4239999999999999E-3</v>
      </c>
      <c r="N92" s="268">
        <f>Fak_3*1.4569</f>
        <v>1.4569E-2</v>
      </c>
      <c r="O92" s="268">
        <f>Fak_3*1.2219</f>
        <v>1.2219000000000001E-2</v>
      </c>
      <c r="P92" s="268">
        <f>Fak_3*0</f>
        <v>0</v>
      </c>
      <c r="Q92" s="268">
        <f>Fak_3*0.271</f>
        <v>2.7100000000000002E-3</v>
      </c>
      <c r="R92" s="268">
        <f>Fak_3*0</f>
        <v>0</v>
      </c>
      <c r="S92" s="268">
        <f>Fak_3*0.0067</f>
        <v>6.7000000000000002E-5</v>
      </c>
      <c r="T92" s="268">
        <f>Fak_3*0.4362</f>
        <v>4.3619999999999996E-3</v>
      </c>
      <c r="U92" s="268">
        <f>Fak_3*5.247</f>
        <v>5.2470000000000003E-2</v>
      </c>
      <c r="V92" s="268">
        <f>Fak_3*0.0001</f>
        <v>1.0000000000000002E-6</v>
      </c>
      <c r="W92" s="268">
        <f>Fak_3*3.8574</f>
        <v>3.8574000000000004E-2</v>
      </c>
      <c r="X92" s="268">
        <f>Fak_3*11.279</f>
        <v>0.11279</v>
      </c>
      <c r="Y92" s="268">
        <f>Fak_3*1.8186</f>
        <v>1.8186000000000001E-2</v>
      </c>
      <c r="Z92" s="268">
        <f>Fak_3*0.0126</f>
        <v>1.26E-4</v>
      </c>
      <c r="AA92" s="268">
        <f>Fak_3*0</f>
        <v>0</v>
      </c>
      <c r="AB92" s="268">
        <f>Fak_3*0</f>
        <v>0</v>
      </c>
      <c r="AC92" s="268">
        <f>Fak_3*0</f>
        <v>0</v>
      </c>
      <c r="AD92" s="268">
        <f>Fak_3*0</f>
        <v>0</v>
      </c>
      <c r="AE92" s="268">
        <f>Fak_3*0</f>
        <v>0</v>
      </c>
      <c r="AF92" s="268">
        <f>Fak_3*0.1198</f>
        <v>1.1980000000000001E-3</v>
      </c>
      <c r="AG92" s="268">
        <f>Fak_3*27.8923</f>
        <v>0.27892299999999998</v>
      </c>
      <c r="AH92" s="213"/>
      <c r="AI92" s="219"/>
      <c r="AJ92" s="210"/>
    </row>
    <row r="93" spans="2:36" s="208" customFormat="1" ht="24" customHeight="1" x14ac:dyDescent="0.25">
      <c r="B93" s="240"/>
      <c r="C93" s="230"/>
      <c r="D93" s="241"/>
      <c r="E93" s="183"/>
      <c r="F93" s="202" t="s">
        <v>7597</v>
      </c>
      <c r="G93" s="203"/>
      <c r="H93" s="201"/>
      <c r="I93" s="204" t="s">
        <v>7533</v>
      </c>
      <c r="J93" s="269">
        <f t="shared" ref="J93:AG93" si="29">+SUM(J84,J89,J90,J91,J92)</f>
        <v>2.496197</v>
      </c>
      <c r="K93" s="269">
        <f t="shared" si="29"/>
        <v>12.751469999999999</v>
      </c>
      <c r="L93" s="269">
        <f t="shared" si="29"/>
        <v>12.518735000000003</v>
      </c>
      <c r="M93" s="269">
        <f t="shared" si="29"/>
        <v>5.4697789999999999</v>
      </c>
      <c r="N93" s="269">
        <f t="shared" si="29"/>
        <v>6.6677759999999999</v>
      </c>
      <c r="O93" s="269">
        <f t="shared" si="29"/>
        <v>7.671539000000001</v>
      </c>
      <c r="P93" s="269">
        <f t="shared" si="29"/>
        <v>3.1712440000000006</v>
      </c>
      <c r="Q93" s="269">
        <f t="shared" si="29"/>
        <v>4.6561960000000004</v>
      </c>
      <c r="R93" s="269">
        <f t="shared" si="29"/>
        <v>3.4269150000000002</v>
      </c>
      <c r="S93" s="269">
        <f t="shared" si="29"/>
        <v>3.0676749999999999</v>
      </c>
      <c r="T93" s="269">
        <f t="shared" si="29"/>
        <v>6.398435000000001</v>
      </c>
      <c r="U93" s="269">
        <f t="shared" si="29"/>
        <v>7.6153469999999999</v>
      </c>
      <c r="V93" s="269">
        <f t="shared" si="29"/>
        <v>3.4010490000000004</v>
      </c>
      <c r="W93" s="269">
        <f t="shared" si="29"/>
        <v>17.000138</v>
      </c>
      <c r="X93" s="269">
        <f t="shared" si="29"/>
        <v>25.698891000000003</v>
      </c>
      <c r="Y93" s="269">
        <f t="shared" si="29"/>
        <v>15.548096000000001</v>
      </c>
      <c r="Z93" s="269">
        <f t="shared" si="29"/>
        <v>5.9333859999999996</v>
      </c>
      <c r="AA93" s="269">
        <f t="shared" si="29"/>
        <v>1.52738</v>
      </c>
      <c r="AB93" s="269">
        <f t="shared" si="29"/>
        <v>1.8238510000000001</v>
      </c>
      <c r="AC93" s="269">
        <f t="shared" si="29"/>
        <v>1.327952</v>
      </c>
      <c r="AD93" s="269">
        <f t="shared" si="29"/>
        <v>1.489468</v>
      </c>
      <c r="AE93" s="269">
        <f t="shared" si="29"/>
        <v>0.98179900000000009</v>
      </c>
      <c r="AF93" s="269">
        <f t="shared" si="29"/>
        <v>2.5650239999999997</v>
      </c>
      <c r="AG93" s="269">
        <f t="shared" si="29"/>
        <v>153.20834200000002</v>
      </c>
      <c r="AH93" s="206"/>
      <c r="AI93" s="207"/>
      <c r="AJ93" s="202"/>
    </row>
  </sheetData>
  <mergeCells count="21">
    <mergeCell ref="F77:H77"/>
    <mergeCell ref="I78:AI78"/>
    <mergeCell ref="AH20:AJ20"/>
    <mergeCell ref="I21:AI21"/>
    <mergeCell ref="J42:AG42"/>
    <mergeCell ref="J46:AG46"/>
    <mergeCell ref="J50:AG50"/>
    <mergeCell ref="J39:AG39"/>
    <mergeCell ref="J41:AG41"/>
    <mergeCell ref="J45:AG45"/>
    <mergeCell ref="J49:AG49"/>
    <mergeCell ref="I55:AI55"/>
    <mergeCell ref="AJ63:AJ76"/>
    <mergeCell ref="B1:D1"/>
    <mergeCell ref="E1:AA4"/>
    <mergeCell ref="AK10:AK15"/>
    <mergeCell ref="J17:AG17"/>
    <mergeCell ref="I35:U35"/>
    <mergeCell ref="J19:AG19"/>
    <mergeCell ref="I6:AG6"/>
    <mergeCell ref="AK25:AK30"/>
  </mergeCells>
  <conditionalFormatting sqref="A8:AI8 A23:XFD23 J22:AF22">
    <cfRule type="expression" dxfId="11" priority="12">
      <formula>$A$12=2</formula>
    </cfRule>
  </conditionalFormatting>
  <conditionalFormatting sqref="A8:AI8 A23:XFD23">
    <cfRule type="expression" dxfId="10" priority="9">
      <formula>$A$12=1</formula>
    </cfRule>
  </conditionalFormatting>
  <conditionalFormatting sqref="J39">
    <cfRule type="expression" dxfId="9" priority="4">
      <formula>$C$8 = "relativ"</formula>
    </cfRule>
  </conditionalFormatting>
  <conditionalFormatting sqref="J41">
    <cfRule type="expression" dxfId="8" priority="3">
      <formula>$C$8 = "relativ"</formula>
    </cfRule>
  </conditionalFormatting>
  <conditionalFormatting sqref="J45">
    <cfRule type="expression" dxfId="7" priority="2">
      <formula>$C$8 = "relativ"</formula>
    </cfRule>
  </conditionalFormatting>
  <conditionalFormatting sqref="J49">
    <cfRule type="expression" dxfId="6" priority="1">
      <formula>$C$8 = "relativ"</formula>
    </cfRule>
  </conditionalFormatting>
  <conditionalFormatting sqref="J10:AG15 J25:AG30">
    <cfRule type="expression" dxfId="5" priority="10">
      <formula>$C$6 = "relativ"</formula>
    </cfRule>
  </conditionalFormatting>
  <conditionalFormatting sqref="J22:AG22">
    <cfRule type="expression" dxfId="4" priority="8">
      <formula>$A$12=1</formula>
    </cfRule>
  </conditionalFormatting>
  <conditionalFormatting sqref="J31:AG31">
    <cfRule type="expression" dxfId="3" priority="11">
      <formula>$A$12=2</formula>
    </cfRule>
  </conditionalFormatting>
  <conditionalFormatting sqref="AG22">
    <cfRule type="expression" dxfId="2" priority="7">
      <formula>$A$12=2</formula>
    </cfRule>
  </conditionalFormatting>
  <conditionalFormatting sqref="AI10:AI15">
    <cfRule type="dataBar" priority="14">
      <dataBar showValue="0">
        <cfvo type="num" val="0"/>
        <cfvo type="num" val="1"/>
        <color theme="0" tint="-0.499984740745262"/>
      </dataBar>
      <extLst>
        <ext xmlns:x14="http://schemas.microsoft.com/office/spreadsheetml/2009/9/main" uri="{B025F937-C7B1-47D3-B67F-A62EFF666E3E}">
          <x14:id>{BBC8F5BF-826F-4534-909F-A2F426EFA105}</x14:id>
        </ext>
      </extLst>
    </cfRule>
  </conditionalFormatting>
  <conditionalFormatting sqref="AI25:AI31">
    <cfRule type="dataBar" priority="13">
      <dataBar showValue="0">
        <cfvo type="num" val="0"/>
        <cfvo type="num" val="1"/>
        <color theme="0" tint="-0.499984740745262"/>
      </dataBar>
      <extLst>
        <ext xmlns:x14="http://schemas.microsoft.com/office/spreadsheetml/2009/9/main" uri="{B025F937-C7B1-47D3-B67F-A62EFF666E3E}">
          <x14:id>{A39CF0B6-A6A3-4DA4-8088-FE9C4CCADE54}</x14:id>
        </ext>
      </extLst>
    </cfRule>
  </conditionalFormatting>
  <conditionalFormatting sqref="AK8:XFD8">
    <cfRule type="expression" dxfId="1" priority="5">
      <formula>$A$12=2</formula>
    </cfRule>
    <cfRule type="expression" dxfId="0" priority="6">
      <formula>$A$12=1</formula>
    </cfRule>
  </conditionalFormatting>
  <dataValidations count="3">
    <dataValidation type="list" allowBlank="1" showInputMessage="1" showErrorMessage="1" sqref="C6:D6" xr:uid="{00000000-0002-0000-0E00-000000000000}">
      <formula1>"absolut,relativ"</formula1>
    </dataValidation>
    <dataValidation type="list" allowBlank="1" showInputMessage="1" showErrorMessage="1" sqref="C55:E55" xr:uid="{00000000-0002-0000-0E00-000001000000}">
      <formula1>"absolut, Bevölkerung, Dauersiedlungsraum"</formula1>
    </dataValidation>
    <dataValidation type="list" allowBlank="1" showInputMessage="1" showErrorMessage="1" sqref="C3 D5" xr:uid="{00000000-0002-0000-0E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BC8F5BF-826F-4534-909F-A2F426EFA105}">
            <x14:dataBar minLength="0" maxLength="100" gradient="0">
              <x14:cfvo type="num">
                <xm:f>0</xm:f>
              </x14:cfvo>
              <x14:cfvo type="num">
                <xm:f>1</xm:f>
              </x14:cfvo>
              <x14:negativeFillColor rgb="FFFF0000"/>
              <x14:axisColor rgb="FF000000"/>
            </x14:dataBar>
          </x14:cfRule>
          <xm:sqref>AI10:AI15</xm:sqref>
        </x14:conditionalFormatting>
        <x14:conditionalFormatting xmlns:xm="http://schemas.microsoft.com/office/excel/2006/main">
          <x14:cfRule type="dataBar" id="{A39CF0B6-A6A3-4DA4-8088-FE9C4CCADE54}">
            <x14:dataBar minLength="0" maxLength="100" gradient="0">
              <x14:cfvo type="num">
                <xm:f>0</xm:f>
              </x14:cfvo>
              <x14:cfvo type="num">
                <xm:f>1</xm:f>
              </x14:cfvo>
              <x14:negativeFillColor rgb="FFFF0000"/>
              <x14:axisColor rgb="FF000000"/>
            </x14:dataBar>
          </x14:cfRule>
          <xm:sqref>AI25:AI31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E00-000033000000}">
          <x14:colorSeries theme="0" tint="-0.34998626667073579"/>
          <x14:colorNegative rgb="FFD00000"/>
          <x14:colorAxis rgb="FF000000"/>
          <x14:colorMarkers rgb="FFD00000"/>
          <x14:colorFirst rgb="FFD00000"/>
          <x14:colorLast rgb="FFD00000"/>
          <x14:colorHigh rgb="FFD00000"/>
          <x14:colorLow rgb="FFD00000"/>
          <x14:sparklines>
            <x14:sparkline>
              <xm:f>W!J18:AG18</xm:f>
              <xm:sqref>J17</xm:sqref>
            </x14:sparkline>
          </x14:sparklines>
        </x14:sparklineGroup>
        <x14:sparklineGroup manualMin="0" type="column" displayEmptyCellsAs="gap" minAxisType="custom" xr2:uid="{00000000-0003-0000-0E00-000032000000}">
          <x14:colorSeries theme="0" tint="-0.34998626667073579"/>
          <x14:colorNegative rgb="FFD00000"/>
          <x14:colorAxis rgb="FF000000"/>
          <x14:colorMarkers rgb="FFD00000"/>
          <x14:colorFirst rgb="FFD00000"/>
          <x14:colorLast rgb="FFD00000"/>
          <x14:colorHigh rgb="FFD00000"/>
          <x14:colorLow rgb="FFD00000"/>
          <x14:sparklines>
            <x14:sparkline>
              <xm:f>W!J20:AG20</xm:f>
              <xm:sqref>J19</xm:sqref>
            </x14:sparkline>
          </x14:sparklines>
        </x14:sparklineGroup>
        <x14:sparklineGroup type="column" displayEmptyCellsAs="gap" xr2:uid="{00000000-0003-0000-0E00-000031000000}">
          <x14:colorSeries rgb="FF376092"/>
          <x14:colorNegative rgb="FFD00000"/>
          <x14:colorAxis rgb="FF000000"/>
          <x14:colorMarkers rgb="FFD00000"/>
          <x14:colorFirst rgb="FFD00000"/>
          <x14:colorLast rgb="FFD00000"/>
          <x14:colorHigh rgb="FFD00000"/>
          <x14:colorLow rgb="FFD00000"/>
          <x14:sparklines>
            <x14:sparkline>
              <xm:f>W!J43:AG43</xm:f>
              <xm:sqref>J42</xm:sqref>
            </x14:sparkline>
          </x14:sparklines>
        </x14:sparklineGroup>
        <x14:sparklineGroup type="column" displayEmptyCellsAs="gap" xr2:uid="{00000000-0003-0000-0E00-000030000000}">
          <x14:colorSeries rgb="FF376092"/>
          <x14:colorNegative rgb="FFD00000"/>
          <x14:colorAxis rgb="FF000000"/>
          <x14:colorMarkers rgb="FFD00000"/>
          <x14:colorFirst rgb="FFD00000"/>
          <x14:colorLast rgb="FFD00000"/>
          <x14:colorHigh rgb="FFD00000"/>
          <x14:colorLow rgb="FFD00000"/>
          <x14:sparklines>
            <x14:sparkline>
              <xm:f>W!J47:AG47</xm:f>
              <xm:sqref>J46</xm:sqref>
            </x14:sparkline>
          </x14:sparklines>
        </x14:sparklineGroup>
        <x14:sparklineGroup type="column" displayEmptyCellsAs="gap" xr2:uid="{00000000-0003-0000-0E00-00002F000000}">
          <x14:colorSeries rgb="FF376092"/>
          <x14:colorNegative rgb="FFD00000"/>
          <x14:colorAxis rgb="FF000000"/>
          <x14:colorMarkers rgb="FFD00000"/>
          <x14:colorFirst rgb="FFD00000"/>
          <x14:colorLast rgb="FFD00000"/>
          <x14:colorHigh rgb="FFD00000"/>
          <x14:colorLow rgb="FFD00000"/>
          <x14:sparklines>
            <x14:sparkline>
              <xm:f>W!J51:AG51</xm:f>
              <xm:sqref>J50</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tabColor theme="4" tint="0.59999389629810485"/>
  </sheetPr>
  <dimension ref="A1:E40"/>
  <sheetViews>
    <sheetView workbookViewId="0">
      <selection activeCell="D47" sqref="D47"/>
    </sheetView>
  </sheetViews>
  <sheetFormatPr baseColWidth="10" defaultColWidth="11.42578125" defaultRowHeight="15" x14ac:dyDescent="0.25"/>
  <cols>
    <col min="1" max="1" width="19.85546875" style="1" customWidth="1"/>
    <col min="2" max="2" width="8.28515625" style="1" customWidth="1"/>
    <col min="3" max="3" width="18" style="1" customWidth="1"/>
    <col min="4" max="4" width="42.7109375" style="1" customWidth="1"/>
    <col min="5" max="5" width="30.7109375" style="1" customWidth="1"/>
    <col min="6" max="16384" width="11.42578125" style="1"/>
  </cols>
  <sheetData>
    <row r="1" spans="1:5" ht="20.25" thickBot="1" x14ac:dyDescent="0.35">
      <c r="A1" s="3" t="s">
        <v>7359</v>
      </c>
    </row>
    <row r="2" spans="1:5" ht="15.75" thickTop="1" x14ac:dyDescent="0.25"/>
    <row r="3" spans="1:5" x14ac:dyDescent="0.25">
      <c r="A3" s="1" t="s">
        <v>7406</v>
      </c>
      <c r="B3" s="1" t="s">
        <v>7360</v>
      </c>
    </row>
    <row r="4" spans="1:5" x14ac:dyDescent="0.25">
      <c r="A4" s="1" t="s">
        <v>7351</v>
      </c>
      <c r="B4" s="1" t="s">
        <v>7360</v>
      </c>
    </row>
    <row r="6" spans="1:5" x14ac:dyDescent="0.25">
      <c r="A6" s="15" t="s">
        <v>172</v>
      </c>
      <c r="B6" s="15" t="s">
        <v>7361</v>
      </c>
      <c r="C6" s="16" t="s">
        <v>7362</v>
      </c>
      <c r="D6" s="17" t="s">
        <v>7363</v>
      </c>
      <c r="E6" s="17" t="s">
        <v>7364</v>
      </c>
    </row>
    <row r="7" spans="1:5" ht="150" x14ac:dyDescent="0.25">
      <c r="A7" s="18">
        <v>10</v>
      </c>
      <c r="B7" s="385" t="s">
        <v>11</v>
      </c>
      <c r="C7" s="386"/>
      <c r="D7" s="19" t="s">
        <v>7365</v>
      </c>
      <c r="E7" s="19" t="s">
        <v>7366</v>
      </c>
    </row>
    <row r="8" spans="1:5" ht="30" x14ac:dyDescent="0.25">
      <c r="A8" s="20"/>
      <c r="B8" s="21">
        <v>101</v>
      </c>
      <c r="C8" s="22" t="s">
        <v>7367</v>
      </c>
      <c r="D8" s="23" t="s">
        <v>7368</v>
      </c>
      <c r="E8" s="23" t="s">
        <v>7369</v>
      </c>
    </row>
    <row r="9" spans="1:5" ht="45" x14ac:dyDescent="0.25">
      <c r="A9" s="20"/>
      <c r="B9" s="21">
        <v>102</v>
      </c>
      <c r="C9" s="22" t="s">
        <v>7370</v>
      </c>
      <c r="D9" s="23" t="s">
        <v>7371</v>
      </c>
      <c r="E9" s="23" t="s">
        <v>7369</v>
      </c>
    </row>
    <row r="10" spans="1:5" ht="75" x14ac:dyDescent="0.25">
      <c r="A10" s="20"/>
      <c r="B10" s="21">
        <v>103</v>
      </c>
      <c r="C10" s="22" t="s">
        <v>13</v>
      </c>
      <c r="D10" s="23" t="s">
        <v>7372</v>
      </c>
      <c r="E10" s="23" t="s">
        <v>7369</v>
      </c>
    </row>
    <row r="11" spans="1:5" ht="45" x14ac:dyDescent="0.25">
      <c r="A11" s="20"/>
      <c r="B11" s="21">
        <v>104</v>
      </c>
      <c r="C11" s="22" t="s">
        <v>7373</v>
      </c>
      <c r="D11" s="23" t="s">
        <v>7374</v>
      </c>
      <c r="E11" s="23" t="s">
        <v>7369</v>
      </c>
    </row>
    <row r="12" spans="1:5" ht="150" x14ac:dyDescent="0.25">
      <c r="A12" s="24">
        <v>20</v>
      </c>
      <c r="B12" s="387" t="s">
        <v>7375</v>
      </c>
      <c r="C12" s="388"/>
      <c r="D12" s="25" t="s">
        <v>7376</v>
      </c>
      <c r="E12" s="25" t="s">
        <v>7377</v>
      </c>
    </row>
    <row r="13" spans="1:5" ht="75" x14ac:dyDescent="0.25">
      <c r="A13" s="26">
        <v>21</v>
      </c>
      <c r="B13" s="27" t="s">
        <v>7378</v>
      </c>
      <c r="C13" s="28"/>
      <c r="D13" s="29" t="s">
        <v>7502</v>
      </c>
      <c r="E13" s="29" t="s">
        <v>7503</v>
      </c>
    </row>
    <row r="14" spans="1:5" ht="30" x14ac:dyDescent="0.25">
      <c r="A14" s="20"/>
      <c r="B14" s="21">
        <v>211</v>
      </c>
      <c r="C14" s="22" t="s">
        <v>15</v>
      </c>
      <c r="D14" s="23" t="s">
        <v>7379</v>
      </c>
      <c r="E14" s="23" t="s">
        <v>7380</v>
      </c>
    </row>
    <row r="15" spans="1:5" ht="30" x14ac:dyDescent="0.25">
      <c r="A15" s="20"/>
      <c r="B15" s="21">
        <v>212</v>
      </c>
      <c r="C15" s="22" t="s">
        <v>164</v>
      </c>
      <c r="D15" s="23" t="s">
        <v>7381</v>
      </c>
      <c r="E15" s="23" t="s">
        <v>7380</v>
      </c>
    </row>
    <row r="16" spans="1:5" ht="30" x14ac:dyDescent="0.25">
      <c r="A16" s="20"/>
      <c r="B16" s="21">
        <v>213</v>
      </c>
      <c r="C16" s="22" t="s">
        <v>165</v>
      </c>
      <c r="D16" s="23" t="s">
        <v>7382</v>
      </c>
      <c r="E16" s="23" t="s">
        <v>7380</v>
      </c>
    </row>
    <row r="17" spans="1:5" ht="30" x14ac:dyDescent="0.25">
      <c r="A17" s="20"/>
      <c r="B17" s="21">
        <v>214</v>
      </c>
      <c r="C17" s="22" t="s">
        <v>166</v>
      </c>
      <c r="D17" s="23" t="s">
        <v>7383</v>
      </c>
      <c r="E17" s="23" t="s">
        <v>7380</v>
      </c>
    </row>
    <row r="18" spans="1:5" ht="60" x14ac:dyDescent="0.25">
      <c r="A18" s="20"/>
      <c r="B18" s="21">
        <v>215</v>
      </c>
      <c r="C18" s="22" t="s">
        <v>7384</v>
      </c>
      <c r="D18" s="23" t="s">
        <v>7385</v>
      </c>
      <c r="E18" s="23" t="s">
        <v>7386</v>
      </c>
    </row>
    <row r="19" spans="1:5" ht="30" x14ac:dyDescent="0.25">
      <c r="A19" s="20"/>
      <c r="B19" s="21">
        <v>216</v>
      </c>
      <c r="C19" s="22" t="s">
        <v>7387</v>
      </c>
      <c r="D19" s="23" t="s">
        <v>7388</v>
      </c>
      <c r="E19" s="23" t="s">
        <v>7389</v>
      </c>
    </row>
    <row r="20" spans="1:5" ht="120" x14ac:dyDescent="0.25">
      <c r="A20" s="30">
        <v>22</v>
      </c>
      <c r="B20" s="31" t="s">
        <v>7390</v>
      </c>
      <c r="C20" s="32"/>
      <c r="D20" s="33" t="s">
        <v>7391</v>
      </c>
      <c r="E20" s="33" t="s">
        <v>7392</v>
      </c>
    </row>
    <row r="21" spans="1:5" ht="45" x14ac:dyDescent="0.25">
      <c r="A21" s="20"/>
      <c r="B21" s="21">
        <v>221</v>
      </c>
      <c r="C21" s="22" t="s">
        <v>7393</v>
      </c>
      <c r="D21" s="23" t="s">
        <v>7394</v>
      </c>
      <c r="E21" s="23" t="s">
        <v>7395</v>
      </c>
    </row>
    <row r="22" spans="1:5" ht="45" x14ac:dyDescent="0.25">
      <c r="A22" s="20"/>
      <c r="B22" s="21">
        <v>222</v>
      </c>
      <c r="C22" s="22" t="s">
        <v>7396</v>
      </c>
      <c r="D22" s="23" t="s">
        <v>7397</v>
      </c>
      <c r="E22" s="23" t="s">
        <v>7398</v>
      </c>
    </row>
    <row r="23" spans="1:5" ht="30" x14ac:dyDescent="0.25">
      <c r="A23" s="20"/>
      <c r="B23" s="21">
        <v>223</v>
      </c>
      <c r="C23" s="22" t="s">
        <v>174</v>
      </c>
      <c r="D23" s="23" t="s">
        <v>7399</v>
      </c>
      <c r="E23" s="23" t="s">
        <v>7400</v>
      </c>
    </row>
    <row r="24" spans="1:5" ht="60" x14ac:dyDescent="0.25">
      <c r="A24" s="20"/>
      <c r="B24" s="21">
        <v>224</v>
      </c>
      <c r="C24" s="22" t="s">
        <v>7401</v>
      </c>
      <c r="D24" s="23" t="s">
        <v>7402</v>
      </c>
      <c r="E24" s="23"/>
    </row>
    <row r="25" spans="1:5" ht="60" x14ac:dyDescent="0.25">
      <c r="A25" s="34">
        <v>300</v>
      </c>
      <c r="B25" s="389" t="s">
        <v>7403</v>
      </c>
      <c r="C25" s="390"/>
      <c r="D25" s="35" t="s">
        <v>7404</v>
      </c>
      <c r="E25" s="35" t="s">
        <v>7551</v>
      </c>
    </row>
    <row r="26" spans="1:5" ht="30" x14ac:dyDescent="0.25">
      <c r="A26" s="346"/>
      <c r="B26" s="347">
        <v>301</v>
      </c>
      <c r="C26" s="348" t="s">
        <v>7552</v>
      </c>
      <c r="D26" s="347" t="s">
        <v>7552</v>
      </c>
      <c r="E26" s="23" t="s">
        <v>7553</v>
      </c>
    </row>
    <row r="27" spans="1:5" ht="45" x14ac:dyDescent="0.25">
      <c r="A27" s="346"/>
      <c r="B27" s="347">
        <v>302</v>
      </c>
      <c r="C27" s="348" t="s">
        <v>7554</v>
      </c>
      <c r="D27" s="347" t="s">
        <v>7554</v>
      </c>
      <c r="E27" s="23" t="s">
        <v>7555</v>
      </c>
    </row>
    <row r="28" spans="1:5" ht="30" x14ac:dyDescent="0.25">
      <c r="A28" s="346"/>
      <c r="B28" s="347">
        <v>303</v>
      </c>
      <c r="C28" s="348" t="s">
        <v>7556</v>
      </c>
      <c r="D28" s="347" t="s">
        <v>7556</v>
      </c>
      <c r="E28" s="23" t="s">
        <v>7557</v>
      </c>
    </row>
    <row r="29" spans="1:5" ht="30" x14ac:dyDescent="0.25">
      <c r="A29" s="346"/>
      <c r="B29" s="347">
        <v>311</v>
      </c>
      <c r="C29" s="348" t="s">
        <v>7558</v>
      </c>
      <c r="D29" s="347" t="s">
        <v>7558</v>
      </c>
      <c r="E29" s="23" t="s">
        <v>7559</v>
      </c>
    </row>
    <row r="30" spans="1:5" ht="45" x14ac:dyDescent="0.25">
      <c r="A30" s="349" t="s">
        <v>7560</v>
      </c>
      <c r="B30" s="347">
        <v>395</v>
      </c>
      <c r="C30" s="348" t="s">
        <v>7561</v>
      </c>
      <c r="D30" s="347" t="s">
        <v>7561</v>
      </c>
      <c r="E30" s="23" t="s">
        <v>7562</v>
      </c>
    </row>
    <row r="31" spans="1:5" ht="30" x14ac:dyDescent="0.25">
      <c r="A31" s="349" t="s">
        <v>7560</v>
      </c>
      <c r="B31" s="347">
        <v>396</v>
      </c>
      <c r="C31" s="348" t="s">
        <v>7563</v>
      </c>
      <c r="D31" s="347" t="s">
        <v>7563</v>
      </c>
      <c r="E31" s="23" t="s">
        <v>7389</v>
      </c>
    </row>
    <row r="32" spans="1:5" ht="124.5" customHeight="1" x14ac:dyDescent="0.25">
      <c r="A32" s="36">
        <v>400</v>
      </c>
      <c r="B32" s="391" t="s">
        <v>7405</v>
      </c>
      <c r="C32" s="392"/>
      <c r="D32" s="37" t="s">
        <v>7511</v>
      </c>
      <c r="E32" s="37" t="s">
        <v>7564</v>
      </c>
    </row>
    <row r="33" spans="1:5" ht="30" x14ac:dyDescent="0.25">
      <c r="A33" s="346"/>
      <c r="B33" s="347">
        <v>401</v>
      </c>
      <c r="C33" s="348" t="s">
        <v>7565</v>
      </c>
      <c r="D33" s="347" t="s">
        <v>7565</v>
      </c>
      <c r="E33" s="23" t="s">
        <v>7553</v>
      </c>
    </row>
    <row r="34" spans="1:5" ht="30" x14ac:dyDescent="0.25">
      <c r="A34" s="346"/>
      <c r="B34" s="347">
        <v>402</v>
      </c>
      <c r="C34" s="348" t="s">
        <v>7566</v>
      </c>
      <c r="D34" s="347" t="s">
        <v>7566</v>
      </c>
      <c r="E34" s="23" t="s">
        <v>7567</v>
      </c>
    </row>
    <row r="35" spans="1:5" ht="30" x14ac:dyDescent="0.25">
      <c r="A35" s="346"/>
      <c r="B35" s="347">
        <v>403</v>
      </c>
      <c r="C35" s="348" t="s">
        <v>7568</v>
      </c>
      <c r="D35" s="347" t="s">
        <v>7568</v>
      </c>
      <c r="E35" s="23" t="s">
        <v>7569</v>
      </c>
    </row>
    <row r="36" spans="1:5" ht="45" x14ac:dyDescent="0.25">
      <c r="A36" s="346"/>
      <c r="B36" s="347">
        <v>404</v>
      </c>
      <c r="C36" s="348" t="s">
        <v>7570</v>
      </c>
      <c r="D36" s="347" t="s">
        <v>7570</v>
      </c>
      <c r="E36" s="23" t="s">
        <v>7400</v>
      </c>
    </row>
    <row r="37" spans="1:5" ht="30" x14ac:dyDescent="0.25">
      <c r="A37" s="346"/>
      <c r="B37" s="347">
        <v>411</v>
      </c>
      <c r="C37" s="348" t="s">
        <v>7571</v>
      </c>
      <c r="D37" s="347" t="s">
        <v>7571</v>
      </c>
      <c r="E37" s="23" t="s">
        <v>7572</v>
      </c>
    </row>
    <row r="38" spans="1:5" ht="30" x14ac:dyDescent="0.25">
      <c r="A38" s="346"/>
      <c r="B38" s="347">
        <v>412</v>
      </c>
      <c r="C38" s="348" t="s">
        <v>7573</v>
      </c>
      <c r="D38" s="347" t="s">
        <v>7573</v>
      </c>
      <c r="E38" s="23" t="s">
        <v>7574</v>
      </c>
    </row>
    <row r="39" spans="1:5" ht="45" x14ac:dyDescent="0.25">
      <c r="A39" s="346"/>
      <c r="B39" s="347">
        <v>495</v>
      </c>
      <c r="C39" s="348" t="s">
        <v>7575</v>
      </c>
      <c r="D39" s="347" t="s">
        <v>7575</v>
      </c>
      <c r="E39" s="23" t="s">
        <v>7562</v>
      </c>
    </row>
    <row r="40" spans="1:5" ht="30" x14ac:dyDescent="0.25">
      <c r="A40" s="346"/>
      <c r="B40" s="347">
        <v>496</v>
      </c>
      <c r="C40" s="348" t="s">
        <v>7576</v>
      </c>
      <c r="D40" s="347" t="s">
        <v>7576</v>
      </c>
      <c r="E40" s="23" t="s">
        <v>7389</v>
      </c>
    </row>
  </sheetData>
  <sheetProtection sheet="1" objects="1" scenarios="1"/>
  <mergeCells count="4">
    <mergeCell ref="B7:C7"/>
    <mergeCell ref="B12:C12"/>
    <mergeCell ref="B25:C25"/>
    <mergeCell ref="B32:C3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2">
    <tabColor theme="4" tint="0.59999389629810485"/>
  </sheetPr>
  <dimension ref="A1:Q62"/>
  <sheetViews>
    <sheetView topLeftCell="A7" zoomScale="70" zoomScaleNormal="70" workbookViewId="0">
      <selection activeCell="A8" sqref="A8"/>
    </sheetView>
  </sheetViews>
  <sheetFormatPr baseColWidth="10" defaultColWidth="11.42578125" defaultRowHeight="15" x14ac:dyDescent="0.25"/>
  <cols>
    <col min="1" max="1" width="43" customWidth="1"/>
    <col min="2" max="2" width="15" customWidth="1"/>
    <col min="3" max="3" width="5.85546875" customWidth="1"/>
    <col min="4" max="4" width="70.42578125" style="104" bestFit="1" customWidth="1"/>
    <col min="5" max="5" width="3.7109375" customWidth="1"/>
    <col min="6" max="6" width="113.140625" customWidth="1"/>
    <col min="8" max="8" width="57" style="116" customWidth="1"/>
  </cols>
  <sheetData>
    <row r="1" spans="1:16" ht="61.5" x14ac:dyDescent="0.9">
      <c r="A1" s="393" t="s">
        <v>7601</v>
      </c>
      <c r="B1" s="393"/>
      <c r="C1" s="393"/>
      <c r="D1" s="393"/>
      <c r="E1" s="393"/>
      <c r="F1" s="393"/>
      <c r="G1" s="393"/>
      <c r="H1" s="393"/>
      <c r="I1" s="393"/>
      <c r="J1" s="393"/>
      <c r="K1" s="393"/>
      <c r="L1" s="393"/>
      <c r="M1" s="393"/>
      <c r="N1" s="393"/>
      <c r="O1" s="393"/>
      <c r="P1" s="393"/>
    </row>
    <row r="2" spans="1:16" x14ac:dyDescent="0.25">
      <c r="A2" s="82"/>
      <c r="B2" s="82"/>
      <c r="C2" s="82"/>
      <c r="D2" s="82"/>
      <c r="E2" s="1"/>
      <c r="F2" s="1"/>
      <c r="G2" s="1"/>
      <c r="H2" s="11"/>
    </row>
    <row r="3" spans="1:16" ht="36" x14ac:dyDescent="0.55000000000000004">
      <c r="A3" s="78"/>
      <c r="B3" s="58"/>
      <c r="C3" s="58"/>
      <c r="D3" s="67"/>
      <c r="E3" s="1"/>
      <c r="F3" s="1"/>
      <c r="G3" s="1"/>
      <c r="H3" s="11"/>
    </row>
    <row r="4" spans="1:16" x14ac:dyDescent="0.25">
      <c r="A4" s="73"/>
      <c r="B4" s="73"/>
      <c r="C4" s="73"/>
      <c r="D4" s="73"/>
      <c r="E4" s="1"/>
      <c r="F4" s="1"/>
      <c r="G4" s="1"/>
      <c r="H4" s="11"/>
    </row>
    <row r="5" spans="1:16" ht="32.25" thickBot="1" x14ac:dyDescent="0.55000000000000004">
      <c r="A5" s="79" t="s">
        <v>7609</v>
      </c>
      <c r="B5" s="58"/>
      <c r="C5" s="58"/>
      <c r="D5" s="67"/>
      <c r="E5" s="1"/>
      <c r="F5" s="1"/>
      <c r="G5" s="1"/>
      <c r="H5" s="11"/>
    </row>
    <row r="6" spans="1:16" ht="21" thickTop="1" thickBot="1" x14ac:dyDescent="0.35">
      <c r="A6" s="58"/>
      <c r="B6" s="72"/>
      <c r="C6" s="72"/>
      <c r="D6" s="74"/>
      <c r="E6" s="91"/>
      <c r="F6" s="92" t="s">
        <v>7433</v>
      </c>
      <c r="G6" s="1"/>
      <c r="H6" s="109" t="s">
        <v>7467</v>
      </c>
    </row>
    <row r="7" spans="1:16" ht="19.5" thickTop="1" x14ac:dyDescent="0.3">
      <c r="A7" s="58"/>
      <c r="B7" s="72"/>
      <c r="C7" s="72"/>
      <c r="D7" s="74"/>
      <c r="E7" s="1"/>
      <c r="F7" s="1"/>
      <c r="G7" s="1"/>
      <c r="H7" s="11"/>
    </row>
    <row r="8" spans="1:16" ht="56.25" x14ac:dyDescent="0.25">
      <c r="A8" s="76"/>
      <c r="B8" s="77"/>
      <c r="C8" s="75"/>
      <c r="D8" s="93" t="s">
        <v>7577</v>
      </c>
      <c r="E8" s="94"/>
      <c r="F8" s="95" t="s">
        <v>7578</v>
      </c>
      <c r="G8" s="1"/>
      <c r="H8" s="110" t="s">
        <v>7579</v>
      </c>
    </row>
    <row r="9" spans="1:16" ht="38.25" x14ac:dyDescent="0.35">
      <c r="A9" s="63"/>
      <c r="B9" s="66"/>
      <c r="C9" s="1"/>
      <c r="D9" s="96" t="s">
        <v>7580</v>
      </c>
      <c r="E9" s="94"/>
      <c r="F9" s="97" t="s">
        <v>7434</v>
      </c>
      <c r="G9" s="1"/>
      <c r="H9" s="111" t="s">
        <v>7468</v>
      </c>
    </row>
    <row r="10" spans="1:16" ht="150.75" x14ac:dyDescent="0.35">
      <c r="A10" s="64"/>
      <c r="B10" s="66"/>
      <c r="C10" s="7"/>
      <c r="D10" s="96" t="s">
        <v>7581</v>
      </c>
      <c r="E10" s="94"/>
      <c r="F10" s="97" t="s">
        <v>7435</v>
      </c>
      <c r="G10" s="1"/>
      <c r="H10" s="110" t="s">
        <v>7469</v>
      </c>
    </row>
    <row r="11" spans="1:16" ht="75" x14ac:dyDescent="0.3">
      <c r="A11" s="65"/>
      <c r="B11" s="1"/>
      <c r="C11" s="7"/>
      <c r="D11" s="350" t="s">
        <v>7582</v>
      </c>
      <c r="E11" s="351"/>
      <c r="F11" s="352" t="s">
        <v>7436</v>
      </c>
      <c r="G11" s="1"/>
      <c r="H11" s="353" t="s">
        <v>7470</v>
      </c>
    </row>
    <row r="12" spans="1:16" ht="37.5" x14ac:dyDescent="0.3">
      <c r="A12" s="65"/>
      <c r="B12" s="1"/>
      <c r="C12" s="7"/>
      <c r="D12" s="350" t="s">
        <v>7549</v>
      </c>
      <c r="E12" s="94"/>
      <c r="F12" s="97" t="s">
        <v>7583</v>
      </c>
      <c r="G12" s="1"/>
      <c r="H12" s="111" t="s">
        <v>7584</v>
      </c>
    </row>
    <row r="13" spans="1:16" ht="37.5" x14ac:dyDescent="0.3">
      <c r="A13" s="65"/>
      <c r="B13" s="1"/>
      <c r="C13" s="7"/>
      <c r="D13" s="350" t="s">
        <v>7519</v>
      </c>
      <c r="E13" s="94"/>
      <c r="F13" s="354" t="s">
        <v>7585</v>
      </c>
      <c r="G13" s="1"/>
      <c r="H13" s="111" t="s">
        <v>7586</v>
      </c>
    </row>
    <row r="14" spans="1:16" ht="18.75" x14ac:dyDescent="0.3">
      <c r="A14" s="51"/>
      <c r="B14" s="62"/>
      <c r="C14" s="7"/>
      <c r="D14" s="38"/>
      <c r="E14" s="1"/>
      <c r="F14" s="1"/>
      <c r="G14" s="1"/>
      <c r="H14" s="112"/>
    </row>
    <row r="15" spans="1:16" ht="56.25" x14ac:dyDescent="0.3">
      <c r="A15" s="51"/>
      <c r="B15" s="1"/>
      <c r="C15" s="7"/>
      <c r="D15" s="96" t="s">
        <v>7520</v>
      </c>
      <c r="E15" s="94"/>
      <c r="F15" s="355" t="s">
        <v>7437</v>
      </c>
      <c r="G15" s="1"/>
      <c r="H15" s="110" t="s">
        <v>7587</v>
      </c>
    </row>
    <row r="16" spans="1:16" x14ac:dyDescent="0.25">
      <c r="A16" s="1"/>
      <c r="B16" s="1"/>
      <c r="C16" s="1"/>
      <c r="D16" s="1"/>
      <c r="E16" s="1"/>
      <c r="F16" s="1"/>
      <c r="G16" s="1"/>
      <c r="H16" s="11"/>
    </row>
    <row r="17" spans="1:17" ht="56.25" x14ac:dyDescent="0.3">
      <c r="A17" s="1"/>
      <c r="B17" s="7"/>
      <c r="C17" s="7"/>
      <c r="D17" s="98" t="s">
        <v>7588</v>
      </c>
      <c r="E17" s="94"/>
      <c r="F17" s="95" t="s">
        <v>7589</v>
      </c>
      <c r="G17" s="1"/>
      <c r="H17" s="110" t="s">
        <v>7590</v>
      </c>
    </row>
    <row r="18" spans="1:17" ht="81.75" customHeight="1" x14ac:dyDescent="0.25">
      <c r="A18" s="394" t="s">
        <v>7591</v>
      </c>
      <c r="B18" s="395"/>
      <c r="C18" s="395"/>
      <c r="D18" s="395"/>
      <c r="E18" s="395"/>
      <c r="F18" s="395"/>
      <c r="G18" s="395"/>
      <c r="H18" s="395"/>
      <c r="I18" s="57"/>
      <c r="J18" s="57"/>
      <c r="K18" s="57"/>
      <c r="L18" s="57"/>
      <c r="M18" s="57"/>
      <c r="N18" s="57"/>
      <c r="O18" s="57"/>
      <c r="P18" s="57"/>
      <c r="Q18" s="57"/>
    </row>
    <row r="19" spans="1:17" ht="18.75" x14ac:dyDescent="0.3">
      <c r="A19" s="1"/>
      <c r="B19" s="7"/>
      <c r="C19" s="7"/>
      <c r="D19" s="99"/>
      <c r="E19" s="1"/>
      <c r="F19" s="1"/>
      <c r="G19" s="1"/>
      <c r="H19" s="11"/>
    </row>
    <row r="20" spans="1:17" ht="44.25" customHeight="1" thickBot="1" x14ac:dyDescent="0.55000000000000004">
      <c r="A20" s="79" t="s">
        <v>7415</v>
      </c>
      <c r="B20" s="7"/>
      <c r="C20" s="7"/>
      <c r="D20" s="38"/>
      <c r="E20" s="1"/>
      <c r="F20" s="1"/>
      <c r="G20" s="1"/>
      <c r="H20" s="11"/>
    </row>
    <row r="21" spans="1:17" ht="20.25" thickTop="1" x14ac:dyDescent="0.3">
      <c r="A21" s="56"/>
      <c r="B21" s="7"/>
      <c r="C21" s="7"/>
      <c r="D21" s="38"/>
      <c r="E21" s="1"/>
      <c r="F21" s="1"/>
      <c r="G21" s="1"/>
      <c r="H21" s="11"/>
    </row>
    <row r="22" spans="1:17" ht="20.25" thickBot="1" x14ac:dyDescent="0.35">
      <c r="B22" s="7"/>
      <c r="C22" s="7"/>
      <c r="D22" s="83" t="s">
        <v>7412</v>
      </c>
      <c r="E22" s="1"/>
      <c r="F22" s="1"/>
      <c r="G22" s="1"/>
      <c r="H22" s="11"/>
    </row>
    <row r="23" spans="1:17" ht="46.5" customHeight="1" thickTop="1" x14ac:dyDescent="0.3">
      <c r="A23" s="1"/>
      <c r="B23" s="7"/>
      <c r="C23" s="87"/>
      <c r="D23" s="342" t="s">
        <v>7477</v>
      </c>
      <c r="E23" s="105"/>
      <c r="F23" s="106" t="s">
        <v>7439</v>
      </c>
      <c r="G23" s="1"/>
      <c r="H23" s="113" t="s">
        <v>7471</v>
      </c>
    </row>
    <row r="24" spans="1:17" ht="18.75" x14ac:dyDescent="0.3">
      <c r="A24" s="1" t="s">
        <v>7411</v>
      </c>
      <c r="B24" s="7"/>
      <c r="C24" s="40"/>
      <c r="D24" s="85"/>
      <c r="E24" s="1"/>
      <c r="F24" s="7"/>
      <c r="G24" s="1"/>
      <c r="H24" s="114"/>
    </row>
    <row r="25" spans="1:17" ht="18.75" customHeight="1" x14ac:dyDescent="0.3">
      <c r="A25" s="1"/>
      <c r="B25" s="7"/>
      <c r="C25" s="44"/>
      <c r="D25" s="396" t="s">
        <v>7478</v>
      </c>
      <c r="E25" s="1"/>
      <c r="F25" s="7"/>
      <c r="G25" s="1"/>
      <c r="H25" s="114"/>
    </row>
    <row r="26" spans="1:17" ht="56.25" x14ac:dyDescent="0.3">
      <c r="A26" s="1"/>
      <c r="B26" s="7"/>
      <c r="C26" s="41"/>
      <c r="D26" s="396"/>
      <c r="E26" s="1"/>
      <c r="F26" s="100" t="s">
        <v>7504</v>
      </c>
      <c r="G26" s="1"/>
      <c r="H26" s="113" t="s">
        <v>7508</v>
      </c>
    </row>
    <row r="27" spans="1:17" ht="18.75" customHeight="1" x14ac:dyDescent="0.3">
      <c r="A27" s="1"/>
      <c r="B27" s="7"/>
      <c r="C27" s="89"/>
      <c r="D27" s="397"/>
      <c r="E27" s="105"/>
      <c r="F27" s="88"/>
      <c r="G27" s="1"/>
      <c r="H27" s="115"/>
    </row>
    <row r="28" spans="1:17" ht="15.75" customHeight="1" x14ac:dyDescent="0.3">
      <c r="A28" s="344"/>
      <c r="B28" s="7"/>
      <c r="C28" s="39"/>
      <c r="D28" s="85"/>
      <c r="E28" s="1"/>
      <c r="G28" s="1"/>
    </row>
    <row r="29" spans="1:17" ht="18.75" x14ac:dyDescent="0.3">
      <c r="A29" s="1"/>
      <c r="B29" s="7"/>
      <c r="C29" s="41"/>
      <c r="D29" s="85"/>
      <c r="E29" s="1"/>
      <c r="F29" s="398" t="s">
        <v>7505</v>
      </c>
      <c r="G29" s="1"/>
      <c r="H29" s="400" t="s">
        <v>7506</v>
      </c>
    </row>
    <row r="30" spans="1:17" ht="15" customHeight="1" x14ac:dyDescent="0.3">
      <c r="A30" s="401"/>
      <c r="B30" s="7"/>
      <c r="C30" s="45"/>
      <c r="D30" s="396" t="s">
        <v>7476</v>
      </c>
      <c r="E30" s="1"/>
      <c r="F30" s="398"/>
      <c r="G30" s="1"/>
      <c r="H30" s="398"/>
    </row>
    <row r="31" spans="1:17" ht="15" customHeight="1" x14ac:dyDescent="0.3">
      <c r="A31" s="401"/>
      <c r="B31" s="7"/>
      <c r="C31" s="39"/>
      <c r="D31" s="396"/>
      <c r="E31" s="1"/>
      <c r="F31" s="398"/>
      <c r="G31" s="1"/>
      <c r="H31" s="398"/>
    </row>
    <row r="32" spans="1:17" ht="28.5" customHeight="1" x14ac:dyDescent="0.3">
      <c r="A32" s="401"/>
      <c r="B32" s="7"/>
      <c r="C32" s="90"/>
      <c r="D32" s="397"/>
      <c r="E32" s="105"/>
      <c r="F32" s="399"/>
      <c r="G32" s="1"/>
      <c r="H32" s="399"/>
    </row>
    <row r="33" spans="1:8" ht="18.75" x14ac:dyDescent="0.3">
      <c r="A33" s="344"/>
      <c r="B33" s="7"/>
      <c r="C33" s="39"/>
      <c r="D33" s="85"/>
      <c r="E33" s="1"/>
      <c r="G33" s="1"/>
    </row>
    <row r="34" spans="1:8" ht="75" x14ac:dyDescent="0.3">
      <c r="A34" s="1"/>
      <c r="B34" s="7"/>
      <c r="C34" s="42"/>
      <c r="D34" s="128" t="s">
        <v>170</v>
      </c>
      <c r="E34" s="1"/>
      <c r="F34" s="101" t="s">
        <v>7438</v>
      </c>
      <c r="G34" s="1"/>
      <c r="H34" s="117" t="s">
        <v>7507</v>
      </c>
    </row>
    <row r="35" spans="1:8" ht="18.75" customHeight="1" x14ac:dyDescent="0.3">
      <c r="A35" s="1"/>
      <c r="B35" s="7"/>
      <c r="C35" s="87"/>
      <c r="D35" s="129"/>
      <c r="E35" s="105"/>
      <c r="F35" s="107"/>
      <c r="G35" s="1"/>
      <c r="H35" s="118"/>
    </row>
    <row r="36" spans="1:8" ht="45" customHeight="1" thickBot="1" x14ac:dyDescent="0.55000000000000004">
      <c r="A36" s="79" t="s">
        <v>7408</v>
      </c>
      <c r="B36" s="1"/>
      <c r="C36" s="43"/>
      <c r="D36" s="2"/>
      <c r="E36" s="1"/>
      <c r="F36" s="7"/>
      <c r="G36" s="1"/>
      <c r="H36" s="114"/>
    </row>
    <row r="37" spans="1:8" ht="6.75" customHeight="1" thickTop="1" x14ac:dyDescent="0.4">
      <c r="A37" s="68"/>
      <c r="B37" s="70"/>
      <c r="C37" s="70"/>
      <c r="D37" s="69"/>
      <c r="E37" s="1"/>
      <c r="F37" s="7"/>
      <c r="G37" s="1"/>
      <c r="H37" s="114"/>
    </row>
    <row r="38" spans="1:8" ht="6.75" customHeight="1" x14ac:dyDescent="0.3">
      <c r="A38" s="71"/>
      <c r="B38" s="71"/>
      <c r="C38" s="71"/>
      <c r="D38" s="80"/>
      <c r="E38" s="1"/>
      <c r="F38" s="7"/>
      <c r="G38" s="1"/>
      <c r="H38" s="114"/>
    </row>
    <row r="39" spans="1:8" ht="6.75" customHeight="1" x14ac:dyDescent="0.3">
      <c r="A39" s="71"/>
      <c r="B39" s="71"/>
      <c r="C39" s="71"/>
      <c r="D39" s="80"/>
      <c r="E39" s="1"/>
      <c r="F39" s="7"/>
      <c r="G39" s="1"/>
      <c r="H39" s="114"/>
    </row>
    <row r="40" spans="1:8" ht="6.75" customHeight="1" x14ac:dyDescent="0.3">
      <c r="A40" s="71"/>
      <c r="B40" s="71"/>
      <c r="C40" s="71"/>
      <c r="D40" s="80"/>
      <c r="E40" s="1"/>
      <c r="F40" s="7"/>
      <c r="G40" s="1"/>
      <c r="H40" s="114"/>
    </row>
    <row r="41" spans="1:8" ht="6.75" customHeight="1" x14ac:dyDescent="0.3">
      <c r="A41" s="58"/>
      <c r="B41" s="58"/>
      <c r="C41" s="58"/>
      <c r="D41" s="67"/>
      <c r="E41" s="1"/>
      <c r="F41" s="7"/>
      <c r="G41" s="1"/>
      <c r="H41" s="114"/>
    </row>
    <row r="42" spans="1:8" ht="27" thickBot="1" x14ac:dyDescent="0.45">
      <c r="A42" s="81" t="s">
        <v>7592</v>
      </c>
      <c r="B42" s="58"/>
      <c r="C42" s="58"/>
      <c r="D42" s="67"/>
      <c r="E42" s="1"/>
      <c r="F42" s="7"/>
      <c r="G42" s="1"/>
      <c r="H42" s="114"/>
    </row>
    <row r="43" spans="1:8" ht="18.75" x14ac:dyDescent="0.3">
      <c r="A43" s="58"/>
      <c r="B43" s="58"/>
      <c r="C43" s="58"/>
      <c r="D43" s="67"/>
      <c r="E43" s="1"/>
      <c r="F43" s="7"/>
      <c r="G43" s="1"/>
      <c r="H43" s="114"/>
    </row>
    <row r="44" spans="1:8" ht="18.75" x14ac:dyDescent="0.3">
      <c r="A44" s="58"/>
      <c r="B44" s="58"/>
      <c r="C44" s="58"/>
      <c r="D44" s="84" t="s">
        <v>159</v>
      </c>
      <c r="E44" s="1"/>
      <c r="F44" s="100" t="s">
        <v>7440</v>
      </c>
      <c r="G44" s="1"/>
      <c r="H44" s="119"/>
    </row>
    <row r="45" spans="1:8" ht="18.75" x14ac:dyDescent="0.3">
      <c r="A45" s="67"/>
      <c r="B45" s="67"/>
      <c r="C45" s="67"/>
      <c r="D45" s="84" t="s">
        <v>171</v>
      </c>
      <c r="E45" s="1"/>
      <c r="F45" s="100" t="s">
        <v>7441</v>
      </c>
      <c r="G45" s="1"/>
      <c r="H45" s="119"/>
    </row>
    <row r="46" spans="1:8" x14ac:dyDescent="0.25">
      <c r="A46" s="8"/>
      <c r="B46" s="8"/>
      <c r="C46" s="8"/>
      <c r="D46" s="8"/>
      <c r="E46" s="1"/>
      <c r="F46" s="1"/>
      <c r="G46" s="1"/>
      <c r="H46" s="11"/>
    </row>
    <row r="47" spans="1:8" ht="15.75" thickBot="1" x14ac:dyDescent="0.3">
      <c r="A47" s="1"/>
      <c r="B47" s="1"/>
      <c r="C47" s="60"/>
      <c r="D47" s="1"/>
      <c r="E47" s="1"/>
      <c r="F47" s="1"/>
      <c r="G47" s="1"/>
      <c r="H47" s="11"/>
    </row>
    <row r="48" spans="1:8" ht="15" customHeight="1" x14ac:dyDescent="0.25">
      <c r="A48" s="402" t="s">
        <v>25</v>
      </c>
      <c r="B48" s="404"/>
      <c r="C48" s="61">
        <v>101</v>
      </c>
      <c r="D48" s="59" t="s">
        <v>12</v>
      </c>
      <c r="E48" s="1"/>
      <c r="F48" s="406" t="s">
        <v>7442</v>
      </c>
      <c r="G48" s="1"/>
      <c r="H48" s="406"/>
    </row>
    <row r="49" spans="1:8" ht="15" customHeight="1" x14ac:dyDescent="0.25">
      <c r="A49" s="403"/>
      <c r="B49" s="405"/>
      <c r="C49" s="47">
        <v>102</v>
      </c>
      <c r="D49" s="6" t="s">
        <v>168</v>
      </c>
      <c r="E49" s="1"/>
      <c r="F49" s="398"/>
      <c r="G49" s="1"/>
      <c r="H49" s="398"/>
    </row>
    <row r="50" spans="1:8" ht="15" customHeight="1" x14ac:dyDescent="0.25">
      <c r="A50" s="403"/>
      <c r="B50" s="405"/>
      <c r="C50" s="47">
        <v>103</v>
      </c>
      <c r="D50" s="6" t="s">
        <v>13</v>
      </c>
      <c r="E50" s="1"/>
      <c r="F50" s="398"/>
      <c r="G50" s="1"/>
      <c r="H50" s="398"/>
    </row>
    <row r="51" spans="1:8" ht="15" customHeight="1" x14ac:dyDescent="0.25">
      <c r="A51" s="403"/>
      <c r="B51" s="405"/>
      <c r="C51" s="47">
        <v>104</v>
      </c>
      <c r="D51" s="6" t="s">
        <v>7373</v>
      </c>
      <c r="E51" s="1"/>
      <c r="F51" s="398"/>
      <c r="G51" s="1"/>
      <c r="H51" s="398"/>
    </row>
    <row r="52" spans="1:8" ht="18.75" x14ac:dyDescent="0.25">
      <c r="A52" s="403"/>
      <c r="B52" s="405"/>
      <c r="C52" s="48"/>
      <c r="D52" s="10"/>
      <c r="E52" s="1"/>
      <c r="F52" s="102"/>
      <c r="G52" s="1"/>
      <c r="H52" s="120"/>
    </row>
    <row r="53" spans="1:8" ht="18.75" x14ac:dyDescent="0.25">
      <c r="A53" s="403" t="s">
        <v>7410</v>
      </c>
      <c r="B53" s="405"/>
      <c r="C53" s="49">
        <v>211</v>
      </c>
      <c r="D53" s="6" t="s">
        <v>15</v>
      </c>
      <c r="E53" s="1"/>
      <c r="F53" s="343" t="s">
        <v>7443</v>
      </c>
      <c r="G53" s="1"/>
      <c r="H53" s="343"/>
    </row>
    <row r="54" spans="1:8" ht="37.5" x14ac:dyDescent="0.25">
      <c r="A54" s="403"/>
      <c r="B54" s="405"/>
      <c r="C54" s="49">
        <v>212</v>
      </c>
      <c r="D54" s="6" t="s">
        <v>164</v>
      </c>
      <c r="E54" s="1"/>
      <c r="F54" s="343" t="s">
        <v>7444</v>
      </c>
      <c r="G54" s="1"/>
      <c r="H54" s="343"/>
    </row>
    <row r="55" spans="1:8" ht="37.5" x14ac:dyDescent="0.25">
      <c r="A55" s="403"/>
      <c r="B55" s="405"/>
      <c r="C55" s="49">
        <v>213</v>
      </c>
      <c r="D55" s="6" t="s">
        <v>165</v>
      </c>
      <c r="E55" s="1"/>
      <c r="F55" s="343" t="s">
        <v>7445</v>
      </c>
      <c r="G55" s="1"/>
      <c r="H55" s="343"/>
    </row>
    <row r="56" spans="1:8" ht="37.5" x14ac:dyDescent="0.25">
      <c r="A56" s="403"/>
      <c r="B56" s="405"/>
      <c r="C56" s="49">
        <v>214</v>
      </c>
      <c r="D56" s="6" t="s">
        <v>166</v>
      </c>
      <c r="E56" s="1"/>
      <c r="F56" s="343" t="s">
        <v>7446</v>
      </c>
      <c r="G56" s="1"/>
      <c r="H56" s="343"/>
    </row>
    <row r="57" spans="1:8" ht="18.75" x14ac:dyDescent="0.25">
      <c r="A57" s="403"/>
      <c r="B57" s="9"/>
      <c r="C57" s="46"/>
      <c r="D57" s="10"/>
      <c r="E57" s="1"/>
      <c r="F57" s="102"/>
      <c r="G57" s="1"/>
      <c r="H57" s="120"/>
    </row>
    <row r="58" spans="1:8" ht="18.75" x14ac:dyDescent="0.25">
      <c r="A58" s="55" t="s">
        <v>7409</v>
      </c>
      <c r="B58" s="12"/>
      <c r="C58" s="50" t="s">
        <v>169</v>
      </c>
      <c r="D58" s="13"/>
      <c r="E58" s="1"/>
      <c r="F58" s="345" t="s">
        <v>7447</v>
      </c>
      <c r="G58" s="1"/>
      <c r="H58" s="345"/>
    </row>
    <row r="59" spans="1:8" ht="18.75" x14ac:dyDescent="0.25">
      <c r="A59" s="356" t="s">
        <v>7529</v>
      </c>
      <c r="B59" s="357"/>
      <c r="C59" s="358" t="s">
        <v>7593</v>
      </c>
      <c r="D59" s="359"/>
      <c r="E59" s="1"/>
      <c r="F59" s="345" t="s">
        <v>7447</v>
      </c>
      <c r="G59" s="1"/>
      <c r="H59" s="345"/>
    </row>
    <row r="60" spans="1:8" ht="18.75" x14ac:dyDescent="0.25">
      <c r="A60" s="200" t="s">
        <v>7519</v>
      </c>
      <c r="B60" s="360"/>
      <c r="C60" s="49" t="s">
        <v>7594</v>
      </c>
      <c r="D60" s="361"/>
      <c r="E60" s="1"/>
      <c r="F60" s="345" t="s">
        <v>7447</v>
      </c>
      <c r="G60" s="1"/>
      <c r="H60" s="345"/>
    </row>
    <row r="61" spans="1:8" ht="57" thickBot="1" x14ac:dyDescent="0.3">
      <c r="A61" s="52" t="s">
        <v>7416</v>
      </c>
      <c r="B61" s="52"/>
      <c r="C61" s="53"/>
      <c r="D61" s="54"/>
      <c r="E61" s="1"/>
      <c r="F61" s="103" t="s">
        <v>7578</v>
      </c>
      <c r="G61" s="1"/>
      <c r="H61" s="103"/>
    </row>
    <row r="62" spans="1:8" x14ac:dyDescent="0.25">
      <c r="A62" s="1"/>
      <c r="B62" s="1"/>
      <c r="C62" s="1"/>
      <c r="D62" s="1"/>
      <c r="E62" s="1"/>
      <c r="F62" s="1"/>
      <c r="G62" s="1"/>
      <c r="H62" s="11"/>
    </row>
  </sheetData>
  <sheetProtection sheet="1" objects="1" scenarios="1"/>
  <mergeCells count="13">
    <mergeCell ref="A48:A52"/>
    <mergeCell ref="B48:B52"/>
    <mergeCell ref="F48:F51"/>
    <mergeCell ref="H48:H51"/>
    <mergeCell ref="A53:A57"/>
    <mergeCell ref="B53:B56"/>
    <mergeCell ref="A1:P1"/>
    <mergeCell ref="A18:H18"/>
    <mergeCell ref="D25:D27"/>
    <mergeCell ref="F29:F32"/>
    <mergeCell ref="H29:H32"/>
    <mergeCell ref="A30:A32"/>
    <mergeCell ref="D30:D3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O7827"/>
  <sheetViews>
    <sheetView workbookViewId="0"/>
  </sheetViews>
  <sheetFormatPr baseColWidth="10" defaultRowHeight="15" x14ac:dyDescent="0.25"/>
  <cols>
    <col min="13" max="13" width="26.28515625" customWidth="1"/>
    <col min="14" max="14" width="14.42578125" customWidth="1"/>
    <col min="15" max="15" width="8.85546875" style="4" customWidth="1"/>
    <col min="16" max="16" width="8.85546875" customWidth="1"/>
  </cols>
  <sheetData>
    <row r="1" spans="1:10" x14ac:dyDescent="0.25">
      <c r="A1" t="s">
        <v>7417</v>
      </c>
      <c r="B1" t="s">
        <v>7352</v>
      </c>
      <c r="C1" t="s">
        <v>2116</v>
      </c>
      <c r="D1" t="s">
        <v>2117</v>
      </c>
      <c r="E1" t="s">
        <v>175</v>
      </c>
      <c r="F1" t="s">
        <v>2118</v>
      </c>
      <c r="G1" t="s">
        <v>26</v>
      </c>
      <c r="H1" t="s">
        <v>173</v>
      </c>
      <c r="I1" t="s">
        <v>27</v>
      </c>
      <c r="J1" t="s">
        <v>28</v>
      </c>
    </row>
    <row r="2" spans="1:10" x14ac:dyDescent="0.25">
      <c r="A2" t="s">
        <v>149</v>
      </c>
      <c r="B2">
        <f>1289940.32820053*(1/100/100)</f>
        <v>128.99403282005301</v>
      </c>
      <c r="C2">
        <v>1002</v>
      </c>
      <c r="D2" t="s">
        <v>7287</v>
      </c>
      <c r="E2">
        <v>90900</v>
      </c>
      <c r="F2" t="s">
        <v>129</v>
      </c>
      <c r="G2">
        <v>909</v>
      </c>
      <c r="H2" t="s">
        <v>129</v>
      </c>
      <c r="I2">
        <v>9</v>
      </c>
      <c r="J2" t="s">
        <v>121</v>
      </c>
    </row>
    <row r="3" spans="1:10" x14ac:dyDescent="0.25">
      <c r="A3" t="s">
        <v>149</v>
      </c>
      <c r="B3">
        <f>1192626.67136271*(1/100/100)</f>
        <v>119.26266713627101</v>
      </c>
      <c r="C3">
        <v>1004</v>
      </c>
      <c r="D3" t="s">
        <v>6108</v>
      </c>
      <c r="E3">
        <v>90100</v>
      </c>
      <c r="F3" t="s">
        <v>120</v>
      </c>
      <c r="G3">
        <v>901</v>
      </c>
      <c r="H3" t="s">
        <v>120</v>
      </c>
      <c r="I3">
        <v>9</v>
      </c>
      <c r="J3" t="s">
        <v>121</v>
      </c>
    </row>
    <row r="4" spans="1:10" x14ac:dyDescent="0.25">
      <c r="A4" t="s">
        <v>149</v>
      </c>
      <c r="B4">
        <f>539106.114298629*(1/100/100)</f>
        <v>53.910611429862904</v>
      </c>
      <c r="C4">
        <v>1005</v>
      </c>
      <c r="D4" t="s">
        <v>7286</v>
      </c>
      <c r="E4">
        <v>90800</v>
      </c>
      <c r="F4" t="s">
        <v>128</v>
      </c>
      <c r="G4">
        <v>908</v>
      </c>
      <c r="H4" t="s">
        <v>128</v>
      </c>
      <c r="I4">
        <v>9</v>
      </c>
      <c r="J4" t="s">
        <v>121</v>
      </c>
    </row>
    <row r="5" spans="1:10" x14ac:dyDescent="0.25">
      <c r="A5" t="s">
        <v>149</v>
      </c>
      <c r="B5">
        <f>2362506.60307437*(1/100/100)</f>
        <v>236.25066030743702</v>
      </c>
      <c r="C5">
        <v>1006</v>
      </c>
      <c r="D5" t="s">
        <v>7284</v>
      </c>
      <c r="E5">
        <v>90300</v>
      </c>
      <c r="F5" t="s">
        <v>123</v>
      </c>
      <c r="G5">
        <v>903</v>
      </c>
      <c r="H5" t="s">
        <v>123</v>
      </c>
      <c r="I5">
        <v>9</v>
      </c>
      <c r="J5" t="s">
        <v>121</v>
      </c>
    </row>
    <row r="6" spans="1:10" x14ac:dyDescent="0.25">
      <c r="A6" t="s">
        <v>149</v>
      </c>
      <c r="B6">
        <f>873014.916715641*(1/100/100)</f>
        <v>87.301491671564108</v>
      </c>
      <c r="C6">
        <v>1008</v>
      </c>
      <c r="D6" t="s">
        <v>4524</v>
      </c>
      <c r="E6">
        <v>90500</v>
      </c>
      <c r="F6" t="s">
        <v>125</v>
      </c>
      <c r="G6">
        <v>905</v>
      </c>
      <c r="H6" t="s">
        <v>125</v>
      </c>
      <c r="I6">
        <v>9</v>
      </c>
      <c r="J6" t="s">
        <v>121</v>
      </c>
    </row>
    <row r="7" spans="1:10" x14ac:dyDescent="0.25">
      <c r="A7" t="s">
        <v>149</v>
      </c>
      <c r="B7">
        <f>713488.65964534*(1/100/100)</f>
        <v>71.348865964534014</v>
      </c>
      <c r="C7">
        <v>1009</v>
      </c>
      <c r="D7" t="s">
        <v>7285</v>
      </c>
      <c r="E7">
        <v>90600</v>
      </c>
      <c r="F7" t="s">
        <v>126</v>
      </c>
      <c r="G7">
        <v>906</v>
      </c>
      <c r="H7" t="s">
        <v>126</v>
      </c>
      <c r="I7">
        <v>9</v>
      </c>
      <c r="J7" t="s">
        <v>121</v>
      </c>
    </row>
    <row r="8" spans="1:10" x14ac:dyDescent="0.25">
      <c r="A8" t="s">
        <v>149</v>
      </c>
      <c r="B8">
        <f>861990.766936406*(1/100/100)</f>
        <v>86.199076693640606</v>
      </c>
      <c r="C8">
        <v>1010</v>
      </c>
      <c r="D8" t="s">
        <v>3566</v>
      </c>
      <c r="E8">
        <v>90700</v>
      </c>
      <c r="F8" t="s">
        <v>127</v>
      </c>
      <c r="G8">
        <v>907</v>
      </c>
      <c r="H8" t="s">
        <v>127</v>
      </c>
      <c r="I8">
        <v>9</v>
      </c>
      <c r="J8" t="s">
        <v>121</v>
      </c>
    </row>
    <row r="9" spans="1:10" x14ac:dyDescent="0.25">
      <c r="A9" t="s">
        <v>149</v>
      </c>
      <c r="B9">
        <f>766371.611710237*(1/100/100)</f>
        <v>76.637161171023706</v>
      </c>
      <c r="C9">
        <v>1011</v>
      </c>
      <c r="D9" t="s">
        <v>5987</v>
      </c>
      <c r="E9">
        <v>90400</v>
      </c>
      <c r="F9" t="s">
        <v>124</v>
      </c>
      <c r="G9">
        <v>904</v>
      </c>
      <c r="H9" t="s">
        <v>124</v>
      </c>
      <c r="I9">
        <v>9</v>
      </c>
      <c r="J9" t="s">
        <v>121</v>
      </c>
    </row>
    <row r="10" spans="1:10" x14ac:dyDescent="0.25">
      <c r="A10" t="s">
        <v>149</v>
      </c>
      <c r="B10">
        <f>1480636.23551968*(1/100/100)</f>
        <v>148.06362355196799</v>
      </c>
      <c r="C10">
        <v>1101</v>
      </c>
      <c r="D10" t="s">
        <v>7288</v>
      </c>
      <c r="E10">
        <v>91000</v>
      </c>
      <c r="F10" t="s">
        <v>130</v>
      </c>
      <c r="G10">
        <v>910</v>
      </c>
      <c r="H10" t="s">
        <v>130</v>
      </c>
      <c r="I10">
        <v>9</v>
      </c>
      <c r="J10" t="s">
        <v>121</v>
      </c>
    </row>
    <row r="11" spans="1:10" x14ac:dyDescent="0.25">
      <c r="A11" t="s">
        <v>149</v>
      </c>
      <c r="B11">
        <f>1261870.16786759*(1/100/100)</f>
        <v>126.187016786759</v>
      </c>
      <c r="C11">
        <v>1102</v>
      </c>
      <c r="D11" t="s">
        <v>7289</v>
      </c>
      <c r="E11">
        <v>91000</v>
      </c>
      <c r="F11" t="s">
        <v>130</v>
      </c>
      <c r="G11">
        <v>910</v>
      </c>
      <c r="H11" t="s">
        <v>130</v>
      </c>
      <c r="I11">
        <v>9</v>
      </c>
      <c r="J11" t="s">
        <v>121</v>
      </c>
    </row>
    <row r="12" spans="1:10" x14ac:dyDescent="0.25">
      <c r="A12" t="s">
        <v>149</v>
      </c>
      <c r="B12">
        <f>1239037.08186525*(1/100/100)</f>
        <v>123.90370818652499</v>
      </c>
      <c r="C12">
        <v>1103</v>
      </c>
      <c r="D12" t="s">
        <v>7294</v>
      </c>
      <c r="E12">
        <v>91100</v>
      </c>
      <c r="F12" t="s">
        <v>131</v>
      </c>
      <c r="G12">
        <v>911</v>
      </c>
      <c r="H12" t="s">
        <v>131</v>
      </c>
      <c r="I12">
        <v>9</v>
      </c>
      <c r="J12" t="s">
        <v>121</v>
      </c>
    </row>
    <row r="13" spans="1:10" x14ac:dyDescent="0.25">
      <c r="A13" t="s">
        <v>149</v>
      </c>
      <c r="B13">
        <f>440134.909108015*(1/100/100)</f>
        <v>44.013490910801501</v>
      </c>
      <c r="C13">
        <v>1104</v>
      </c>
      <c r="D13" t="s">
        <v>7290</v>
      </c>
      <c r="E13">
        <v>91000</v>
      </c>
      <c r="F13" t="s">
        <v>130</v>
      </c>
      <c r="G13">
        <v>910</v>
      </c>
      <c r="H13" t="s">
        <v>130</v>
      </c>
      <c r="I13">
        <v>9</v>
      </c>
      <c r="J13" t="s">
        <v>121</v>
      </c>
    </row>
    <row r="14" spans="1:10" x14ac:dyDescent="0.25">
      <c r="A14" t="s">
        <v>149</v>
      </c>
      <c r="B14">
        <f>579533.996538196*(1/100/100)</f>
        <v>57.953399653819602</v>
      </c>
      <c r="C14">
        <v>1105</v>
      </c>
      <c r="D14" t="s">
        <v>7291</v>
      </c>
      <c r="E14">
        <v>91000</v>
      </c>
      <c r="F14" t="s">
        <v>130</v>
      </c>
      <c r="G14">
        <v>910</v>
      </c>
      <c r="H14" t="s">
        <v>130</v>
      </c>
      <c r="I14">
        <v>9</v>
      </c>
      <c r="J14" t="s">
        <v>121</v>
      </c>
    </row>
    <row r="15" spans="1:10" x14ac:dyDescent="0.25">
      <c r="A15" t="s">
        <v>149</v>
      </c>
      <c r="B15">
        <f>69936.3982971584*(1/100/100)</f>
        <v>6.9936398297158409</v>
      </c>
      <c r="C15">
        <v>1106</v>
      </c>
      <c r="D15" t="s">
        <v>7292</v>
      </c>
      <c r="E15">
        <v>91000</v>
      </c>
      <c r="F15" t="s">
        <v>130</v>
      </c>
      <c r="G15">
        <v>910</v>
      </c>
      <c r="H15" t="s">
        <v>130</v>
      </c>
      <c r="I15">
        <v>9</v>
      </c>
      <c r="J15" t="s">
        <v>121</v>
      </c>
    </row>
    <row r="16" spans="1:10" x14ac:dyDescent="0.25">
      <c r="A16" t="s">
        <v>149</v>
      </c>
      <c r="B16">
        <f>2040364.98267109*(1/100/100)</f>
        <v>204.03649826710901</v>
      </c>
      <c r="C16">
        <v>1107</v>
      </c>
      <c r="D16" t="s">
        <v>7295</v>
      </c>
      <c r="E16">
        <v>91100</v>
      </c>
      <c r="F16" t="s">
        <v>131</v>
      </c>
      <c r="G16">
        <v>911</v>
      </c>
      <c r="H16" t="s">
        <v>131</v>
      </c>
      <c r="I16">
        <v>9</v>
      </c>
      <c r="J16" t="s">
        <v>121</v>
      </c>
    </row>
    <row r="17" spans="1:10" x14ac:dyDescent="0.25">
      <c r="A17" t="s">
        <v>149</v>
      </c>
      <c r="B17">
        <f>84907.3500734918*(1/100/100)</f>
        <v>8.4907350073491816</v>
      </c>
      <c r="C17">
        <v>1108</v>
      </c>
      <c r="D17" t="s">
        <v>7293</v>
      </c>
      <c r="E17">
        <v>91000</v>
      </c>
      <c r="F17" t="s">
        <v>130</v>
      </c>
      <c r="G17">
        <v>910</v>
      </c>
      <c r="H17" t="s">
        <v>130</v>
      </c>
      <c r="I17">
        <v>9</v>
      </c>
      <c r="J17" t="s">
        <v>121</v>
      </c>
    </row>
    <row r="18" spans="1:10" x14ac:dyDescent="0.25">
      <c r="A18" t="s">
        <v>149</v>
      </c>
      <c r="B18">
        <f>205648.999840813*(1/100/100)</f>
        <v>20.5648999840813</v>
      </c>
      <c r="C18">
        <v>1109</v>
      </c>
      <c r="D18" t="s">
        <v>4931</v>
      </c>
      <c r="E18">
        <v>91100</v>
      </c>
      <c r="F18" t="s">
        <v>131</v>
      </c>
      <c r="G18">
        <v>911</v>
      </c>
      <c r="H18" t="s">
        <v>131</v>
      </c>
      <c r="I18">
        <v>9</v>
      </c>
      <c r="J18" t="s">
        <v>121</v>
      </c>
    </row>
    <row r="19" spans="1:10" x14ac:dyDescent="0.25">
      <c r="A19" t="s">
        <v>149</v>
      </c>
      <c r="B19">
        <f>405184.922211661*(1/100/100)</f>
        <v>40.518492221166099</v>
      </c>
      <c r="C19">
        <v>1201</v>
      </c>
      <c r="D19" t="s">
        <v>7297</v>
      </c>
      <c r="E19">
        <v>91300</v>
      </c>
      <c r="F19" t="s">
        <v>133</v>
      </c>
      <c r="G19">
        <v>913</v>
      </c>
      <c r="H19" t="s">
        <v>133</v>
      </c>
      <c r="I19">
        <v>9</v>
      </c>
      <c r="J19" t="s">
        <v>121</v>
      </c>
    </row>
    <row r="20" spans="1:10" x14ac:dyDescent="0.25">
      <c r="A20" t="s">
        <v>149</v>
      </c>
      <c r="B20">
        <f>438867.043111038*(1/100/100)</f>
        <v>43.886704311103799</v>
      </c>
      <c r="C20">
        <v>1202</v>
      </c>
      <c r="D20" t="s">
        <v>3212</v>
      </c>
      <c r="E20">
        <v>91400</v>
      </c>
      <c r="F20" t="s">
        <v>134</v>
      </c>
      <c r="G20">
        <v>914</v>
      </c>
      <c r="H20" t="s">
        <v>134</v>
      </c>
      <c r="I20">
        <v>9</v>
      </c>
      <c r="J20" t="s">
        <v>121</v>
      </c>
    </row>
    <row r="21" spans="1:10" x14ac:dyDescent="0.25">
      <c r="A21" t="s">
        <v>149</v>
      </c>
      <c r="B21">
        <f>89848.2227535038*(1/100/100)</f>
        <v>8.9848222753503801</v>
      </c>
      <c r="C21">
        <v>1203</v>
      </c>
      <c r="D21" t="s">
        <v>7298</v>
      </c>
      <c r="E21">
        <v>91300</v>
      </c>
      <c r="F21" t="s">
        <v>133</v>
      </c>
      <c r="G21">
        <v>913</v>
      </c>
      <c r="H21" t="s">
        <v>133</v>
      </c>
      <c r="I21">
        <v>9</v>
      </c>
      <c r="J21" t="s">
        <v>121</v>
      </c>
    </row>
    <row r="22" spans="1:10" x14ac:dyDescent="0.25">
      <c r="A22" t="s">
        <v>149</v>
      </c>
      <c r="B22">
        <f>509094.54987417*(1/100/100)</f>
        <v>50.909454987417</v>
      </c>
      <c r="C22">
        <v>1204</v>
      </c>
      <c r="D22" t="s">
        <v>2354</v>
      </c>
      <c r="E22">
        <v>91400</v>
      </c>
      <c r="F22" t="s">
        <v>134</v>
      </c>
      <c r="G22">
        <v>914</v>
      </c>
      <c r="H22" t="s">
        <v>134</v>
      </c>
      <c r="I22">
        <v>9</v>
      </c>
      <c r="J22" t="s">
        <v>121</v>
      </c>
    </row>
    <row r="23" spans="1:10" x14ac:dyDescent="0.25">
      <c r="A23" t="s">
        <v>149</v>
      </c>
      <c r="B23">
        <f>256441.125633006*(1/100/100)</f>
        <v>25.644112563300602</v>
      </c>
      <c r="C23">
        <v>1205</v>
      </c>
      <c r="D23" t="s">
        <v>7299</v>
      </c>
      <c r="E23">
        <v>91300</v>
      </c>
      <c r="F23" t="s">
        <v>133</v>
      </c>
      <c r="G23">
        <v>913</v>
      </c>
      <c r="H23" t="s">
        <v>133</v>
      </c>
      <c r="I23">
        <v>9</v>
      </c>
      <c r="J23" t="s">
        <v>121</v>
      </c>
    </row>
    <row r="24" spans="1:10" x14ac:dyDescent="0.25">
      <c r="A24" t="s">
        <v>149</v>
      </c>
      <c r="B24">
        <f>694443.848587447*(1/100/100)</f>
        <v>69.444384858744698</v>
      </c>
      <c r="C24">
        <v>1206</v>
      </c>
      <c r="D24" t="s">
        <v>4635</v>
      </c>
      <c r="E24">
        <v>91400</v>
      </c>
      <c r="F24" t="s">
        <v>134</v>
      </c>
      <c r="G24">
        <v>914</v>
      </c>
      <c r="H24" t="s">
        <v>134</v>
      </c>
      <c r="I24">
        <v>9</v>
      </c>
      <c r="J24" t="s">
        <v>121</v>
      </c>
    </row>
    <row r="25" spans="1:10" x14ac:dyDescent="0.25">
      <c r="A25" t="s">
        <v>149</v>
      </c>
      <c r="B25">
        <f>366221.483816392*(1/100/100)</f>
        <v>36.622148381639207</v>
      </c>
      <c r="C25">
        <v>1207</v>
      </c>
      <c r="D25" t="s">
        <v>7300</v>
      </c>
      <c r="E25">
        <v>91300</v>
      </c>
      <c r="F25" t="s">
        <v>133</v>
      </c>
      <c r="G25">
        <v>913</v>
      </c>
      <c r="H25" t="s">
        <v>133</v>
      </c>
      <c r="I25">
        <v>9</v>
      </c>
      <c r="J25" t="s">
        <v>121</v>
      </c>
    </row>
    <row r="26" spans="1:10" x14ac:dyDescent="0.25">
      <c r="A26" t="s">
        <v>149</v>
      </c>
      <c r="B26">
        <f>185527.989041324*(1/100/100)</f>
        <v>18.552798904132402</v>
      </c>
      <c r="C26">
        <v>1208</v>
      </c>
      <c r="D26" t="s">
        <v>7306</v>
      </c>
      <c r="E26">
        <v>91400</v>
      </c>
      <c r="F26" t="s">
        <v>134</v>
      </c>
      <c r="G26">
        <v>914</v>
      </c>
      <c r="H26" t="s">
        <v>134</v>
      </c>
      <c r="I26">
        <v>9</v>
      </c>
      <c r="J26" t="s">
        <v>121</v>
      </c>
    </row>
    <row r="27" spans="1:10" x14ac:dyDescent="0.25">
      <c r="A27" t="s">
        <v>149</v>
      </c>
      <c r="B27">
        <f>597213.652092885*(1/100/100)</f>
        <v>59.7213652092885</v>
      </c>
      <c r="C27">
        <v>1209</v>
      </c>
      <c r="D27" t="s">
        <v>7301</v>
      </c>
      <c r="E27">
        <v>91300</v>
      </c>
      <c r="F27" t="s">
        <v>133</v>
      </c>
      <c r="G27">
        <v>913</v>
      </c>
      <c r="H27" t="s">
        <v>133</v>
      </c>
      <c r="I27">
        <v>9</v>
      </c>
      <c r="J27" t="s">
        <v>121</v>
      </c>
    </row>
    <row r="28" spans="1:10" x14ac:dyDescent="0.25">
      <c r="A28" t="s">
        <v>149</v>
      </c>
      <c r="B28">
        <f>609400.600929867*(1/100/100)</f>
        <v>60.940060092986705</v>
      </c>
      <c r="C28">
        <v>1210</v>
      </c>
      <c r="D28" t="s">
        <v>4685</v>
      </c>
      <c r="E28">
        <v>91400</v>
      </c>
      <c r="F28" t="s">
        <v>134</v>
      </c>
      <c r="G28">
        <v>914</v>
      </c>
      <c r="H28" t="s">
        <v>134</v>
      </c>
      <c r="I28">
        <v>9</v>
      </c>
      <c r="J28" t="s">
        <v>121</v>
      </c>
    </row>
    <row r="29" spans="1:10" x14ac:dyDescent="0.25">
      <c r="A29" t="s">
        <v>149</v>
      </c>
      <c r="B29">
        <f>44138.0828516594*(1/100/100)</f>
        <v>4.4138082851659401</v>
      </c>
      <c r="C29">
        <v>1211</v>
      </c>
      <c r="D29" t="s">
        <v>7302</v>
      </c>
      <c r="E29">
        <v>91300</v>
      </c>
      <c r="F29" t="s">
        <v>133</v>
      </c>
      <c r="G29">
        <v>913</v>
      </c>
      <c r="H29" t="s">
        <v>133</v>
      </c>
      <c r="I29">
        <v>9</v>
      </c>
      <c r="J29" t="s">
        <v>121</v>
      </c>
    </row>
    <row r="30" spans="1:10" x14ac:dyDescent="0.25">
      <c r="A30" t="s">
        <v>149</v>
      </c>
      <c r="B30">
        <f>151230.211218294*(1/100/100)</f>
        <v>15.1230211218294</v>
      </c>
      <c r="C30">
        <v>1212</v>
      </c>
      <c r="D30" t="s">
        <v>7303</v>
      </c>
      <c r="E30">
        <v>91300</v>
      </c>
      <c r="F30" t="s">
        <v>133</v>
      </c>
      <c r="G30">
        <v>913</v>
      </c>
      <c r="H30" t="s">
        <v>133</v>
      </c>
      <c r="I30">
        <v>9</v>
      </c>
      <c r="J30" t="s">
        <v>121</v>
      </c>
    </row>
    <row r="31" spans="1:10" x14ac:dyDescent="0.25">
      <c r="A31" t="s">
        <v>149</v>
      </c>
      <c r="B31">
        <f>358420.805322965*(1/100/100)</f>
        <v>35.842080532296507</v>
      </c>
      <c r="C31">
        <v>1213</v>
      </c>
      <c r="D31" t="s">
        <v>7304</v>
      </c>
      <c r="E31">
        <v>91300</v>
      </c>
      <c r="F31" t="s">
        <v>133</v>
      </c>
      <c r="G31">
        <v>913</v>
      </c>
      <c r="H31" t="s">
        <v>133</v>
      </c>
      <c r="I31">
        <v>9</v>
      </c>
      <c r="J31" t="s">
        <v>121</v>
      </c>
    </row>
    <row r="32" spans="1:10" x14ac:dyDescent="0.25">
      <c r="A32" t="s">
        <v>149</v>
      </c>
      <c r="B32">
        <f>236061.852796371*(1/100/100)</f>
        <v>23.606185279637103</v>
      </c>
      <c r="C32">
        <v>1214</v>
      </c>
      <c r="D32" t="s">
        <v>7307</v>
      </c>
      <c r="E32">
        <v>91400</v>
      </c>
      <c r="F32" t="s">
        <v>134</v>
      </c>
      <c r="G32">
        <v>914</v>
      </c>
      <c r="H32" t="s">
        <v>134</v>
      </c>
      <c r="I32">
        <v>9</v>
      </c>
      <c r="J32" t="s">
        <v>121</v>
      </c>
    </row>
    <row r="33" spans="1:10" x14ac:dyDescent="0.25">
      <c r="A33" t="s">
        <v>149</v>
      </c>
      <c r="B33">
        <f>165910.22003717*(1/100/100)</f>
        <v>16.591022003717001</v>
      </c>
      <c r="C33">
        <v>1215</v>
      </c>
      <c r="D33" t="s">
        <v>7305</v>
      </c>
      <c r="E33">
        <v>91300</v>
      </c>
      <c r="F33" t="s">
        <v>133</v>
      </c>
      <c r="G33">
        <v>913</v>
      </c>
      <c r="H33" t="s">
        <v>133</v>
      </c>
      <c r="I33">
        <v>9</v>
      </c>
      <c r="J33" t="s">
        <v>121</v>
      </c>
    </row>
    <row r="34" spans="1:10" x14ac:dyDescent="0.25">
      <c r="A34" t="s">
        <v>149</v>
      </c>
      <c r="B34">
        <f>169623.019386039*(1/100/100)</f>
        <v>16.9623019386039</v>
      </c>
      <c r="C34">
        <v>1216</v>
      </c>
      <c r="D34" t="s">
        <v>7308</v>
      </c>
      <c r="E34">
        <v>91400</v>
      </c>
      <c r="F34" t="s">
        <v>134</v>
      </c>
      <c r="G34">
        <v>914</v>
      </c>
      <c r="H34" t="s">
        <v>134</v>
      </c>
      <c r="I34">
        <v>9</v>
      </c>
      <c r="J34" t="s">
        <v>121</v>
      </c>
    </row>
    <row r="35" spans="1:10" x14ac:dyDescent="0.25">
      <c r="A35" t="s">
        <v>149</v>
      </c>
      <c r="B35">
        <f>577679.78162225*(1/100/100)</f>
        <v>57.767978162224999</v>
      </c>
      <c r="C35">
        <v>1301</v>
      </c>
      <c r="D35" t="s">
        <v>2920</v>
      </c>
      <c r="E35">
        <v>91200</v>
      </c>
      <c r="F35" t="s">
        <v>132</v>
      </c>
      <c r="G35">
        <v>912</v>
      </c>
      <c r="H35" t="s">
        <v>132</v>
      </c>
      <c r="I35">
        <v>9</v>
      </c>
      <c r="J35" t="s">
        <v>121</v>
      </c>
    </row>
    <row r="36" spans="1:10" x14ac:dyDescent="0.25">
      <c r="A36" t="s">
        <v>149</v>
      </c>
      <c r="B36">
        <f>687546.30877242*(1/100/100)</f>
        <v>68.754630877242008</v>
      </c>
      <c r="C36">
        <v>1302</v>
      </c>
      <c r="D36" t="s">
        <v>7309</v>
      </c>
      <c r="E36">
        <v>91500</v>
      </c>
      <c r="F36" t="s">
        <v>135</v>
      </c>
      <c r="G36">
        <v>915</v>
      </c>
      <c r="H36" t="s">
        <v>135</v>
      </c>
      <c r="I36">
        <v>9</v>
      </c>
      <c r="J36" t="s">
        <v>121</v>
      </c>
    </row>
    <row r="37" spans="1:10" x14ac:dyDescent="0.25">
      <c r="A37" t="s">
        <v>149</v>
      </c>
      <c r="B37">
        <f>98861.6270530103*(1/100/100)</f>
        <v>9.8861627053010306</v>
      </c>
      <c r="C37">
        <v>1303</v>
      </c>
      <c r="D37" t="s">
        <v>7296</v>
      </c>
      <c r="E37">
        <v>91200</v>
      </c>
      <c r="F37" t="s">
        <v>132</v>
      </c>
      <c r="G37">
        <v>912</v>
      </c>
      <c r="H37" t="s">
        <v>132</v>
      </c>
      <c r="I37">
        <v>9</v>
      </c>
      <c r="J37" t="s">
        <v>121</v>
      </c>
    </row>
    <row r="38" spans="1:10" x14ac:dyDescent="0.25">
      <c r="A38" t="s">
        <v>149</v>
      </c>
      <c r="B38">
        <f>384657.292420988*(1/100/100)</f>
        <v>38.465729242098796</v>
      </c>
      <c r="C38">
        <v>1304</v>
      </c>
      <c r="D38" t="s">
        <v>6772</v>
      </c>
      <c r="E38">
        <v>91200</v>
      </c>
      <c r="F38" t="s">
        <v>132</v>
      </c>
      <c r="G38">
        <v>912</v>
      </c>
      <c r="H38" t="s">
        <v>132</v>
      </c>
      <c r="I38">
        <v>9</v>
      </c>
      <c r="J38" t="s">
        <v>121</v>
      </c>
    </row>
    <row r="39" spans="1:10" x14ac:dyDescent="0.25">
      <c r="A39" t="s">
        <v>149</v>
      </c>
      <c r="B39">
        <f>971299.250445671*(1/100/100)</f>
        <v>97.129925044567102</v>
      </c>
      <c r="C39">
        <v>1305</v>
      </c>
      <c r="D39" t="s">
        <v>3789</v>
      </c>
      <c r="E39">
        <v>91200</v>
      </c>
      <c r="F39" t="s">
        <v>132</v>
      </c>
      <c r="G39">
        <v>912</v>
      </c>
      <c r="H39" t="s">
        <v>132</v>
      </c>
      <c r="I39">
        <v>9</v>
      </c>
      <c r="J39" t="s">
        <v>121</v>
      </c>
    </row>
    <row r="40" spans="1:10" x14ac:dyDescent="0.25">
      <c r="A40" t="s">
        <v>149</v>
      </c>
      <c r="B40">
        <f>591447.016135744*(1/100/100)</f>
        <v>59.144701613574405</v>
      </c>
      <c r="C40">
        <v>1306</v>
      </c>
      <c r="D40" t="s">
        <v>7310</v>
      </c>
      <c r="E40">
        <v>91500</v>
      </c>
      <c r="F40" t="s">
        <v>135</v>
      </c>
      <c r="G40">
        <v>915</v>
      </c>
      <c r="H40" t="s">
        <v>135</v>
      </c>
      <c r="I40">
        <v>9</v>
      </c>
      <c r="J40" t="s">
        <v>121</v>
      </c>
    </row>
    <row r="41" spans="1:10" x14ac:dyDescent="0.25">
      <c r="A41" t="s">
        <v>149</v>
      </c>
      <c r="B41">
        <f>148991.957896191*(1/100/100)</f>
        <v>14.8991957896191</v>
      </c>
      <c r="C41">
        <v>1307</v>
      </c>
      <c r="D41" t="s">
        <v>7311</v>
      </c>
      <c r="E41">
        <v>91500</v>
      </c>
      <c r="F41" t="s">
        <v>135</v>
      </c>
      <c r="G41">
        <v>915</v>
      </c>
      <c r="H41" t="s">
        <v>135</v>
      </c>
      <c r="I41">
        <v>9</v>
      </c>
      <c r="J41" t="s">
        <v>121</v>
      </c>
    </row>
    <row r="42" spans="1:10" x14ac:dyDescent="0.25">
      <c r="A42" t="s">
        <v>149</v>
      </c>
      <c r="B42">
        <f>550646.318035615*(1/100/100)</f>
        <v>55.064631803561504</v>
      </c>
      <c r="C42">
        <v>1401</v>
      </c>
      <c r="D42" t="s">
        <v>2576</v>
      </c>
      <c r="E42">
        <v>91700</v>
      </c>
      <c r="F42" t="s">
        <v>137</v>
      </c>
      <c r="G42">
        <v>917</v>
      </c>
      <c r="H42" t="s">
        <v>137</v>
      </c>
      <c r="I42">
        <v>9</v>
      </c>
      <c r="J42" t="s">
        <v>121</v>
      </c>
    </row>
    <row r="43" spans="1:10" x14ac:dyDescent="0.25">
      <c r="A43" t="s">
        <v>149</v>
      </c>
      <c r="B43">
        <f>779040.463086868*(1/100/100)</f>
        <v>77.904046308686816</v>
      </c>
      <c r="C43">
        <v>1402</v>
      </c>
      <c r="D43" t="s">
        <v>7314</v>
      </c>
      <c r="E43">
        <v>91700</v>
      </c>
      <c r="F43" t="s">
        <v>137</v>
      </c>
      <c r="G43">
        <v>917</v>
      </c>
      <c r="H43" t="s">
        <v>137</v>
      </c>
      <c r="I43">
        <v>9</v>
      </c>
      <c r="J43" t="s">
        <v>121</v>
      </c>
    </row>
    <row r="44" spans="1:10" x14ac:dyDescent="0.25">
      <c r="A44" t="s">
        <v>149</v>
      </c>
      <c r="B44">
        <f>295484.228677461*(1/100/100)</f>
        <v>29.548422867746101</v>
      </c>
      <c r="C44">
        <v>1403</v>
      </c>
      <c r="D44" t="s">
        <v>7312</v>
      </c>
      <c r="E44">
        <v>91600</v>
      </c>
      <c r="F44" t="s">
        <v>136</v>
      </c>
      <c r="G44">
        <v>916</v>
      </c>
      <c r="H44" t="s">
        <v>136</v>
      </c>
      <c r="I44">
        <v>9</v>
      </c>
      <c r="J44" t="s">
        <v>121</v>
      </c>
    </row>
    <row r="45" spans="1:10" x14ac:dyDescent="0.25">
      <c r="A45" t="s">
        <v>149</v>
      </c>
      <c r="B45">
        <f>102617.966278464*(1/100/100)</f>
        <v>10.261796627846399</v>
      </c>
      <c r="C45">
        <v>1404</v>
      </c>
      <c r="D45" t="s">
        <v>7315</v>
      </c>
      <c r="E45">
        <v>91700</v>
      </c>
      <c r="F45" t="s">
        <v>137</v>
      </c>
      <c r="G45">
        <v>917</v>
      </c>
      <c r="H45" t="s">
        <v>137</v>
      </c>
      <c r="I45">
        <v>9</v>
      </c>
      <c r="J45" t="s">
        <v>121</v>
      </c>
    </row>
    <row r="46" spans="1:10" x14ac:dyDescent="0.25">
      <c r="A46" t="s">
        <v>149</v>
      </c>
      <c r="B46">
        <f>1715627.66325712*(1/100/100)</f>
        <v>171.562766325712</v>
      </c>
      <c r="C46">
        <v>1405</v>
      </c>
      <c r="D46" t="s">
        <v>7313</v>
      </c>
      <c r="E46">
        <v>91600</v>
      </c>
      <c r="F46" t="s">
        <v>136</v>
      </c>
      <c r="G46">
        <v>916</v>
      </c>
      <c r="H46" t="s">
        <v>136</v>
      </c>
      <c r="I46">
        <v>9</v>
      </c>
      <c r="J46" t="s">
        <v>121</v>
      </c>
    </row>
    <row r="47" spans="1:10" x14ac:dyDescent="0.25">
      <c r="A47" t="s">
        <v>149</v>
      </c>
      <c r="B47">
        <f>258950.094573809*(1/100/100)</f>
        <v>25.895009457380901</v>
      </c>
      <c r="C47">
        <v>1501</v>
      </c>
      <c r="D47" t="s">
        <v>7316</v>
      </c>
      <c r="E47">
        <v>91800</v>
      </c>
      <c r="F47" t="s">
        <v>138</v>
      </c>
      <c r="G47">
        <v>918</v>
      </c>
      <c r="H47" t="s">
        <v>138</v>
      </c>
      <c r="I47">
        <v>9</v>
      </c>
      <c r="J47" t="s">
        <v>121</v>
      </c>
    </row>
    <row r="48" spans="1:10" x14ac:dyDescent="0.25">
      <c r="A48" t="s">
        <v>149</v>
      </c>
      <c r="B48">
        <f>303085.795433367*(1/100/100)</f>
        <v>30.308579543336702</v>
      </c>
      <c r="C48">
        <v>1502</v>
      </c>
      <c r="D48" t="s">
        <v>7320</v>
      </c>
      <c r="E48">
        <v>91900</v>
      </c>
      <c r="F48" t="s">
        <v>139</v>
      </c>
      <c r="G48">
        <v>919</v>
      </c>
      <c r="H48" t="s">
        <v>139</v>
      </c>
      <c r="I48">
        <v>9</v>
      </c>
      <c r="J48" t="s">
        <v>121</v>
      </c>
    </row>
    <row r="49" spans="1:10" x14ac:dyDescent="0.25">
      <c r="A49" t="s">
        <v>149</v>
      </c>
      <c r="B49">
        <f>414540.3083041*(1/100/100)</f>
        <v>41.454030830410005</v>
      </c>
      <c r="C49">
        <v>1503</v>
      </c>
      <c r="D49" t="s">
        <v>2734</v>
      </c>
      <c r="E49">
        <v>91900</v>
      </c>
      <c r="F49" t="s">
        <v>139</v>
      </c>
      <c r="G49">
        <v>919</v>
      </c>
      <c r="H49" t="s">
        <v>139</v>
      </c>
      <c r="I49">
        <v>9</v>
      </c>
      <c r="J49" t="s">
        <v>121</v>
      </c>
    </row>
    <row r="50" spans="1:10" x14ac:dyDescent="0.25">
      <c r="A50" t="s">
        <v>149</v>
      </c>
      <c r="B50">
        <f>10733.1936824746*(1/100/100)</f>
        <v>1.0733193682474602</v>
      </c>
      <c r="C50">
        <v>1504</v>
      </c>
      <c r="D50" t="s">
        <v>4944</v>
      </c>
      <c r="E50">
        <v>91900</v>
      </c>
      <c r="F50" t="s">
        <v>139</v>
      </c>
      <c r="G50">
        <v>919</v>
      </c>
      <c r="H50" t="s">
        <v>139</v>
      </c>
      <c r="I50">
        <v>9</v>
      </c>
      <c r="J50" t="s">
        <v>121</v>
      </c>
    </row>
    <row r="51" spans="1:10" x14ac:dyDescent="0.25">
      <c r="A51" t="s">
        <v>149</v>
      </c>
      <c r="B51">
        <f>44575.7318399444*(1/100/100)</f>
        <v>4.4575731839944401</v>
      </c>
      <c r="C51">
        <v>1505</v>
      </c>
      <c r="D51" t="s">
        <v>7321</v>
      </c>
      <c r="E51">
        <v>91900</v>
      </c>
      <c r="F51" t="s">
        <v>139</v>
      </c>
      <c r="G51">
        <v>919</v>
      </c>
      <c r="H51" t="s">
        <v>139</v>
      </c>
      <c r="I51">
        <v>9</v>
      </c>
      <c r="J51" t="s">
        <v>121</v>
      </c>
    </row>
    <row r="52" spans="1:10" x14ac:dyDescent="0.25">
      <c r="A52" t="s">
        <v>149</v>
      </c>
      <c r="B52">
        <f>99156.5482654667*(1/100/100)</f>
        <v>9.9156548265466711</v>
      </c>
      <c r="C52">
        <v>1506</v>
      </c>
      <c r="D52" t="s">
        <v>7322</v>
      </c>
      <c r="E52">
        <v>91900</v>
      </c>
      <c r="F52" t="s">
        <v>139</v>
      </c>
      <c r="G52">
        <v>919</v>
      </c>
      <c r="H52" t="s">
        <v>139</v>
      </c>
      <c r="I52">
        <v>9</v>
      </c>
      <c r="J52" t="s">
        <v>121</v>
      </c>
    </row>
    <row r="53" spans="1:10" x14ac:dyDescent="0.25">
      <c r="A53" t="s">
        <v>149</v>
      </c>
      <c r="B53">
        <f>251095.993565471*(1/100/100)</f>
        <v>25.109599356547101</v>
      </c>
      <c r="C53">
        <v>1507</v>
      </c>
      <c r="D53" t="s">
        <v>5956</v>
      </c>
      <c r="E53">
        <v>91900</v>
      </c>
      <c r="F53" t="s">
        <v>139</v>
      </c>
      <c r="G53">
        <v>919</v>
      </c>
      <c r="H53" t="s">
        <v>139</v>
      </c>
      <c r="I53">
        <v>9</v>
      </c>
      <c r="J53" t="s">
        <v>121</v>
      </c>
    </row>
    <row r="54" spans="1:10" x14ac:dyDescent="0.25">
      <c r="A54" t="s">
        <v>149</v>
      </c>
      <c r="B54">
        <f>641403.743196141*(1/100/100)</f>
        <v>64.140374319614097</v>
      </c>
      <c r="C54">
        <v>1508</v>
      </c>
      <c r="D54" t="s">
        <v>7323</v>
      </c>
      <c r="E54">
        <v>91900</v>
      </c>
      <c r="F54" t="s">
        <v>139</v>
      </c>
      <c r="G54">
        <v>919</v>
      </c>
      <c r="H54" t="s">
        <v>139</v>
      </c>
      <c r="I54">
        <v>9</v>
      </c>
      <c r="J54" t="s">
        <v>121</v>
      </c>
    </row>
    <row r="55" spans="1:10" x14ac:dyDescent="0.25">
      <c r="A55" t="s">
        <v>149</v>
      </c>
      <c r="B55">
        <f>111017.891870468*(1/100/100)</f>
        <v>11.1017891870468</v>
      </c>
      <c r="C55">
        <v>1509</v>
      </c>
      <c r="D55" t="s">
        <v>7324</v>
      </c>
      <c r="E55">
        <v>91900</v>
      </c>
      <c r="F55" t="s">
        <v>139</v>
      </c>
      <c r="G55">
        <v>919</v>
      </c>
      <c r="H55" t="s">
        <v>139</v>
      </c>
      <c r="I55">
        <v>9</v>
      </c>
      <c r="J55" t="s">
        <v>121</v>
      </c>
    </row>
    <row r="56" spans="1:10" x14ac:dyDescent="0.25">
      <c r="A56" t="s">
        <v>149</v>
      </c>
      <c r="B56">
        <f>358580.339393782*(1/100/100)</f>
        <v>35.858033939378203</v>
      </c>
      <c r="C56">
        <v>1510</v>
      </c>
      <c r="D56" t="s">
        <v>7317</v>
      </c>
      <c r="E56">
        <v>91800</v>
      </c>
      <c r="F56" t="s">
        <v>138</v>
      </c>
      <c r="G56">
        <v>918</v>
      </c>
      <c r="H56" t="s">
        <v>138</v>
      </c>
      <c r="I56">
        <v>9</v>
      </c>
      <c r="J56" t="s">
        <v>121</v>
      </c>
    </row>
    <row r="57" spans="1:10" x14ac:dyDescent="0.25">
      <c r="A57" t="s">
        <v>149</v>
      </c>
      <c r="B57">
        <f>74445.2412990114*(1/100/100)</f>
        <v>7.44452412990114</v>
      </c>
      <c r="C57">
        <v>1511</v>
      </c>
      <c r="D57" t="s">
        <v>2227</v>
      </c>
      <c r="E57">
        <v>91900</v>
      </c>
      <c r="F57" t="s">
        <v>139</v>
      </c>
      <c r="G57">
        <v>919</v>
      </c>
      <c r="H57" t="s">
        <v>139</v>
      </c>
      <c r="I57">
        <v>9</v>
      </c>
      <c r="J57" t="s">
        <v>121</v>
      </c>
    </row>
    <row r="58" spans="1:10" x14ac:dyDescent="0.25">
      <c r="A58" t="s">
        <v>149</v>
      </c>
      <c r="B58">
        <f>164794.871890749*(1/100/100)</f>
        <v>16.479487189074902</v>
      </c>
      <c r="C58">
        <v>1512</v>
      </c>
      <c r="D58" t="s">
        <v>7325</v>
      </c>
      <c r="E58">
        <v>91900</v>
      </c>
      <c r="F58" t="s">
        <v>139</v>
      </c>
      <c r="G58">
        <v>919</v>
      </c>
      <c r="H58" t="s">
        <v>139</v>
      </c>
      <c r="I58">
        <v>9</v>
      </c>
      <c r="J58" t="s">
        <v>121</v>
      </c>
    </row>
    <row r="59" spans="1:10" x14ac:dyDescent="0.25">
      <c r="A59" t="s">
        <v>149</v>
      </c>
      <c r="B59">
        <f>337913.993293781*(1/100/100)</f>
        <v>33.791399329378102</v>
      </c>
      <c r="C59">
        <v>1513</v>
      </c>
      <c r="D59" t="s">
        <v>7326</v>
      </c>
      <c r="E59">
        <v>91900</v>
      </c>
      <c r="F59" t="s">
        <v>139</v>
      </c>
      <c r="G59">
        <v>919</v>
      </c>
      <c r="H59" t="s">
        <v>139</v>
      </c>
      <c r="I59">
        <v>9</v>
      </c>
      <c r="J59" t="s">
        <v>121</v>
      </c>
    </row>
    <row r="60" spans="1:10" x14ac:dyDescent="0.25">
      <c r="A60" t="s">
        <v>149</v>
      </c>
      <c r="B60">
        <f>737427.447912255*(1/100/100)</f>
        <v>73.742744791225505</v>
      </c>
      <c r="C60">
        <v>1514</v>
      </c>
      <c r="D60" t="s">
        <v>7318</v>
      </c>
      <c r="E60">
        <v>91800</v>
      </c>
      <c r="F60" t="s">
        <v>138</v>
      </c>
      <c r="G60">
        <v>918</v>
      </c>
      <c r="H60" t="s">
        <v>138</v>
      </c>
      <c r="I60">
        <v>9</v>
      </c>
      <c r="J60" t="s">
        <v>121</v>
      </c>
    </row>
    <row r="61" spans="1:10" x14ac:dyDescent="0.25">
      <c r="A61" t="s">
        <v>149</v>
      </c>
      <c r="B61">
        <f>67182.3210085473*(1/100/100)</f>
        <v>6.7182321008547303</v>
      </c>
      <c r="C61">
        <v>1515</v>
      </c>
      <c r="D61" t="s">
        <v>7319</v>
      </c>
      <c r="E61">
        <v>91800</v>
      </c>
      <c r="F61" t="s">
        <v>138</v>
      </c>
      <c r="G61">
        <v>918</v>
      </c>
      <c r="H61" t="s">
        <v>138</v>
      </c>
      <c r="I61">
        <v>9</v>
      </c>
      <c r="J61" t="s">
        <v>121</v>
      </c>
    </row>
    <row r="62" spans="1:10" x14ac:dyDescent="0.25">
      <c r="A62" t="s">
        <v>149</v>
      </c>
      <c r="B62">
        <f>634625.147612714*(1/100/100)</f>
        <v>63.4625147612714</v>
      </c>
      <c r="C62">
        <v>1603</v>
      </c>
      <c r="D62" t="s">
        <v>7328</v>
      </c>
      <c r="E62">
        <v>92100</v>
      </c>
      <c r="F62" t="s">
        <v>141</v>
      </c>
      <c r="G62">
        <v>921</v>
      </c>
      <c r="H62" t="s">
        <v>141</v>
      </c>
      <c r="I62">
        <v>9</v>
      </c>
      <c r="J62" t="s">
        <v>121</v>
      </c>
    </row>
    <row r="63" spans="1:10" x14ac:dyDescent="0.25">
      <c r="A63" t="s">
        <v>149</v>
      </c>
      <c r="B63">
        <f>288900.749624214*(1/100/100)</f>
        <v>28.890074962421401</v>
      </c>
      <c r="C63">
        <v>1605</v>
      </c>
      <c r="D63" t="s">
        <v>7329</v>
      </c>
      <c r="E63">
        <v>92100</v>
      </c>
      <c r="F63" t="s">
        <v>141</v>
      </c>
      <c r="G63">
        <v>921</v>
      </c>
      <c r="H63" t="s">
        <v>141</v>
      </c>
      <c r="I63">
        <v>9</v>
      </c>
      <c r="J63" t="s">
        <v>121</v>
      </c>
    </row>
    <row r="64" spans="1:10" x14ac:dyDescent="0.25">
      <c r="A64" t="s">
        <v>149</v>
      </c>
      <c r="B64">
        <f>696510.288817732*(1/100/100)</f>
        <v>69.6510288817732</v>
      </c>
      <c r="C64">
        <v>1606</v>
      </c>
      <c r="D64" t="s">
        <v>7330</v>
      </c>
      <c r="E64">
        <v>92100</v>
      </c>
      <c r="F64" t="s">
        <v>141</v>
      </c>
      <c r="G64">
        <v>921</v>
      </c>
      <c r="H64" t="s">
        <v>141</v>
      </c>
      <c r="I64">
        <v>9</v>
      </c>
      <c r="J64" t="s">
        <v>121</v>
      </c>
    </row>
    <row r="65" spans="1:10" x14ac:dyDescent="0.25">
      <c r="A65" t="s">
        <v>149</v>
      </c>
      <c r="B65">
        <f>549226.999811745*(1/100/100)</f>
        <v>54.922699981174503</v>
      </c>
      <c r="C65">
        <v>1607</v>
      </c>
      <c r="D65" t="s">
        <v>7331</v>
      </c>
      <c r="E65">
        <v>92100</v>
      </c>
      <c r="F65" t="s">
        <v>141</v>
      </c>
      <c r="G65">
        <v>921</v>
      </c>
      <c r="H65" t="s">
        <v>141</v>
      </c>
      <c r="I65">
        <v>9</v>
      </c>
      <c r="J65" t="s">
        <v>121</v>
      </c>
    </row>
    <row r="66" spans="1:10" x14ac:dyDescent="0.25">
      <c r="A66" t="s">
        <v>149</v>
      </c>
      <c r="B66">
        <f>271796.999393474*(1/100/100)</f>
        <v>27.179699939347405</v>
      </c>
      <c r="C66">
        <v>1609</v>
      </c>
      <c r="D66" t="s">
        <v>7332</v>
      </c>
      <c r="E66">
        <v>92100</v>
      </c>
      <c r="F66" t="s">
        <v>141</v>
      </c>
      <c r="G66">
        <v>921</v>
      </c>
      <c r="H66" t="s">
        <v>141</v>
      </c>
      <c r="I66">
        <v>9</v>
      </c>
      <c r="J66" t="s">
        <v>121</v>
      </c>
    </row>
    <row r="67" spans="1:10" x14ac:dyDescent="0.25">
      <c r="A67" t="s">
        <v>149</v>
      </c>
      <c r="B67">
        <f>1544559.50665256*(1/100/100)</f>
        <v>154.45595066525601</v>
      </c>
      <c r="C67">
        <v>1613</v>
      </c>
      <c r="D67" t="s">
        <v>7333</v>
      </c>
      <c r="E67">
        <v>92100</v>
      </c>
      <c r="F67" t="s">
        <v>141</v>
      </c>
      <c r="G67">
        <v>921</v>
      </c>
      <c r="H67" t="s">
        <v>141</v>
      </c>
      <c r="I67">
        <v>9</v>
      </c>
      <c r="J67" t="s">
        <v>121</v>
      </c>
    </row>
    <row r="68" spans="1:10" x14ac:dyDescent="0.25">
      <c r="A68" t="s">
        <v>149</v>
      </c>
      <c r="B68">
        <f>197327.101106522*(1/100/100)</f>
        <v>19.732710110652199</v>
      </c>
      <c r="C68">
        <v>1614</v>
      </c>
      <c r="D68" t="s">
        <v>7334</v>
      </c>
      <c r="E68">
        <v>92100</v>
      </c>
      <c r="F68" t="s">
        <v>141</v>
      </c>
      <c r="G68">
        <v>921</v>
      </c>
      <c r="H68" t="s">
        <v>141</v>
      </c>
      <c r="I68">
        <v>9</v>
      </c>
      <c r="J68" t="s">
        <v>121</v>
      </c>
    </row>
    <row r="69" spans="1:10" x14ac:dyDescent="0.25">
      <c r="A69" t="s">
        <v>149</v>
      </c>
      <c r="B69">
        <f>529539.332710371*(1/100/100)</f>
        <v>52.953933271037101</v>
      </c>
      <c r="C69">
        <v>1616</v>
      </c>
      <c r="D69" t="s">
        <v>7335</v>
      </c>
      <c r="E69">
        <v>92100</v>
      </c>
      <c r="F69" t="s">
        <v>141</v>
      </c>
      <c r="G69">
        <v>921</v>
      </c>
      <c r="H69" t="s">
        <v>141</v>
      </c>
      <c r="I69">
        <v>9</v>
      </c>
      <c r="J69" t="s">
        <v>121</v>
      </c>
    </row>
    <row r="70" spans="1:10" x14ac:dyDescent="0.25">
      <c r="A70" t="s">
        <v>149</v>
      </c>
      <c r="B70">
        <f>755403.645449903*(1/100/100)</f>
        <v>75.540364544990297</v>
      </c>
      <c r="C70">
        <v>1617</v>
      </c>
      <c r="D70" t="s">
        <v>2212</v>
      </c>
      <c r="E70">
        <v>92100</v>
      </c>
      <c r="F70" t="s">
        <v>141</v>
      </c>
      <c r="G70">
        <v>921</v>
      </c>
      <c r="H70" t="s">
        <v>141</v>
      </c>
      <c r="I70">
        <v>9</v>
      </c>
      <c r="J70" t="s">
        <v>121</v>
      </c>
    </row>
    <row r="71" spans="1:10" x14ac:dyDescent="0.25">
      <c r="A71" t="s">
        <v>149</v>
      </c>
      <c r="B71">
        <f>1237429.69982181*(1/100/100)</f>
        <v>123.74296998218101</v>
      </c>
      <c r="C71">
        <v>1620</v>
      </c>
      <c r="D71" t="s">
        <v>7327</v>
      </c>
      <c r="E71">
        <v>92000</v>
      </c>
      <c r="F71" t="s">
        <v>140</v>
      </c>
      <c r="G71">
        <v>920</v>
      </c>
      <c r="H71" t="s">
        <v>140</v>
      </c>
      <c r="I71">
        <v>9</v>
      </c>
      <c r="J71" t="s">
        <v>121</v>
      </c>
    </row>
    <row r="72" spans="1:10" x14ac:dyDescent="0.25">
      <c r="A72" t="s">
        <v>149</v>
      </c>
      <c r="B72">
        <f>1967961.66151513*(1/100/100)</f>
        <v>196.79616615151301</v>
      </c>
      <c r="C72">
        <v>1651</v>
      </c>
      <c r="D72" t="s">
        <v>7336</v>
      </c>
      <c r="E72">
        <v>92200</v>
      </c>
      <c r="F72" t="s">
        <v>142</v>
      </c>
      <c r="G72">
        <v>922</v>
      </c>
      <c r="H72" t="s">
        <v>142</v>
      </c>
      <c r="I72">
        <v>9</v>
      </c>
      <c r="J72" t="s">
        <v>121</v>
      </c>
    </row>
    <row r="73" spans="1:10" x14ac:dyDescent="0.25">
      <c r="A73" t="s">
        <v>149</v>
      </c>
      <c r="B73">
        <f>434899.268568225*(1/100/100)</f>
        <v>43.4899268568225</v>
      </c>
      <c r="C73">
        <v>1652</v>
      </c>
      <c r="D73" t="s">
        <v>7337</v>
      </c>
      <c r="E73">
        <v>92200</v>
      </c>
      <c r="F73" t="s">
        <v>142</v>
      </c>
      <c r="G73">
        <v>922</v>
      </c>
      <c r="H73" t="s">
        <v>142</v>
      </c>
      <c r="I73">
        <v>9</v>
      </c>
      <c r="J73" t="s">
        <v>121</v>
      </c>
    </row>
    <row r="74" spans="1:10" x14ac:dyDescent="0.25">
      <c r="A74" t="s">
        <v>149</v>
      </c>
      <c r="B74">
        <f>1126012.62342126*(1/100/100)</f>
        <v>112.60126234212599</v>
      </c>
      <c r="C74">
        <v>1654</v>
      </c>
      <c r="D74" t="s">
        <v>7338</v>
      </c>
      <c r="E74">
        <v>92200</v>
      </c>
      <c r="F74" t="s">
        <v>142</v>
      </c>
      <c r="G74">
        <v>922</v>
      </c>
      <c r="H74" t="s">
        <v>142</v>
      </c>
      <c r="I74">
        <v>9</v>
      </c>
      <c r="J74" t="s">
        <v>121</v>
      </c>
    </row>
    <row r="75" spans="1:10" x14ac:dyDescent="0.25">
      <c r="A75" t="s">
        <v>149</v>
      </c>
      <c r="B75">
        <f>2296046.46473341*(1/100/100)</f>
        <v>229.60464647334103</v>
      </c>
      <c r="C75">
        <v>1657</v>
      </c>
      <c r="D75" t="s">
        <v>7283</v>
      </c>
      <c r="E75">
        <v>90200</v>
      </c>
      <c r="F75" t="s">
        <v>122</v>
      </c>
      <c r="G75">
        <v>902</v>
      </c>
      <c r="H75" t="s">
        <v>122</v>
      </c>
      <c r="I75">
        <v>9</v>
      </c>
      <c r="J75" t="s">
        <v>121</v>
      </c>
    </row>
    <row r="76" spans="1:10" x14ac:dyDescent="0.25">
      <c r="A76" t="s">
        <v>149</v>
      </c>
      <c r="B76">
        <f>648505.963469254*(1/100/100)</f>
        <v>64.8505963469254</v>
      </c>
      <c r="C76">
        <v>1658</v>
      </c>
      <c r="D76" t="s">
        <v>7339</v>
      </c>
      <c r="E76">
        <v>92200</v>
      </c>
      <c r="F76" t="s">
        <v>142</v>
      </c>
      <c r="G76">
        <v>922</v>
      </c>
      <c r="H76" t="s">
        <v>142</v>
      </c>
      <c r="I76">
        <v>9</v>
      </c>
      <c r="J76" t="s">
        <v>121</v>
      </c>
    </row>
    <row r="77" spans="1:10" x14ac:dyDescent="0.25">
      <c r="A77" t="s">
        <v>149</v>
      </c>
      <c r="B77">
        <f>2271291.76327001*(1/100/100)</f>
        <v>227.12917632700098</v>
      </c>
      <c r="C77">
        <v>1660</v>
      </c>
      <c r="D77" t="s">
        <v>7340</v>
      </c>
      <c r="E77">
        <v>92200</v>
      </c>
      <c r="F77" t="s">
        <v>142</v>
      </c>
      <c r="G77">
        <v>922</v>
      </c>
      <c r="H77" t="s">
        <v>142</v>
      </c>
      <c r="I77">
        <v>9</v>
      </c>
      <c r="J77" t="s">
        <v>121</v>
      </c>
    </row>
    <row r="78" spans="1:10" x14ac:dyDescent="0.25">
      <c r="A78" t="s">
        <v>149</v>
      </c>
      <c r="B78">
        <f>215643.85966037*(1/100/100)</f>
        <v>21.564385966037001</v>
      </c>
      <c r="C78">
        <v>1661</v>
      </c>
      <c r="D78" t="s">
        <v>7341</v>
      </c>
      <c r="E78">
        <v>92200</v>
      </c>
      <c r="F78" t="s">
        <v>142</v>
      </c>
      <c r="G78">
        <v>922</v>
      </c>
      <c r="H78" t="s">
        <v>142</v>
      </c>
      <c r="I78">
        <v>9</v>
      </c>
      <c r="J78" t="s">
        <v>121</v>
      </c>
    </row>
    <row r="79" spans="1:10" x14ac:dyDescent="0.25">
      <c r="A79" t="s">
        <v>149</v>
      </c>
      <c r="B79">
        <f>1316.24318250215*(1/100/100)</f>
        <v>0.13162431825021501</v>
      </c>
      <c r="C79">
        <v>1662</v>
      </c>
      <c r="D79" t="s">
        <v>7342</v>
      </c>
      <c r="E79">
        <v>92200</v>
      </c>
      <c r="F79" t="s">
        <v>142</v>
      </c>
      <c r="G79">
        <v>922</v>
      </c>
      <c r="H79" t="s">
        <v>142</v>
      </c>
      <c r="I79">
        <v>9</v>
      </c>
      <c r="J79" t="s">
        <v>121</v>
      </c>
    </row>
    <row r="80" spans="1:10" x14ac:dyDescent="0.25">
      <c r="A80" t="s">
        <v>149</v>
      </c>
      <c r="B80">
        <f>626680.05762173*(1/100/100)</f>
        <v>62.668005762173003</v>
      </c>
      <c r="C80">
        <v>1665</v>
      </c>
      <c r="D80" t="s">
        <v>7343</v>
      </c>
      <c r="E80">
        <v>92200</v>
      </c>
      <c r="F80" t="s">
        <v>142</v>
      </c>
      <c r="G80">
        <v>922</v>
      </c>
      <c r="H80" t="s">
        <v>142</v>
      </c>
      <c r="I80">
        <v>9</v>
      </c>
      <c r="J80" t="s">
        <v>121</v>
      </c>
    </row>
    <row r="81" spans="1:10" x14ac:dyDescent="0.25">
      <c r="A81" t="s">
        <v>149</v>
      </c>
      <c r="B81">
        <f>170606.740998992*(1/100/100)</f>
        <v>17.060674099899202</v>
      </c>
      <c r="C81">
        <v>1668</v>
      </c>
      <c r="D81" t="s">
        <v>7344</v>
      </c>
      <c r="E81">
        <v>92200</v>
      </c>
      <c r="F81" t="s">
        <v>142</v>
      </c>
      <c r="G81">
        <v>922</v>
      </c>
      <c r="H81" t="s">
        <v>142</v>
      </c>
      <c r="I81">
        <v>9</v>
      </c>
      <c r="J81" t="s">
        <v>121</v>
      </c>
    </row>
    <row r="82" spans="1:10" x14ac:dyDescent="0.25">
      <c r="A82" t="s">
        <v>149</v>
      </c>
      <c r="B82">
        <f>418837.622342713*(1/100/100)</f>
        <v>41.883762234271302</v>
      </c>
      <c r="C82">
        <v>1669</v>
      </c>
      <c r="D82" t="s">
        <v>7345</v>
      </c>
      <c r="E82">
        <v>92200</v>
      </c>
      <c r="F82" t="s">
        <v>142</v>
      </c>
      <c r="G82">
        <v>922</v>
      </c>
      <c r="H82" t="s">
        <v>142</v>
      </c>
      <c r="I82">
        <v>9</v>
      </c>
      <c r="J82" t="s">
        <v>121</v>
      </c>
    </row>
    <row r="83" spans="1:10" x14ac:dyDescent="0.25">
      <c r="A83" t="s">
        <v>7355</v>
      </c>
      <c r="B83">
        <f>84027.7278900034*(1/100/100)</f>
        <v>8.4027727890003412</v>
      </c>
      <c r="C83">
        <v>1701</v>
      </c>
      <c r="D83" t="s">
        <v>4730</v>
      </c>
      <c r="E83">
        <v>32144</v>
      </c>
      <c r="F83" t="s">
        <v>915</v>
      </c>
      <c r="G83">
        <v>321</v>
      </c>
      <c r="H83" t="s">
        <v>70</v>
      </c>
      <c r="I83">
        <v>3</v>
      </c>
      <c r="J83" t="s">
        <v>50</v>
      </c>
    </row>
    <row r="84" spans="1:10" x14ac:dyDescent="0.25">
      <c r="A84" t="s">
        <v>7355</v>
      </c>
      <c r="B84">
        <f>70351.6241538365*(1/100/100)</f>
        <v>7.0351624153836498</v>
      </c>
      <c r="C84">
        <v>1702</v>
      </c>
      <c r="D84" t="s">
        <v>4731</v>
      </c>
      <c r="E84">
        <v>32144</v>
      </c>
      <c r="F84" t="s">
        <v>915</v>
      </c>
      <c r="G84">
        <v>321</v>
      </c>
      <c r="H84" t="s">
        <v>70</v>
      </c>
      <c r="I84">
        <v>3</v>
      </c>
      <c r="J84" t="s">
        <v>50</v>
      </c>
    </row>
    <row r="85" spans="1:10" x14ac:dyDescent="0.25">
      <c r="A85" t="s">
        <v>7355</v>
      </c>
      <c r="B85">
        <f>210086.214770051*(1/100/100)</f>
        <v>21.008621477005104</v>
      </c>
      <c r="C85">
        <v>1703</v>
      </c>
      <c r="D85" t="s">
        <v>4732</v>
      </c>
      <c r="E85">
        <v>32144</v>
      </c>
      <c r="F85" t="s">
        <v>915</v>
      </c>
      <c r="G85">
        <v>321</v>
      </c>
      <c r="H85" t="s">
        <v>70</v>
      </c>
      <c r="I85">
        <v>3</v>
      </c>
      <c r="J85" t="s">
        <v>50</v>
      </c>
    </row>
    <row r="86" spans="1:10" x14ac:dyDescent="0.25">
      <c r="A86" t="s">
        <v>7355</v>
      </c>
      <c r="B86">
        <f>1147709.583723*(1/100/100)</f>
        <v>114.7709583723</v>
      </c>
      <c r="C86">
        <v>1704</v>
      </c>
      <c r="D86" t="s">
        <v>915</v>
      </c>
      <c r="E86">
        <v>32144</v>
      </c>
      <c r="F86" t="s">
        <v>915</v>
      </c>
      <c r="G86">
        <v>321</v>
      </c>
      <c r="H86" t="s">
        <v>70</v>
      </c>
      <c r="I86">
        <v>3</v>
      </c>
      <c r="J86" t="s">
        <v>50</v>
      </c>
    </row>
    <row r="87" spans="1:10" x14ac:dyDescent="0.25">
      <c r="A87" t="s">
        <v>7355</v>
      </c>
      <c r="B87">
        <f>212671.802510947*(1/100/100)</f>
        <v>21.2671802510947</v>
      </c>
      <c r="C87">
        <v>1705</v>
      </c>
      <c r="D87" t="s">
        <v>4733</v>
      </c>
      <c r="E87">
        <v>32144</v>
      </c>
      <c r="F87" t="s">
        <v>915</v>
      </c>
      <c r="G87">
        <v>321</v>
      </c>
      <c r="H87" t="s">
        <v>70</v>
      </c>
      <c r="I87">
        <v>3</v>
      </c>
      <c r="J87" t="s">
        <v>50</v>
      </c>
    </row>
    <row r="88" spans="1:10" x14ac:dyDescent="0.25">
      <c r="A88" t="s">
        <v>7355</v>
      </c>
      <c r="B88">
        <f>247445.707034808*(1/100/100)</f>
        <v>24.7445707034808</v>
      </c>
      <c r="C88">
        <v>1706</v>
      </c>
      <c r="D88" t="s">
        <v>4534</v>
      </c>
      <c r="E88">
        <v>32144</v>
      </c>
      <c r="F88" t="s">
        <v>915</v>
      </c>
      <c r="G88">
        <v>321</v>
      </c>
      <c r="H88" t="s">
        <v>70</v>
      </c>
      <c r="I88">
        <v>3</v>
      </c>
      <c r="J88" t="s">
        <v>50</v>
      </c>
    </row>
    <row r="89" spans="1:10" x14ac:dyDescent="0.25">
      <c r="A89" t="s">
        <v>7355</v>
      </c>
      <c r="B89">
        <f>74314.1766671591*(1/100/100)</f>
        <v>7.4314176667159106</v>
      </c>
      <c r="C89">
        <v>1707</v>
      </c>
      <c r="D89" t="s">
        <v>4734</v>
      </c>
      <c r="E89">
        <v>32144</v>
      </c>
      <c r="F89" t="s">
        <v>915</v>
      </c>
      <c r="G89">
        <v>321</v>
      </c>
      <c r="H89" t="s">
        <v>70</v>
      </c>
      <c r="I89">
        <v>3</v>
      </c>
      <c r="J89" t="s">
        <v>50</v>
      </c>
    </row>
    <row r="90" spans="1:10" x14ac:dyDescent="0.25">
      <c r="A90" t="s">
        <v>7355</v>
      </c>
      <c r="B90">
        <f>657560.183396805*(1/100/100)</f>
        <v>65.756018339680494</v>
      </c>
      <c r="C90">
        <v>1708</v>
      </c>
      <c r="D90" t="s">
        <v>3670</v>
      </c>
      <c r="E90">
        <v>31235</v>
      </c>
      <c r="F90" t="s">
        <v>668</v>
      </c>
      <c r="G90">
        <v>312</v>
      </c>
      <c r="H90" t="s">
        <v>61</v>
      </c>
      <c r="I90">
        <v>3</v>
      </c>
      <c r="J90" t="s">
        <v>50</v>
      </c>
    </row>
    <row r="91" spans="1:10" x14ac:dyDescent="0.25">
      <c r="A91" t="s">
        <v>7355</v>
      </c>
      <c r="B91">
        <f>245073.401672848*(1/100/100)</f>
        <v>24.507340167284802</v>
      </c>
      <c r="C91">
        <v>1709</v>
      </c>
      <c r="D91" t="s">
        <v>3671</v>
      </c>
      <c r="E91">
        <v>31235</v>
      </c>
      <c r="F91" t="s">
        <v>668</v>
      </c>
      <c r="G91">
        <v>312</v>
      </c>
      <c r="H91" t="s">
        <v>61</v>
      </c>
      <c r="I91">
        <v>3</v>
      </c>
      <c r="J91" t="s">
        <v>50</v>
      </c>
    </row>
    <row r="92" spans="1:10" x14ac:dyDescent="0.25">
      <c r="A92" t="s">
        <v>7355</v>
      </c>
      <c r="B92">
        <f>354594.814724773*(1/100/100)</f>
        <v>35.4594814724773</v>
      </c>
      <c r="C92">
        <v>1710</v>
      </c>
      <c r="D92" t="s">
        <v>3672</v>
      </c>
      <c r="E92">
        <v>31235</v>
      </c>
      <c r="F92" t="s">
        <v>668</v>
      </c>
      <c r="G92">
        <v>312</v>
      </c>
      <c r="H92" t="s">
        <v>61</v>
      </c>
      <c r="I92">
        <v>3</v>
      </c>
      <c r="J92" t="s">
        <v>50</v>
      </c>
    </row>
    <row r="93" spans="1:10" x14ac:dyDescent="0.25">
      <c r="A93" t="s">
        <v>149</v>
      </c>
      <c r="B93">
        <f>760085.311440582*(1/100/100)</f>
        <v>76.00853114405821</v>
      </c>
      <c r="C93">
        <v>1801</v>
      </c>
      <c r="D93" t="s">
        <v>7346</v>
      </c>
      <c r="E93">
        <v>92300</v>
      </c>
      <c r="F93" t="s">
        <v>143</v>
      </c>
      <c r="G93">
        <v>923</v>
      </c>
      <c r="H93" t="s">
        <v>143</v>
      </c>
      <c r="I93">
        <v>9</v>
      </c>
      <c r="J93" t="s">
        <v>121</v>
      </c>
    </row>
    <row r="94" spans="1:10" x14ac:dyDescent="0.25">
      <c r="A94" t="s">
        <v>149</v>
      </c>
      <c r="B94">
        <f>514446.454227929*(1/100/100)</f>
        <v>51.444645422792902</v>
      </c>
      <c r="C94">
        <v>1802</v>
      </c>
      <c r="D94" t="s">
        <v>7347</v>
      </c>
      <c r="E94">
        <v>92300</v>
      </c>
      <c r="F94" t="s">
        <v>143</v>
      </c>
      <c r="G94">
        <v>923</v>
      </c>
      <c r="H94" t="s">
        <v>143</v>
      </c>
      <c r="I94">
        <v>9</v>
      </c>
      <c r="J94" t="s">
        <v>121</v>
      </c>
    </row>
    <row r="95" spans="1:10" x14ac:dyDescent="0.25">
      <c r="A95" t="s">
        <v>149</v>
      </c>
      <c r="B95">
        <f>1978172.63720125*(1/100/100)</f>
        <v>197.81726372012503</v>
      </c>
      <c r="C95">
        <v>1803</v>
      </c>
      <c r="D95" t="s">
        <v>7348</v>
      </c>
      <c r="E95">
        <v>92300</v>
      </c>
      <c r="F95" t="s">
        <v>143</v>
      </c>
      <c r="G95">
        <v>923</v>
      </c>
      <c r="H95" t="s">
        <v>143</v>
      </c>
      <c r="I95">
        <v>9</v>
      </c>
      <c r="J95" t="s">
        <v>121</v>
      </c>
    </row>
    <row r="96" spans="1:10" x14ac:dyDescent="0.25">
      <c r="A96" t="s">
        <v>149</v>
      </c>
      <c r="B96">
        <f>93033.4070339324*(1/100/100)</f>
        <v>9.3033407033932392</v>
      </c>
      <c r="C96">
        <v>1804</v>
      </c>
      <c r="D96" t="s">
        <v>7349</v>
      </c>
      <c r="E96">
        <v>92300</v>
      </c>
      <c r="F96" t="s">
        <v>143</v>
      </c>
      <c r="G96">
        <v>923</v>
      </c>
      <c r="H96" t="s">
        <v>143</v>
      </c>
      <c r="I96">
        <v>9</v>
      </c>
      <c r="J96" t="s">
        <v>121</v>
      </c>
    </row>
    <row r="97" spans="1:10" x14ac:dyDescent="0.25">
      <c r="A97" t="s">
        <v>149</v>
      </c>
      <c r="B97">
        <f>632638.150306288*(1/100/100)</f>
        <v>63.263815030628805</v>
      </c>
      <c r="C97">
        <v>1805</v>
      </c>
      <c r="D97" t="s">
        <v>2363</v>
      </c>
      <c r="E97">
        <v>92300</v>
      </c>
      <c r="F97" t="s">
        <v>143</v>
      </c>
      <c r="G97">
        <v>923</v>
      </c>
      <c r="H97" t="s">
        <v>143</v>
      </c>
      <c r="I97">
        <v>9</v>
      </c>
      <c r="J97" t="s">
        <v>121</v>
      </c>
    </row>
    <row r="98" spans="1:10" x14ac:dyDescent="0.25">
      <c r="A98" t="s">
        <v>149</v>
      </c>
      <c r="B98">
        <f>807739.787115863*(1/100/100)</f>
        <v>80.773978711586295</v>
      </c>
      <c r="C98">
        <v>1806</v>
      </c>
      <c r="D98" t="s">
        <v>3948</v>
      </c>
      <c r="E98">
        <v>92300</v>
      </c>
      <c r="F98" t="s">
        <v>143</v>
      </c>
      <c r="G98">
        <v>923</v>
      </c>
      <c r="H98" t="s">
        <v>143</v>
      </c>
      <c r="I98">
        <v>9</v>
      </c>
      <c r="J98" t="s">
        <v>121</v>
      </c>
    </row>
    <row r="99" spans="1:10" x14ac:dyDescent="0.25">
      <c r="A99" t="s">
        <v>149</v>
      </c>
      <c r="B99">
        <f>247514.358787653*(1/100/100)</f>
        <v>24.751435878765303</v>
      </c>
      <c r="C99">
        <v>1807</v>
      </c>
      <c r="D99" t="s">
        <v>7350</v>
      </c>
      <c r="E99">
        <v>92300</v>
      </c>
      <c r="F99" t="s">
        <v>143</v>
      </c>
      <c r="G99">
        <v>923</v>
      </c>
      <c r="H99" t="s">
        <v>143</v>
      </c>
      <c r="I99">
        <v>9</v>
      </c>
      <c r="J99" t="s">
        <v>121</v>
      </c>
    </row>
    <row r="100" spans="1:10" x14ac:dyDescent="0.25">
      <c r="A100" t="s">
        <v>149</v>
      </c>
      <c r="B100">
        <f>622067.483880133*(1/100/100)</f>
        <v>62.206748388013303</v>
      </c>
      <c r="C100">
        <v>1808</v>
      </c>
      <c r="D100" t="s">
        <v>4183</v>
      </c>
      <c r="E100">
        <v>92300</v>
      </c>
      <c r="F100" t="s">
        <v>143</v>
      </c>
      <c r="G100">
        <v>923</v>
      </c>
      <c r="H100" t="s">
        <v>143</v>
      </c>
      <c r="I100">
        <v>9</v>
      </c>
      <c r="J100" t="s">
        <v>121</v>
      </c>
    </row>
    <row r="101" spans="1:10" x14ac:dyDescent="0.25">
      <c r="A101" t="s">
        <v>7355</v>
      </c>
      <c r="B101">
        <f>17676.6323129476*(1/100/100)</f>
        <v>1.7676632312947602</v>
      </c>
      <c r="C101">
        <v>1901</v>
      </c>
      <c r="D101" t="s">
        <v>4572</v>
      </c>
      <c r="E101">
        <v>31951</v>
      </c>
      <c r="F101" t="s">
        <v>876</v>
      </c>
      <c r="G101">
        <v>319</v>
      </c>
      <c r="H101" t="s">
        <v>68</v>
      </c>
      <c r="I101">
        <v>3</v>
      </c>
      <c r="J101" t="s">
        <v>50</v>
      </c>
    </row>
    <row r="102" spans="1:10" x14ac:dyDescent="0.25">
      <c r="A102" t="s">
        <v>7355</v>
      </c>
      <c r="B102">
        <f>361453.952582596*(1/100/100)</f>
        <v>36.145395258259597</v>
      </c>
      <c r="C102">
        <v>1902</v>
      </c>
      <c r="D102" t="s">
        <v>874</v>
      </c>
      <c r="E102">
        <v>31949</v>
      </c>
      <c r="F102" t="s">
        <v>874</v>
      </c>
      <c r="G102">
        <v>319</v>
      </c>
      <c r="H102" t="s">
        <v>68</v>
      </c>
      <c r="I102">
        <v>3</v>
      </c>
      <c r="J102" t="s">
        <v>50</v>
      </c>
    </row>
    <row r="103" spans="1:10" x14ac:dyDescent="0.25">
      <c r="A103" t="s">
        <v>7355</v>
      </c>
      <c r="B103">
        <f>280017.041493605*(1/100/100)</f>
        <v>28.001704149360503</v>
      </c>
      <c r="C103">
        <v>1903</v>
      </c>
      <c r="D103" t="s">
        <v>875</v>
      </c>
      <c r="E103">
        <v>31950</v>
      </c>
      <c r="F103" t="s">
        <v>875</v>
      </c>
      <c r="G103">
        <v>319</v>
      </c>
      <c r="H103" t="s">
        <v>68</v>
      </c>
      <c r="I103">
        <v>3</v>
      </c>
      <c r="J103" t="s">
        <v>50</v>
      </c>
    </row>
    <row r="104" spans="1:10" x14ac:dyDescent="0.25">
      <c r="A104" t="s">
        <v>7355</v>
      </c>
      <c r="B104">
        <f>55303.5630283304*(1/100/100)</f>
        <v>5.5303563028330398</v>
      </c>
      <c r="C104">
        <v>1904</v>
      </c>
      <c r="D104" t="s">
        <v>4573</v>
      </c>
      <c r="E104">
        <v>31951</v>
      </c>
      <c r="F104" t="s">
        <v>876</v>
      </c>
      <c r="G104">
        <v>319</v>
      </c>
      <c r="H104" t="s">
        <v>68</v>
      </c>
      <c r="I104">
        <v>3</v>
      </c>
      <c r="J104" t="s">
        <v>50</v>
      </c>
    </row>
    <row r="105" spans="1:10" x14ac:dyDescent="0.25">
      <c r="A105" t="s">
        <v>7355</v>
      </c>
      <c r="B105">
        <f>389071.725474848*(1/100/100)</f>
        <v>38.907172547484805</v>
      </c>
      <c r="C105">
        <v>1905</v>
      </c>
      <c r="D105" t="s">
        <v>4574</v>
      </c>
      <c r="E105">
        <v>31951</v>
      </c>
      <c r="F105" t="s">
        <v>876</v>
      </c>
      <c r="G105">
        <v>319</v>
      </c>
      <c r="H105" t="s">
        <v>68</v>
      </c>
      <c r="I105">
        <v>3</v>
      </c>
      <c r="J105" t="s">
        <v>50</v>
      </c>
    </row>
    <row r="106" spans="1:10" x14ac:dyDescent="0.25">
      <c r="A106" t="s">
        <v>7355</v>
      </c>
      <c r="B106">
        <f>481440.682061004*(1/100/100)</f>
        <v>48.1440682061004</v>
      </c>
      <c r="C106">
        <v>1906</v>
      </c>
      <c r="D106" t="s">
        <v>877</v>
      </c>
      <c r="E106">
        <v>31952</v>
      </c>
      <c r="F106" t="s">
        <v>877</v>
      </c>
      <c r="G106">
        <v>319</v>
      </c>
      <c r="H106" t="s">
        <v>68</v>
      </c>
      <c r="I106">
        <v>3</v>
      </c>
      <c r="J106" t="s">
        <v>50</v>
      </c>
    </row>
    <row r="107" spans="1:10" x14ac:dyDescent="0.25">
      <c r="A107" t="s">
        <v>7355</v>
      </c>
      <c r="B107">
        <f>80619.7182751737*(1/100/100)</f>
        <v>8.06197182751737</v>
      </c>
      <c r="C107">
        <v>1907</v>
      </c>
      <c r="D107" t="s">
        <v>4575</v>
      </c>
      <c r="E107">
        <v>31951</v>
      </c>
      <c r="F107" t="s">
        <v>876</v>
      </c>
      <c r="G107">
        <v>319</v>
      </c>
      <c r="H107" t="s">
        <v>68</v>
      </c>
      <c r="I107">
        <v>3</v>
      </c>
      <c r="J107" t="s">
        <v>50</v>
      </c>
    </row>
    <row r="108" spans="1:10" x14ac:dyDescent="0.25">
      <c r="A108" t="s">
        <v>7355</v>
      </c>
      <c r="B108">
        <f>227484.459485901*(1/100/100)</f>
        <v>22.748445948590099</v>
      </c>
      <c r="C108">
        <v>1908</v>
      </c>
      <c r="D108" t="s">
        <v>878</v>
      </c>
      <c r="E108">
        <v>31953</v>
      </c>
      <c r="F108" t="s">
        <v>878</v>
      </c>
      <c r="G108">
        <v>319</v>
      </c>
      <c r="H108" t="s">
        <v>68</v>
      </c>
      <c r="I108">
        <v>3</v>
      </c>
      <c r="J108" t="s">
        <v>50</v>
      </c>
    </row>
    <row r="109" spans="1:10" x14ac:dyDescent="0.25">
      <c r="A109" t="s">
        <v>7355</v>
      </c>
      <c r="B109">
        <f>163616.625195684*(1/100/100)</f>
        <v>16.361662519568402</v>
      </c>
      <c r="C109">
        <v>1909</v>
      </c>
      <c r="D109" t="s">
        <v>879</v>
      </c>
      <c r="E109">
        <v>31954</v>
      </c>
      <c r="F109" t="s">
        <v>879</v>
      </c>
      <c r="G109">
        <v>319</v>
      </c>
      <c r="H109" t="s">
        <v>68</v>
      </c>
      <c r="I109">
        <v>3</v>
      </c>
      <c r="J109" t="s">
        <v>50</v>
      </c>
    </row>
    <row r="110" spans="1:10" x14ac:dyDescent="0.25">
      <c r="A110" t="s">
        <v>7355</v>
      </c>
      <c r="B110">
        <f>66544.5666551647*(1/100/100)</f>
        <v>6.6544566655164701</v>
      </c>
      <c r="C110">
        <v>3001</v>
      </c>
      <c r="D110" t="s">
        <v>2990</v>
      </c>
      <c r="E110">
        <v>30511</v>
      </c>
      <c r="F110" t="s">
        <v>467</v>
      </c>
      <c r="G110">
        <v>305</v>
      </c>
      <c r="H110" t="s">
        <v>54</v>
      </c>
      <c r="I110">
        <v>3</v>
      </c>
      <c r="J110" t="s">
        <v>50</v>
      </c>
    </row>
    <row r="111" spans="1:10" x14ac:dyDescent="0.25">
      <c r="A111" t="s">
        <v>7355</v>
      </c>
      <c r="B111">
        <f>43344.9457260729*(1/100/100)</f>
        <v>4.3344945726072908</v>
      </c>
      <c r="C111">
        <v>3002</v>
      </c>
      <c r="D111" t="s">
        <v>3017</v>
      </c>
      <c r="E111">
        <v>30520</v>
      </c>
      <c r="F111" t="s">
        <v>473</v>
      </c>
      <c r="G111">
        <v>305</v>
      </c>
      <c r="H111" t="s">
        <v>54</v>
      </c>
      <c r="I111">
        <v>3</v>
      </c>
      <c r="J111" t="s">
        <v>50</v>
      </c>
    </row>
    <row r="112" spans="1:10" x14ac:dyDescent="0.25">
      <c r="A112" t="s">
        <v>7355</v>
      </c>
      <c r="B112">
        <f>1088255.37554658*(1/100/100)</f>
        <v>108.825537554658</v>
      </c>
      <c r="C112">
        <v>3003</v>
      </c>
      <c r="D112" t="s">
        <v>54</v>
      </c>
      <c r="E112">
        <v>30502</v>
      </c>
      <c r="F112" t="s">
        <v>54</v>
      </c>
      <c r="G112">
        <v>305</v>
      </c>
      <c r="H112" t="s">
        <v>54</v>
      </c>
      <c r="I112">
        <v>3</v>
      </c>
      <c r="J112" t="s">
        <v>50</v>
      </c>
    </row>
    <row r="113" spans="1:10" x14ac:dyDescent="0.25">
      <c r="A113" t="s">
        <v>7355</v>
      </c>
      <c r="B113">
        <f>62285.9014140667*(1/100/100)</f>
        <v>6.22859014140667</v>
      </c>
      <c r="C113">
        <v>3004</v>
      </c>
      <c r="D113" t="s">
        <v>2974</v>
      </c>
      <c r="E113">
        <v>30503</v>
      </c>
      <c r="F113" t="s">
        <v>460</v>
      </c>
      <c r="G113">
        <v>305</v>
      </c>
      <c r="H113" t="s">
        <v>54</v>
      </c>
      <c r="I113">
        <v>3</v>
      </c>
      <c r="J113" t="s">
        <v>50</v>
      </c>
    </row>
    <row r="114" spans="1:10" x14ac:dyDescent="0.25">
      <c r="A114" t="s">
        <v>7355</v>
      </c>
      <c r="B114">
        <f>153542.276637843*(1/100/100)</f>
        <v>15.3542276637843</v>
      </c>
      <c r="C114">
        <v>3005</v>
      </c>
      <c r="D114" t="s">
        <v>2975</v>
      </c>
      <c r="E114">
        <v>30503</v>
      </c>
      <c r="F114" t="s">
        <v>460</v>
      </c>
      <c r="G114">
        <v>305</v>
      </c>
      <c r="H114" t="s">
        <v>54</v>
      </c>
      <c r="I114">
        <v>3</v>
      </c>
      <c r="J114" t="s">
        <v>50</v>
      </c>
    </row>
    <row r="115" spans="1:10" x14ac:dyDescent="0.25">
      <c r="A115" t="s">
        <v>7355</v>
      </c>
      <c r="B115">
        <f>44344.0839299109*(1/100/100)</f>
        <v>4.4344083929910898</v>
      </c>
      <c r="C115">
        <v>3006</v>
      </c>
      <c r="D115" t="s">
        <v>3023</v>
      </c>
      <c r="E115">
        <v>30521</v>
      </c>
      <c r="F115" t="s">
        <v>474</v>
      </c>
      <c r="G115">
        <v>305</v>
      </c>
      <c r="H115" t="s">
        <v>54</v>
      </c>
      <c r="I115">
        <v>3</v>
      </c>
      <c r="J115" t="s">
        <v>50</v>
      </c>
    </row>
    <row r="116" spans="1:10" x14ac:dyDescent="0.25">
      <c r="A116" t="s">
        <v>7355</v>
      </c>
      <c r="B116">
        <f>83404.694131494*(1/100/100)</f>
        <v>8.3404694131494015</v>
      </c>
      <c r="C116">
        <v>3007</v>
      </c>
      <c r="D116" t="s">
        <v>2968</v>
      </c>
      <c r="E116">
        <v>30502</v>
      </c>
      <c r="F116" t="s">
        <v>54</v>
      </c>
      <c r="G116">
        <v>305</v>
      </c>
      <c r="H116" t="s">
        <v>54</v>
      </c>
      <c r="I116">
        <v>3</v>
      </c>
      <c r="J116" t="s">
        <v>50</v>
      </c>
    </row>
    <row r="117" spans="1:10" x14ac:dyDescent="0.25">
      <c r="A117" t="s">
        <v>7355</v>
      </c>
      <c r="B117">
        <f>214840.373429024*(1/100/100)</f>
        <v>21.484037342902401</v>
      </c>
      <c r="C117">
        <v>3008</v>
      </c>
      <c r="D117" t="s">
        <v>467</v>
      </c>
      <c r="E117">
        <v>30511</v>
      </c>
      <c r="F117" t="s">
        <v>467</v>
      </c>
      <c r="G117">
        <v>305</v>
      </c>
      <c r="H117" t="s">
        <v>54</v>
      </c>
      <c r="I117">
        <v>3</v>
      </c>
      <c r="J117" t="s">
        <v>50</v>
      </c>
    </row>
    <row r="118" spans="1:10" x14ac:dyDescent="0.25">
      <c r="A118" t="s">
        <v>7355</v>
      </c>
      <c r="B118">
        <f>163574.809710436*(1/100/100)</f>
        <v>16.3574809710436</v>
      </c>
      <c r="C118">
        <v>3009</v>
      </c>
      <c r="D118" t="s">
        <v>468</v>
      </c>
      <c r="E118">
        <v>30512</v>
      </c>
      <c r="F118" t="s">
        <v>468</v>
      </c>
      <c r="G118">
        <v>305</v>
      </c>
      <c r="H118" t="s">
        <v>54</v>
      </c>
      <c r="I118">
        <v>3</v>
      </c>
      <c r="J118" t="s">
        <v>50</v>
      </c>
    </row>
    <row r="119" spans="1:10" x14ac:dyDescent="0.25">
      <c r="A119" t="s">
        <v>7355</v>
      </c>
      <c r="B119">
        <f>13504.8704338639*(1/100/100)</f>
        <v>1.35048704338639</v>
      </c>
      <c r="C119">
        <v>3010</v>
      </c>
      <c r="D119" t="s">
        <v>3024</v>
      </c>
      <c r="E119">
        <v>30521</v>
      </c>
      <c r="F119" t="s">
        <v>474</v>
      </c>
      <c r="G119">
        <v>305</v>
      </c>
      <c r="H119" t="s">
        <v>54</v>
      </c>
      <c r="I119">
        <v>3</v>
      </c>
      <c r="J119" t="s">
        <v>50</v>
      </c>
    </row>
    <row r="120" spans="1:10" x14ac:dyDescent="0.25">
      <c r="A120" t="s">
        <v>7355</v>
      </c>
      <c r="B120">
        <f>69510.6764905144*(1/100/100)</f>
        <v>6.9510676490514394</v>
      </c>
      <c r="C120">
        <v>3011</v>
      </c>
      <c r="D120" t="s">
        <v>2991</v>
      </c>
      <c r="E120">
        <v>30511</v>
      </c>
      <c r="F120" t="s">
        <v>467</v>
      </c>
      <c r="G120">
        <v>305</v>
      </c>
      <c r="H120" t="s">
        <v>54</v>
      </c>
      <c r="I120">
        <v>3</v>
      </c>
      <c r="J120" t="s">
        <v>50</v>
      </c>
    </row>
    <row r="121" spans="1:10" x14ac:dyDescent="0.25">
      <c r="A121" t="s">
        <v>7355</v>
      </c>
      <c r="B121">
        <f>123911.797299964*(1/100/100)</f>
        <v>12.3911797299964</v>
      </c>
      <c r="C121">
        <v>3012</v>
      </c>
      <c r="D121" t="s">
        <v>3038</v>
      </c>
      <c r="E121">
        <v>30527</v>
      </c>
      <c r="F121" t="s">
        <v>3038</v>
      </c>
      <c r="G121">
        <v>305</v>
      </c>
      <c r="H121" t="s">
        <v>54</v>
      </c>
      <c r="I121">
        <v>3</v>
      </c>
      <c r="J121" t="s">
        <v>50</v>
      </c>
    </row>
    <row r="122" spans="1:10" x14ac:dyDescent="0.25">
      <c r="A122" t="s">
        <v>7355</v>
      </c>
      <c r="B122">
        <f>59513.2547282765*(1/100/100)</f>
        <v>5.9513254728276506</v>
      </c>
      <c r="C122">
        <v>3013</v>
      </c>
      <c r="D122" t="s">
        <v>3073</v>
      </c>
      <c r="E122">
        <v>30541</v>
      </c>
      <c r="F122" t="s">
        <v>483</v>
      </c>
      <c r="G122">
        <v>305</v>
      </c>
      <c r="H122" t="s">
        <v>54</v>
      </c>
      <c r="I122">
        <v>3</v>
      </c>
      <c r="J122" t="s">
        <v>50</v>
      </c>
    </row>
    <row r="123" spans="1:10" x14ac:dyDescent="0.25">
      <c r="A123" t="s">
        <v>7355</v>
      </c>
      <c r="B123">
        <f>44937.6965388354*(1/100/100)</f>
        <v>4.4937696538835405</v>
      </c>
      <c r="C123">
        <v>3014</v>
      </c>
      <c r="D123" t="s">
        <v>3064</v>
      </c>
      <c r="E123">
        <v>30536</v>
      </c>
      <c r="F123" t="s">
        <v>480</v>
      </c>
      <c r="G123">
        <v>305</v>
      </c>
      <c r="H123" t="s">
        <v>54</v>
      </c>
      <c r="I123">
        <v>3</v>
      </c>
      <c r="J123" t="s">
        <v>50</v>
      </c>
    </row>
    <row r="124" spans="1:10" x14ac:dyDescent="0.25">
      <c r="A124" t="s">
        <v>7355</v>
      </c>
      <c r="B124">
        <f>242753.39949503*(1/100/100)</f>
        <v>24.275339949503</v>
      </c>
      <c r="C124">
        <v>3015</v>
      </c>
      <c r="D124" t="s">
        <v>2969</v>
      </c>
      <c r="E124">
        <v>30502</v>
      </c>
      <c r="F124" t="s">
        <v>54</v>
      </c>
      <c r="G124">
        <v>305</v>
      </c>
      <c r="H124" t="s">
        <v>54</v>
      </c>
      <c r="I124">
        <v>3</v>
      </c>
      <c r="J124" t="s">
        <v>50</v>
      </c>
    </row>
    <row r="125" spans="1:10" x14ac:dyDescent="0.25">
      <c r="A125" t="s">
        <v>7355</v>
      </c>
      <c r="B125">
        <f>45344.2730748636*(1/100/100)</f>
        <v>4.5344273074863608</v>
      </c>
      <c r="C125">
        <v>3016</v>
      </c>
      <c r="D125" t="s">
        <v>3039</v>
      </c>
      <c r="E125">
        <v>30527</v>
      </c>
      <c r="F125" t="s">
        <v>3038</v>
      </c>
      <c r="G125">
        <v>305</v>
      </c>
      <c r="H125" t="s">
        <v>54</v>
      </c>
      <c r="I125">
        <v>3</v>
      </c>
      <c r="J125" t="s">
        <v>50</v>
      </c>
    </row>
    <row r="126" spans="1:10" x14ac:dyDescent="0.25">
      <c r="A126" t="s">
        <v>7355</v>
      </c>
      <c r="B126">
        <f>19750.911190203*(1/100/100)</f>
        <v>1.9750911190203002</v>
      </c>
      <c r="C126">
        <v>3017</v>
      </c>
      <c r="D126" t="s">
        <v>3025</v>
      </c>
      <c r="E126">
        <v>30521</v>
      </c>
      <c r="F126" t="s">
        <v>474</v>
      </c>
      <c r="G126">
        <v>305</v>
      </c>
      <c r="H126" t="s">
        <v>54</v>
      </c>
      <c r="I126">
        <v>3</v>
      </c>
      <c r="J126" t="s">
        <v>50</v>
      </c>
    </row>
    <row r="127" spans="1:10" x14ac:dyDescent="0.25">
      <c r="A127" t="s">
        <v>7355</v>
      </c>
      <c r="B127">
        <f>64778.6894443242*(1/100/100)</f>
        <v>6.4778689444324202</v>
      </c>
      <c r="C127">
        <v>3018</v>
      </c>
      <c r="D127" t="s">
        <v>3066</v>
      </c>
      <c r="E127">
        <v>30538</v>
      </c>
      <c r="F127" t="s">
        <v>481</v>
      </c>
      <c r="G127">
        <v>305</v>
      </c>
      <c r="H127" t="s">
        <v>54</v>
      </c>
      <c r="I127">
        <v>3</v>
      </c>
      <c r="J127" t="s">
        <v>50</v>
      </c>
    </row>
    <row r="128" spans="1:10" x14ac:dyDescent="0.25">
      <c r="A128" t="s">
        <v>7355</v>
      </c>
      <c r="B128">
        <f>119827.807986995*(1/100/100)</f>
        <v>11.982780798699501</v>
      </c>
      <c r="C128">
        <v>3019</v>
      </c>
      <c r="D128" t="s">
        <v>2976</v>
      </c>
      <c r="E128">
        <v>30503</v>
      </c>
      <c r="F128" t="s">
        <v>460</v>
      </c>
      <c r="G128">
        <v>305</v>
      </c>
      <c r="H128" t="s">
        <v>54</v>
      </c>
      <c r="I128">
        <v>3</v>
      </c>
      <c r="J128" t="s">
        <v>50</v>
      </c>
    </row>
    <row r="129" spans="1:15" x14ac:dyDescent="0.25">
      <c r="A129" t="s">
        <v>7355</v>
      </c>
      <c r="B129">
        <f>61514.1458058056*(1/100/100)</f>
        <v>6.1514145805805605</v>
      </c>
      <c r="C129">
        <v>3020</v>
      </c>
      <c r="D129" t="s">
        <v>3018</v>
      </c>
      <c r="E129">
        <v>30520</v>
      </c>
      <c r="F129" t="s">
        <v>473</v>
      </c>
      <c r="G129">
        <v>305</v>
      </c>
      <c r="H129" t="s">
        <v>54</v>
      </c>
      <c r="I129">
        <v>3</v>
      </c>
      <c r="J129" t="s">
        <v>50</v>
      </c>
      <c r="O129"/>
    </row>
    <row r="130" spans="1:15" x14ac:dyDescent="0.25">
      <c r="A130" t="s">
        <v>7355</v>
      </c>
      <c r="B130">
        <f>71195.8049499981*(1/100/100)</f>
        <v>7.11958049499981</v>
      </c>
      <c r="C130">
        <v>3021</v>
      </c>
      <c r="D130" t="s">
        <v>3040</v>
      </c>
      <c r="E130">
        <v>30527</v>
      </c>
      <c r="F130" t="s">
        <v>3038</v>
      </c>
      <c r="G130">
        <v>305</v>
      </c>
      <c r="H130" t="s">
        <v>54</v>
      </c>
      <c r="I130">
        <v>3</v>
      </c>
      <c r="J130" t="s">
        <v>50</v>
      </c>
      <c r="O130"/>
    </row>
    <row r="131" spans="1:15" x14ac:dyDescent="0.25">
      <c r="A131" t="s">
        <v>7355</v>
      </c>
      <c r="B131">
        <f>121068.011406054*(1/100/100)</f>
        <v>12.106801140605402</v>
      </c>
      <c r="C131">
        <v>3022</v>
      </c>
      <c r="D131" t="s">
        <v>3041</v>
      </c>
      <c r="E131">
        <v>30527</v>
      </c>
      <c r="F131" t="s">
        <v>3038</v>
      </c>
      <c r="G131">
        <v>305</v>
      </c>
      <c r="H131" t="s">
        <v>54</v>
      </c>
      <c r="I131">
        <v>3</v>
      </c>
      <c r="J131" t="s">
        <v>50</v>
      </c>
      <c r="O131"/>
    </row>
    <row r="132" spans="1:15" x14ac:dyDescent="0.25">
      <c r="A132" t="s">
        <v>7355</v>
      </c>
      <c r="B132">
        <f>562291.565664851*(1/100/100)</f>
        <v>56.229156566485102</v>
      </c>
      <c r="C132">
        <v>3023</v>
      </c>
      <c r="D132" t="s">
        <v>2970</v>
      </c>
      <c r="E132">
        <v>30502</v>
      </c>
      <c r="F132" t="s">
        <v>54</v>
      </c>
      <c r="G132">
        <v>305</v>
      </c>
      <c r="H132" t="s">
        <v>54</v>
      </c>
      <c r="I132">
        <v>3</v>
      </c>
      <c r="J132" t="s">
        <v>50</v>
      </c>
      <c r="O132"/>
    </row>
    <row r="133" spans="1:15" x14ac:dyDescent="0.25">
      <c r="A133" t="s">
        <v>7355</v>
      </c>
      <c r="B133">
        <f>63581.3828841718*(1/100/100)</f>
        <v>6.3581382884171802</v>
      </c>
      <c r="C133">
        <v>3024</v>
      </c>
      <c r="D133" t="s">
        <v>3026</v>
      </c>
      <c r="E133">
        <v>30521</v>
      </c>
      <c r="F133" t="s">
        <v>474</v>
      </c>
      <c r="G133">
        <v>305</v>
      </c>
      <c r="H133" t="s">
        <v>54</v>
      </c>
      <c r="I133">
        <v>3</v>
      </c>
      <c r="J133" t="s">
        <v>50</v>
      </c>
      <c r="O133"/>
    </row>
    <row r="134" spans="1:15" x14ac:dyDescent="0.25">
      <c r="A134" t="s">
        <v>7355</v>
      </c>
      <c r="B134">
        <f>97478.1114530424*(1/100/100)</f>
        <v>9.7478111453042402</v>
      </c>
      <c r="C134">
        <v>3025</v>
      </c>
      <c r="D134" t="s">
        <v>473</v>
      </c>
      <c r="E134">
        <v>30520</v>
      </c>
      <c r="F134" t="s">
        <v>473</v>
      </c>
      <c r="G134">
        <v>305</v>
      </c>
      <c r="H134" t="s">
        <v>54</v>
      </c>
      <c r="I134">
        <v>3</v>
      </c>
      <c r="J134" t="s">
        <v>50</v>
      </c>
      <c r="O134"/>
    </row>
    <row r="135" spans="1:15" x14ac:dyDescent="0.25">
      <c r="A135" t="s">
        <v>7355</v>
      </c>
      <c r="B135">
        <f>72689.575741527*(1/100/100)</f>
        <v>7.2689575741527008</v>
      </c>
      <c r="C135">
        <v>3026</v>
      </c>
      <c r="D135" t="s">
        <v>3027</v>
      </c>
      <c r="E135">
        <v>30521</v>
      </c>
      <c r="F135" t="s">
        <v>474</v>
      </c>
      <c r="G135">
        <v>305</v>
      </c>
      <c r="H135" t="s">
        <v>54</v>
      </c>
      <c r="I135">
        <v>3</v>
      </c>
      <c r="J135" t="s">
        <v>50</v>
      </c>
      <c r="O135"/>
    </row>
    <row r="136" spans="1:15" x14ac:dyDescent="0.25">
      <c r="A136" t="s">
        <v>7355</v>
      </c>
      <c r="B136">
        <f>42760.6790723975*(1/100/100)</f>
        <v>4.2760679072397503</v>
      </c>
      <c r="C136">
        <v>3027</v>
      </c>
      <c r="D136" t="s">
        <v>2992</v>
      </c>
      <c r="E136">
        <v>30512</v>
      </c>
      <c r="F136" t="s">
        <v>468</v>
      </c>
      <c r="G136">
        <v>305</v>
      </c>
      <c r="H136" t="s">
        <v>54</v>
      </c>
      <c r="I136">
        <v>3</v>
      </c>
      <c r="J136" t="s">
        <v>50</v>
      </c>
      <c r="O136"/>
    </row>
    <row r="137" spans="1:15" x14ac:dyDescent="0.25">
      <c r="A137" t="s">
        <v>7355</v>
      </c>
      <c r="B137">
        <f>61700.3983400795*(1/100/100)</f>
        <v>6.1700398340079499</v>
      </c>
      <c r="C137">
        <v>3028</v>
      </c>
      <c r="D137" t="s">
        <v>3030</v>
      </c>
      <c r="E137">
        <v>30522</v>
      </c>
      <c r="F137" t="s">
        <v>475</v>
      </c>
      <c r="G137">
        <v>305</v>
      </c>
      <c r="H137" t="s">
        <v>54</v>
      </c>
      <c r="I137">
        <v>3</v>
      </c>
      <c r="J137" t="s">
        <v>50</v>
      </c>
      <c r="O137"/>
    </row>
    <row r="138" spans="1:15" x14ac:dyDescent="0.25">
      <c r="A138" t="s">
        <v>7355</v>
      </c>
      <c r="B138">
        <f>139296.165108327*(1/100/100)</f>
        <v>13.9296165108327</v>
      </c>
      <c r="C138">
        <v>3029</v>
      </c>
      <c r="D138" t="s">
        <v>3031</v>
      </c>
      <c r="E138">
        <v>30522</v>
      </c>
      <c r="F138" t="s">
        <v>475</v>
      </c>
      <c r="G138">
        <v>305</v>
      </c>
      <c r="H138" t="s">
        <v>54</v>
      </c>
      <c r="I138">
        <v>3</v>
      </c>
      <c r="J138" t="s">
        <v>50</v>
      </c>
      <c r="O138"/>
    </row>
    <row r="139" spans="1:15" x14ac:dyDescent="0.25">
      <c r="A139" t="s">
        <v>7355</v>
      </c>
      <c r="B139">
        <f>38676.2470629069*(1/100/100)</f>
        <v>3.8676247062906901</v>
      </c>
      <c r="C139">
        <v>3030</v>
      </c>
      <c r="D139" t="s">
        <v>3019</v>
      </c>
      <c r="E139">
        <v>30520</v>
      </c>
      <c r="F139" t="s">
        <v>473</v>
      </c>
      <c r="G139">
        <v>305</v>
      </c>
      <c r="H139" t="s">
        <v>54</v>
      </c>
      <c r="I139">
        <v>3</v>
      </c>
      <c r="J139" t="s">
        <v>50</v>
      </c>
      <c r="O139"/>
    </row>
    <row r="140" spans="1:15" x14ac:dyDescent="0.25">
      <c r="A140" t="s">
        <v>7355</v>
      </c>
      <c r="B140">
        <f>73919.957268022*(1/100/100)</f>
        <v>7.3919957268022003</v>
      </c>
      <c r="C140">
        <v>3031</v>
      </c>
      <c r="D140" t="s">
        <v>2971</v>
      </c>
      <c r="E140">
        <v>30502</v>
      </c>
      <c r="F140" t="s">
        <v>54</v>
      </c>
      <c r="G140">
        <v>305</v>
      </c>
      <c r="H140" t="s">
        <v>54</v>
      </c>
      <c r="I140">
        <v>3</v>
      </c>
      <c r="J140" t="s">
        <v>50</v>
      </c>
      <c r="O140"/>
    </row>
    <row r="141" spans="1:15" x14ac:dyDescent="0.25">
      <c r="A141" t="s">
        <v>7355</v>
      </c>
      <c r="B141">
        <f>84224.8905532199*(1/100/100)</f>
        <v>8.4224890553219911</v>
      </c>
      <c r="C141">
        <v>3032</v>
      </c>
      <c r="D141" t="s">
        <v>86</v>
      </c>
      <c r="E141">
        <v>30538</v>
      </c>
      <c r="F141" t="s">
        <v>481</v>
      </c>
      <c r="G141">
        <v>305</v>
      </c>
      <c r="H141" t="s">
        <v>54</v>
      </c>
      <c r="I141">
        <v>3</v>
      </c>
      <c r="J141" t="s">
        <v>50</v>
      </c>
      <c r="O141"/>
    </row>
    <row r="142" spans="1:15" x14ac:dyDescent="0.25">
      <c r="A142" t="s">
        <v>7355</v>
      </c>
      <c r="B142">
        <f>36742.2571778693*(1/100/100)</f>
        <v>3.6742257177869302</v>
      </c>
      <c r="C142">
        <v>3033</v>
      </c>
      <c r="D142" t="s">
        <v>3028</v>
      </c>
      <c r="E142">
        <v>30521</v>
      </c>
      <c r="F142" t="s">
        <v>474</v>
      </c>
      <c r="G142">
        <v>305</v>
      </c>
      <c r="H142" t="s">
        <v>54</v>
      </c>
      <c r="I142">
        <v>3</v>
      </c>
      <c r="J142" t="s">
        <v>50</v>
      </c>
      <c r="O142"/>
    </row>
    <row r="143" spans="1:15" x14ac:dyDescent="0.25">
      <c r="A143" t="s">
        <v>7355</v>
      </c>
      <c r="B143">
        <f>56359.9843251877*(1/100/100)</f>
        <v>5.6359984325187709</v>
      </c>
      <c r="C143">
        <v>3034</v>
      </c>
      <c r="D143" t="s">
        <v>3020</v>
      </c>
      <c r="E143">
        <v>30520</v>
      </c>
      <c r="F143" t="s">
        <v>473</v>
      </c>
      <c r="G143">
        <v>305</v>
      </c>
      <c r="H143" t="s">
        <v>54</v>
      </c>
      <c r="I143">
        <v>3</v>
      </c>
      <c r="J143" t="s">
        <v>50</v>
      </c>
      <c r="O143"/>
    </row>
    <row r="144" spans="1:15" x14ac:dyDescent="0.25">
      <c r="A144" t="s">
        <v>7355</v>
      </c>
      <c r="B144">
        <f>89928.6345650868*(1/100/100)</f>
        <v>8.9928634565086814</v>
      </c>
      <c r="C144">
        <v>3035</v>
      </c>
      <c r="D144" t="s">
        <v>3021</v>
      </c>
      <c r="E144">
        <v>30520</v>
      </c>
      <c r="F144" t="s">
        <v>473</v>
      </c>
      <c r="G144">
        <v>305</v>
      </c>
      <c r="H144" t="s">
        <v>54</v>
      </c>
      <c r="I144">
        <v>3</v>
      </c>
      <c r="J144" t="s">
        <v>50</v>
      </c>
      <c r="O144"/>
    </row>
    <row r="145" spans="1:15" x14ac:dyDescent="0.25">
      <c r="A145" t="s">
        <v>7355</v>
      </c>
      <c r="B145">
        <f>234390.57217495*(1/100/100)</f>
        <v>23.439057217495002</v>
      </c>
      <c r="C145">
        <v>3036</v>
      </c>
      <c r="D145" t="s">
        <v>2972</v>
      </c>
      <c r="E145">
        <v>30502</v>
      </c>
      <c r="F145" t="s">
        <v>54</v>
      </c>
      <c r="G145">
        <v>305</v>
      </c>
      <c r="H145" t="s">
        <v>54</v>
      </c>
      <c r="I145">
        <v>3</v>
      </c>
      <c r="J145" t="s">
        <v>50</v>
      </c>
      <c r="O145"/>
    </row>
    <row r="146" spans="1:15" x14ac:dyDescent="0.25">
      <c r="A146" t="s">
        <v>7355</v>
      </c>
      <c r="B146">
        <f>55538.1679037063*(1/100/100)</f>
        <v>5.5538167903706306</v>
      </c>
      <c r="C146">
        <v>3037</v>
      </c>
      <c r="D146" t="s">
        <v>3067</v>
      </c>
      <c r="E146">
        <v>30538</v>
      </c>
      <c r="F146" t="s">
        <v>481</v>
      </c>
      <c r="G146">
        <v>305</v>
      </c>
      <c r="H146" t="s">
        <v>54</v>
      </c>
      <c r="I146">
        <v>3</v>
      </c>
      <c r="J146" t="s">
        <v>50</v>
      </c>
      <c r="O146"/>
    </row>
    <row r="147" spans="1:15" x14ac:dyDescent="0.25">
      <c r="A147" t="s">
        <v>7355</v>
      </c>
      <c r="B147">
        <f>60567.8967472243*(1/100/100)</f>
        <v>6.0567896747224301</v>
      </c>
      <c r="C147">
        <v>3038</v>
      </c>
      <c r="D147" t="s">
        <v>3065</v>
      </c>
      <c r="E147">
        <v>30536</v>
      </c>
      <c r="F147" t="s">
        <v>480</v>
      </c>
      <c r="G147">
        <v>305</v>
      </c>
      <c r="H147" t="s">
        <v>54</v>
      </c>
      <c r="I147">
        <v>3</v>
      </c>
      <c r="J147" t="s">
        <v>50</v>
      </c>
      <c r="O147"/>
    </row>
    <row r="148" spans="1:15" x14ac:dyDescent="0.25">
      <c r="A148" t="s">
        <v>7355</v>
      </c>
      <c r="B148">
        <f>165398.804198406*(1/100/100)</f>
        <v>16.5398804198406</v>
      </c>
      <c r="C148">
        <v>3039</v>
      </c>
      <c r="D148" t="s">
        <v>2977</v>
      </c>
      <c r="E148">
        <v>30503</v>
      </c>
      <c r="F148" t="s">
        <v>460</v>
      </c>
      <c r="G148">
        <v>305</v>
      </c>
      <c r="H148" t="s">
        <v>54</v>
      </c>
      <c r="I148">
        <v>3</v>
      </c>
      <c r="J148" t="s">
        <v>50</v>
      </c>
      <c r="O148"/>
    </row>
    <row r="149" spans="1:15" x14ac:dyDescent="0.25">
      <c r="A149" t="s">
        <v>7355</v>
      </c>
      <c r="B149">
        <f>25554.8634708696*(1/100/100)</f>
        <v>2.5554863470869602</v>
      </c>
      <c r="C149">
        <v>3040</v>
      </c>
      <c r="D149" t="s">
        <v>3022</v>
      </c>
      <c r="E149">
        <v>30520</v>
      </c>
      <c r="F149" t="s">
        <v>473</v>
      </c>
      <c r="G149">
        <v>305</v>
      </c>
      <c r="H149" t="s">
        <v>54</v>
      </c>
      <c r="I149">
        <v>3</v>
      </c>
      <c r="J149" t="s">
        <v>50</v>
      </c>
      <c r="O149"/>
    </row>
    <row r="150" spans="1:15" x14ac:dyDescent="0.25">
      <c r="A150" t="s">
        <v>7355</v>
      </c>
      <c r="B150">
        <f>76528.1103539556*(1/100/100)</f>
        <v>7.652811035395561</v>
      </c>
      <c r="C150">
        <v>3042</v>
      </c>
      <c r="D150" t="s">
        <v>2973</v>
      </c>
      <c r="E150">
        <v>30502</v>
      </c>
      <c r="F150" t="s">
        <v>54</v>
      </c>
      <c r="G150">
        <v>305</v>
      </c>
      <c r="H150" t="s">
        <v>54</v>
      </c>
      <c r="I150">
        <v>3</v>
      </c>
      <c r="J150" t="s">
        <v>50</v>
      </c>
      <c r="O150"/>
    </row>
    <row r="151" spans="1:15" x14ac:dyDescent="0.25">
      <c r="A151" t="s">
        <v>7355</v>
      </c>
      <c r="B151">
        <f>96147.4820319592*(1/100/100)</f>
        <v>9.6147482031959193</v>
      </c>
      <c r="C151">
        <v>3043</v>
      </c>
      <c r="D151" t="s">
        <v>480</v>
      </c>
      <c r="E151">
        <v>30536</v>
      </c>
      <c r="F151" t="s">
        <v>480</v>
      </c>
      <c r="G151">
        <v>305</v>
      </c>
      <c r="H151" t="s">
        <v>54</v>
      </c>
      <c r="I151">
        <v>3</v>
      </c>
      <c r="J151" t="s">
        <v>50</v>
      </c>
      <c r="O151"/>
    </row>
    <row r="152" spans="1:15" x14ac:dyDescent="0.25">
      <c r="A152" t="s">
        <v>7355</v>
      </c>
      <c r="B152">
        <f>90992.4141111298*(1/100/100)</f>
        <v>9.0992414111129793</v>
      </c>
      <c r="C152">
        <v>3044</v>
      </c>
      <c r="D152" t="s">
        <v>3068</v>
      </c>
      <c r="E152">
        <v>30538</v>
      </c>
      <c r="F152" t="s">
        <v>481</v>
      </c>
      <c r="G152">
        <v>305</v>
      </c>
      <c r="H152" t="s">
        <v>54</v>
      </c>
      <c r="I152">
        <v>3</v>
      </c>
      <c r="J152" t="s">
        <v>50</v>
      </c>
      <c r="O152"/>
    </row>
    <row r="153" spans="1:15" x14ac:dyDescent="0.25">
      <c r="A153" t="s">
        <v>7355</v>
      </c>
      <c r="B153">
        <f>62057.8531118961*(1/100/100)</f>
        <v>6.2057853111896097</v>
      </c>
      <c r="C153">
        <v>3045</v>
      </c>
      <c r="D153" t="s">
        <v>2951</v>
      </c>
      <c r="E153">
        <v>30521</v>
      </c>
      <c r="F153" t="s">
        <v>474</v>
      </c>
      <c r="G153">
        <v>305</v>
      </c>
      <c r="H153" t="s">
        <v>54</v>
      </c>
      <c r="I153">
        <v>3</v>
      </c>
      <c r="J153" t="s">
        <v>50</v>
      </c>
      <c r="O153"/>
    </row>
    <row r="154" spans="1:15" x14ac:dyDescent="0.25">
      <c r="A154" t="s">
        <v>7355</v>
      </c>
      <c r="B154">
        <f>134847.337568326*(1/100/100)</f>
        <v>13.484733756832602</v>
      </c>
      <c r="C154">
        <v>3046</v>
      </c>
      <c r="D154" t="s">
        <v>483</v>
      </c>
      <c r="E154">
        <v>30541</v>
      </c>
      <c r="F154" t="s">
        <v>483</v>
      </c>
      <c r="G154">
        <v>305</v>
      </c>
      <c r="H154" t="s">
        <v>54</v>
      </c>
      <c r="I154">
        <v>3</v>
      </c>
      <c r="J154" t="s">
        <v>50</v>
      </c>
      <c r="O154"/>
    </row>
    <row r="155" spans="1:15" x14ac:dyDescent="0.25">
      <c r="A155" t="s">
        <v>7355</v>
      </c>
      <c r="B155">
        <f>53845.6888246799*(1/100/100)</f>
        <v>5.38456888246799</v>
      </c>
      <c r="C155">
        <v>3047</v>
      </c>
      <c r="D155" t="s">
        <v>3029</v>
      </c>
      <c r="E155">
        <v>30521</v>
      </c>
      <c r="F155" t="s">
        <v>474</v>
      </c>
      <c r="G155">
        <v>305</v>
      </c>
      <c r="H155" t="s">
        <v>54</v>
      </c>
      <c r="I155">
        <v>3</v>
      </c>
      <c r="J155" t="s">
        <v>50</v>
      </c>
      <c r="O155"/>
    </row>
    <row r="156" spans="1:15" x14ac:dyDescent="0.25">
      <c r="A156" t="s">
        <v>7355</v>
      </c>
      <c r="B156">
        <f>267242.242606364*(1/100/100)</f>
        <v>26.724224260636404</v>
      </c>
      <c r="C156">
        <v>3048</v>
      </c>
      <c r="D156" t="s">
        <v>486</v>
      </c>
      <c r="E156">
        <v>30544</v>
      </c>
      <c r="F156" t="s">
        <v>486</v>
      </c>
      <c r="G156">
        <v>305</v>
      </c>
      <c r="H156" t="s">
        <v>54</v>
      </c>
      <c r="I156">
        <v>3</v>
      </c>
      <c r="J156" t="s">
        <v>50</v>
      </c>
      <c r="O156"/>
    </row>
    <row r="157" spans="1:15" x14ac:dyDescent="0.25">
      <c r="A157" t="s">
        <v>7355</v>
      </c>
      <c r="B157">
        <f>109087.504112739*(1/100/100)</f>
        <v>10.9087504112739</v>
      </c>
      <c r="C157">
        <v>3101</v>
      </c>
      <c r="D157" t="s">
        <v>2988</v>
      </c>
      <c r="E157">
        <v>30509</v>
      </c>
      <c r="F157" t="s">
        <v>465</v>
      </c>
      <c r="G157">
        <v>305</v>
      </c>
      <c r="H157" t="s">
        <v>54</v>
      </c>
      <c r="I157">
        <v>3</v>
      </c>
      <c r="J157" t="s">
        <v>50</v>
      </c>
      <c r="O157"/>
    </row>
    <row r="158" spans="1:15" x14ac:dyDescent="0.25">
      <c r="A158" t="s">
        <v>7355</v>
      </c>
      <c r="B158">
        <f>102228.538499266*(1/100/100)</f>
        <v>10.222853849926601</v>
      </c>
      <c r="C158">
        <v>3102</v>
      </c>
      <c r="D158" t="s">
        <v>3052</v>
      </c>
      <c r="E158">
        <v>30531</v>
      </c>
      <c r="F158" t="s">
        <v>3053</v>
      </c>
      <c r="G158">
        <v>305</v>
      </c>
      <c r="H158" t="s">
        <v>54</v>
      </c>
      <c r="I158">
        <v>3</v>
      </c>
      <c r="J158" t="s">
        <v>50</v>
      </c>
      <c r="O158"/>
    </row>
    <row r="159" spans="1:15" x14ac:dyDescent="0.25">
      <c r="A159" t="s">
        <v>7355</v>
      </c>
      <c r="B159">
        <f>1630.90292763455*(1/100/100)</f>
        <v>0.16309029276345502</v>
      </c>
      <c r="C159">
        <v>3103</v>
      </c>
      <c r="D159" t="s">
        <v>2056</v>
      </c>
      <c r="E159">
        <v>30534</v>
      </c>
      <c r="F159" t="s">
        <v>479</v>
      </c>
      <c r="G159">
        <v>305</v>
      </c>
      <c r="H159" t="s">
        <v>54</v>
      </c>
      <c r="I159">
        <v>3</v>
      </c>
      <c r="J159" t="s">
        <v>50</v>
      </c>
      <c r="O159"/>
    </row>
    <row r="160" spans="1:15" x14ac:dyDescent="0.25">
      <c r="A160" t="s">
        <v>7355</v>
      </c>
      <c r="B160">
        <f>43343.2009602161*(1/100/100)</f>
        <v>4.3343200960216102</v>
      </c>
      <c r="C160">
        <v>3104</v>
      </c>
      <c r="D160" t="s">
        <v>2984</v>
      </c>
      <c r="E160">
        <v>30506</v>
      </c>
      <c r="F160" t="s">
        <v>462</v>
      </c>
      <c r="G160">
        <v>305</v>
      </c>
      <c r="H160" t="s">
        <v>54</v>
      </c>
      <c r="I160">
        <v>3</v>
      </c>
      <c r="J160" t="s">
        <v>50</v>
      </c>
      <c r="O160"/>
    </row>
    <row r="161" spans="1:15" x14ac:dyDescent="0.25">
      <c r="A161" t="s">
        <v>7355</v>
      </c>
      <c r="B161">
        <f>57853.5796293798*(1/100/100)</f>
        <v>5.7853579629379803</v>
      </c>
      <c r="C161">
        <v>3105</v>
      </c>
      <c r="D161" t="s">
        <v>3005</v>
      </c>
      <c r="E161">
        <v>30515</v>
      </c>
      <c r="F161" t="s">
        <v>470</v>
      </c>
      <c r="G161">
        <v>305</v>
      </c>
      <c r="H161" t="s">
        <v>54</v>
      </c>
      <c r="I161">
        <v>3</v>
      </c>
      <c r="J161" t="s">
        <v>50</v>
      </c>
      <c r="O161"/>
    </row>
    <row r="162" spans="1:15" x14ac:dyDescent="0.25">
      <c r="A162" t="s">
        <v>7355</v>
      </c>
      <c r="B162">
        <f>86714.1350383701*(1/100/100)</f>
        <v>8.6714135038370106</v>
      </c>
      <c r="C162">
        <v>3106</v>
      </c>
      <c r="D162" t="s">
        <v>3006</v>
      </c>
      <c r="E162">
        <v>30515</v>
      </c>
      <c r="F162" t="s">
        <v>470</v>
      </c>
      <c r="G162">
        <v>305</v>
      </c>
      <c r="H162" t="s">
        <v>54</v>
      </c>
      <c r="I162">
        <v>3</v>
      </c>
      <c r="J162" t="s">
        <v>50</v>
      </c>
      <c r="O162"/>
    </row>
    <row r="163" spans="1:15" x14ac:dyDescent="0.25">
      <c r="A163" t="s">
        <v>7355</v>
      </c>
      <c r="B163">
        <f>78881.6704649568*(1/100/100)</f>
        <v>7.8881670464956803</v>
      </c>
      <c r="C163">
        <v>3107</v>
      </c>
      <c r="D163" t="s">
        <v>2993</v>
      </c>
      <c r="E163">
        <v>30514</v>
      </c>
      <c r="F163" t="s">
        <v>469</v>
      </c>
      <c r="G163">
        <v>305</v>
      </c>
      <c r="H163" t="s">
        <v>54</v>
      </c>
      <c r="I163">
        <v>3</v>
      </c>
      <c r="J163" t="s">
        <v>50</v>
      </c>
      <c r="O163"/>
    </row>
    <row r="164" spans="1:15" x14ac:dyDescent="0.25">
      <c r="A164" t="s">
        <v>7355</v>
      </c>
      <c r="B164">
        <f>51576.8747881145*(1/100/100)</f>
        <v>5.1576874788114502</v>
      </c>
      <c r="C164">
        <v>3108</v>
      </c>
      <c r="D164" t="s">
        <v>3054</v>
      </c>
      <c r="E164">
        <v>30531</v>
      </c>
      <c r="F164" t="s">
        <v>3053</v>
      </c>
      <c r="G164">
        <v>305</v>
      </c>
      <c r="H164" t="s">
        <v>54</v>
      </c>
      <c r="I164">
        <v>3</v>
      </c>
      <c r="J164" t="s">
        <v>50</v>
      </c>
      <c r="O164"/>
    </row>
    <row r="165" spans="1:15" x14ac:dyDescent="0.25">
      <c r="A165" t="s">
        <v>7355</v>
      </c>
      <c r="B165">
        <f>392938.010810589*(1/100/100)</f>
        <v>39.293801081058902</v>
      </c>
      <c r="C165">
        <v>3109</v>
      </c>
      <c r="D165" t="s">
        <v>464</v>
      </c>
      <c r="E165">
        <v>30508</v>
      </c>
      <c r="F165" t="s">
        <v>464</v>
      </c>
      <c r="G165">
        <v>305</v>
      </c>
      <c r="H165" t="s">
        <v>54</v>
      </c>
      <c r="I165">
        <v>3</v>
      </c>
      <c r="J165" t="s">
        <v>50</v>
      </c>
      <c r="O165"/>
    </row>
    <row r="166" spans="1:15" x14ac:dyDescent="0.25">
      <c r="A166" t="s">
        <v>7355</v>
      </c>
      <c r="B166">
        <f>116190.03384444*(1/100/100)</f>
        <v>11.619003384443999</v>
      </c>
      <c r="C166">
        <v>3110</v>
      </c>
      <c r="D166" t="s">
        <v>3042</v>
      </c>
      <c r="E166">
        <v>30529</v>
      </c>
      <c r="F166" t="s">
        <v>3043</v>
      </c>
      <c r="G166">
        <v>305</v>
      </c>
      <c r="H166" t="s">
        <v>54</v>
      </c>
      <c r="I166">
        <v>3</v>
      </c>
      <c r="J166" t="s">
        <v>50</v>
      </c>
      <c r="O166"/>
    </row>
    <row r="167" spans="1:15" x14ac:dyDescent="0.25">
      <c r="A167" t="s">
        <v>7355</v>
      </c>
      <c r="B167">
        <f>33088.6123570132*(1/100/100)</f>
        <v>3.3088612357013196</v>
      </c>
      <c r="C167">
        <v>3111</v>
      </c>
      <c r="D167" t="s">
        <v>2994</v>
      </c>
      <c r="E167">
        <v>30514</v>
      </c>
      <c r="F167" t="s">
        <v>469</v>
      </c>
      <c r="G167">
        <v>305</v>
      </c>
      <c r="H167" t="s">
        <v>54</v>
      </c>
      <c r="I167">
        <v>3</v>
      </c>
      <c r="J167" t="s">
        <v>50</v>
      </c>
      <c r="O167"/>
    </row>
    <row r="168" spans="1:15" x14ac:dyDescent="0.25">
      <c r="A168" t="s">
        <v>7355</v>
      </c>
      <c r="B168">
        <f>207162.147772942*(1/100/100)</f>
        <v>20.716214777294201</v>
      </c>
      <c r="C168">
        <v>3112</v>
      </c>
      <c r="D168" t="s">
        <v>2995</v>
      </c>
      <c r="E168">
        <v>30514</v>
      </c>
      <c r="F168" t="s">
        <v>469</v>
      </c>
      <c r="G168">
        <v>305</v>
      </c>
      <c r="H168" t="s">
        <v>54</v>
      </c>
      <c r="I168">
        <v>3</v>
      </c>
      <c r="J168" t="s">
        <v>50</v>
      </c>
      <c r="O168"/>
    </row>
    <row r="169" spans="1:15" x14ac:dyDescent="0.25">
      <c r="A169" t="s">
        <v>7355</v>
      </c>
      <c r="B169">
        <f>109888.121076393*(1/100/100)</f>
        <v>10.988812107639301</v>
      </c>
      <c r="C169">
        <v>3113</v>
      </c>
      <c r="D169" t="s">
        <v>470</v>
      </c>
      <c r="E169">
        <v>30515</v>
      </c>
      <c r="F169" t="s">
        <v>470</v>
      </c>
      <c r="G169">
        <v>305</v>
      </c>
      <c r="H169" t="s">
        <v>54</v>
      </c>
      <c r="I169">
        <v>3</v>
      </c>
      <c r="J169" t="s">
        <v>50</v>
      </c>
      <c r="O169"/>
    </row>
    <row r="170" spans="1:15" x14ac:dyDescent="0.25">
      <c r="A170" t="s">
        <v>7355</v>
      </c>
      <c r="B170">
        <f>45201.8485836742*(1/100/100)</f>
        <v>4.5201848583674202</v>
      </c>
      <c r="C170">
        <v>3114</v>
      </c>
      <c r="D170" t="s">
        <v>2996</v>
      </c>
      <c r="E170">
        <v>30514</v>
      </c>
      <c r="F170" t="s">
        <v>469</v>
      </c>
      <c r="G170">
        <v>305</v>
      </c>
      <c r="H170" t="s">
        <v>54</v>
      </c>
      <c r="I170">
        <v>3</v>
      </c>
      <c r="J170" t="s">
        <v>50</v>
      </c>
      <c r="O170"/>
    </row>
    <row r="171" spans="1:15" x14ac:dyDescent="0.25">
      <c r="A171" t="s">
        <v>7355</v>
      </c>
      <c r="B171">
        <f>50530.9702841087*(1/100/100)</f>
        <v>5.0530970284108703</v>
      </c>
      <c r="C171">
        <v>3115</v>
      </c>
      <c r="D171" t="s">
        <v>3055</v>
      </c>
      <c r="E171">
        <v>30531</v>
      </c>
      <c r="F171" t="s">
        <v>3053</v>
      </c>
      <c r="G171">
        <v>305</v>
      </c>
      <c r="H171" t="s">
        <v>54</v>
      </c>
      <c r="I171">
        <v>3</v>
      </c>
      <c r="J171" t="s">
        <v>50</v>
      </c>
      <c r="O171"/>
    </row>
    <row r="172" spans="1:15" x14ac:dyDescent="0.25">
      <c r="A172" t="s">
        <v>7355</v>
      </c>
      <c r="B172">
        <f>65685.5568133581*(1/100/100)</f>
        <v>6.5685556813358099</v>
      </c>
      <c r="C172">
        <v>3116</v>
      </c>
      <c r="D172" t="s">
        <v>2997</v>
      </c>
      <c r="E172">
        <v>30514</v>
      </c>
      <c r="F172" t="s">
        <v>469</v>
      </c>
      <c r="G172">
        <v>305</v>
      </c>
      <c r="H172" t="s">
        <v>54</v>
      </c>
      <c r="I172">
        <v>3</v>
      </c>
      <c r="J172" t="s">
        <v>50</v>
      </c>
      <c r="O172"/>
    </row>
    <row r="173" spans="1:15" x14ac:dyDescent="0.25">
      <c r="A173" t="s">
        <v>7355</v>
      </c>
      <c r="B173">
        <f>43412.7893186706*(1/100/100)</f>
        <v>4.3412789318670599</v>
      </c>
      <c r="C173">
        <v>3117</v>
      </c>
      <c r="D173" t="s">
        <v>2998</v>
      </c>
      <c r="E173">
        <v>30514</v>
      </c>
      <c r="F173" t="s">
        <v>469</v>
      </c>
      <c r="G173">
        <v>305</v>
      </c>
      <c r="H173" t="s">
        <v>54</v>
      </c>
      <c r="I173">
        <v>3</v>
      </c>
      <c r="J173" t="s">
        <v>50</v>
      </c>
      <c r="O173"/>
    </row>
    <row r="174" spans="1:15" x14ac:dyDescent="0.25">
      <c r="A174" t="s">
        <v>7355</v>
      </c>
      <c r="B174">
        <f>35207.5624208874*(1/100/100)</f>
        <v>3.5207562420887402</v>
      </c>
      <c r="C174">
        <v>3118</v>
      </c>
      <c r="D174" t="s">
        <v>2999</v>
      </c>
      <c r="E174">
        <v>30514</v>
      </c>
      <c r="F174" t="s">
        <v>469</v>
      </c>
      <c r="G174">
        <v>305</v>
      </c>
      <c r="H174" t="s">
        <v>54</v>
      </c>
      <c r="I174">
        <v>3</v>
      </c>
      <c r="J174" t="s">
        <v>50</v>
      </c>
      <c r="O174"/>
    </row>
    <row r="175" spans="1:15" x14ac:dyDescent="0.25">
      <c r="A175" t="s">
        <v>7355</v>
      </c>
      <c r="B175">
        <f>73363.2339955565*(1/100/100)</f>
        <v>7.33632339955565</v>
      </c>
      <c r="C175">
        <v>3119</v>
      </c>
      <c r="D175" t="s">
        <v>2145</v>
      </c>
      <c r="E175">
        <v>30534</v>
      </c>
      <c r="F175" t="s">
        <v>479</v>
      </c>
      <c r="G175">
        <v>305</v>
      </c>
      <c r="H175" t="s">
        <v>54</v>
      </c>
      <c r="I175">
        <v>3</v>
      </c>
      <c r="J175" t="s">
        <v>50</v>
      </c>
      <c r="O175"/>
    </row>
    <row r="176" spans="1:15" x14ac:dyDescent="0.25">
      <c r="A176" t="s">
        <v>7355</v>
      </c>
      <c r="B176">
        <f>57986.5558032898*(1/100/100)</f>
        <v>5.7986555803289797</v>
      </c>
      <c r="C176">
        <v>3120</v>
      </c>
      <c r="D176" t="s">
        <v>3061</v>
      </c>
      <c r="E176">
        <v>30534</v>
      </c>
      <c r="F176" t="s">
        <v>479</v>
      </c>
      <c r="G176">
        <v>305</v>
      </c>
      <c r="H176" t="s">
        <v>54</v>
      </c>
      <c r="I176">
        <v>3</v>
      </c>
      <c r="J176" t="s">
        <v>50</v>
      </c>
      <c r="O176"/>
    </row>
    <row r="177" spans="1:15" x14ac:dyDescent="0.25">
      <c r="A177" t="s">
        <v>7355</v>
      </c>
      <c r="B177">
        <f>229480.093185834*(1/100/100)</f>
        <v>22.948009318583402</v>
      </c>
      <c r="C177">
        <v>3121</v>
      </c>
      <c r="D177" t="s">
        <v>3044</v>
      </c>
      <c r="E177">
        <v>30529</v>
      </c>
      <c r="F177" t="s">
        <v>3043</v>
      </c>
      <c r="G177">
        <v>305</v>
      </c>
      <c r="H177" t="s">
        <v>54</v>
      </c>
      <c r="I177">
        <v>3</v>
      </c>
      <c r="J177" t="s">
        <v>50</v>
      </c>
      <c r="O177"/>
    </row>
    <row r="178" spans="1:15" x14ac:dyDescent="0.25">
      <c r="A178" t="s">
        <v>7355</v>
      </c>
      <c r="B178">
        <f>174085.265662014*(1/100/100)</f>
        <v>17.408526566201399</v>
      </c>
      <c r="C178">
        <v>3122</v>
      </c>
      <c r="D178" t="s">
        <v>2985</v>
      </c>
      <c r="E178">
        <v>30506</v>
      </c>
      <c r="F178" t="s">
        <v>462</v>
      </c>
      <c r="G178">
        <v>305</v>
      </c>
      <c r="H178" t="s">
        <v>54</v>
      </c>
      <c r="I178">
        <v>3</v>
      </c>
      <c r="J178" t="s">
        <v>50</v>
      </c>
      <c r="O178"/>
    </row>
    <row r="179" spans="1:15" x14ac:dyDescent="0.25">
      <c r="A179" t="s">
        <v>7355</v>
      </c>
      <c r="B179">
        <f>49314.4249639702*(1/100/100)</f>
        <v>4.9314424963970209</v>
      </c>
      <c r="C179">
        <v>3123</v>
      </c>
      <c r="D179" t="s">
        <v>3000</v>
      </c>
      <c r="E179">
        <v>30514</v>
      </c>
      <c r="F179" t="s">
        <v>469</v>
      </c>
      <c r="G179">
        <v>305</v>
      </c>
      <c r="H179" t="s">
        <v>54</v>
      </c>
      <c r="I179">
        <v>3</v>
      </c>
      <c r="J179" t="s">
        <v>50</v>
      </c>
      <c r="O179"/>
    </row>
    <row r="180" spans="1:15" x14ac:dyDescent="0.25">
      <c r="A180" t="s">
        <v>7355</v>
      </c>
      <c r="B180">
        <f>46408.75460591*(1/100/100)</f>
        <v>4.6408754605910003</v>
      </c>
      <c r="C180">
        <v>3124</v>
      </c>
      <c r="D180" t="s">
        <v>3001</v>
      </c>
      <c r="E180">
        <v>30514</v>
      </c>
      <c r="F180" t="s">
        <v>469</v>
      </c>
      <c r="G180">
        <v>305</v>
      </c>
      <c r="H180" t="s">
        <v>54</v>
      </c>
      <c r="I180">
        <v>3</v>
      </c>
      <c r="J180" t="s">
        <v>50</v>
      </c>
      <c r="O180"/>
    </row>
    <row r="181" spans="1:15" x14ac:dyDescent="0.25">
      <c r="A181" t="s">
        <v>7355</v>
      </c>
      <c r="B181">
        <f>62890.7562280852*(1/100/100)</f>
        <v>6.2890756228085207</v>
      </c>
      <c r="C181">
        <v>3125</v>
      </c>
      <c r="D181" t="s">
        <v>2986</v>
      </c>
      <c r="E181">
        <v>30506</v>
      </c>
      <c r="F181" t="s">
        <v>462</v>
      </c>
      <c r="G181">
        <v>305</v>
      </c>
      <c r="H181" t="s">
        <v>54</v>
      </c>
      <c r="I181">
        <v>3</v>
      </c>
      <c r="J181" t="s">
        <v>50</v>
      </c>
      <c r="O181"/>
    </row>
    <row r="182" spans="1:15" x14ac:dyDescent="0.25">
      <c r="A182" t="s">
        <v>7355</v>
      </c>
      <c r="B182">
        <f>86780.4027892078*(1/100/100)</f>
        <v>8.6780402789207809</v>
      </c>
      <c r="C182">
        <v>3126</v>
      </c>
      <c r="D182" t="s">
        <v>3062</v>
      </c>
      <c r="E182">
        <v>30534</v>
      </c>
      <c r="F182" t="s">
        <v>479</v>
      </c>
      <c r="G182">
        <v>305</v>
      </c>
      <c r="H182" t="s">
        <v>54</v>
      </c>
      <c r="I182">
        <v>3</v>
      </c>
      <c r="J182" t="s">
        <v>50</v>
      </c>
      <c r="O182"/>
    </row>
    <row r="183" spans="1:15" x14ac:dyDescent="0.25">
      <c r="A183" t="s">
        <v>7355</v>
      </c>
      <c r="B183">
        <f>60910.519804281*(1/100/100)</f>
        <v>6.0910519804281007</v>
      </c>
      <c r="C183">
        <v>3127</v>
      </c>
      <c r="D183" t="s">
        <v>3002</v>
      </c>
      <c r="E183">
        <v>30514</v>
      </c>
      <c r="F183" t="s">
        <v>469</v>
      </c>
      <c r="G183">
        <v>305</v>
      </c>
      <c r="H183" t="s">
        <v>54</v>
      </c>
      <c r="I183">
        <v>3</v>
      </c>
      <c r="J183" t="s">
        <v>50</v>
      </c>
      <c r="O183"/>
    </row>
    <row r="184" spans="1:15" x14ac:dyDescent="0.25">
      <c r="A184" t="s">
        <v>7355</v>
      </c>
      <c r="B184">
        <f>118356.610994949*(1/100/100)</f>
        <v>11.835661099494901</v>
      </c>
      <c r="C184">
        <v>3128</v>
      </c>
      <c r="D184" t="s">
        <v>3056</v>
      </c>
      <c r="E184">
        <v>30531</v>
      </c>
      <c r="F184" t="s">
        <v>3053</v>
      </c>
      <c r="G184">
        <v>305</v>
      </c>
      <c r="H184" t="s">
        <v>54</v>
      </c>
      <c r="I184">
        <v>3</v>
      </c>
      <c r="J184" t="s">
        <v>50</v>
      </c>
      <c r="O184"/>
    </row>
    <row r="185" spans="1:15" x14ac:dyDescent="0.25">
      <c r="A185" t="s">
        <v>7355</v>
      </c>
      <c r="B185">
        <f>158704.664558158*(1/100/100)</f>
        <v>15.8704664558158</v>
      </c>
      <c r="C185">
        <v>3129</v>
      </c>
      <c r="D185" t="s">
        <v>2989</v>
      </c>
      <c r="E185">
        <v>30509</v>
      </c>
      <c r="F185" t="s">
        <v>465</v>
      </c>
      <c r="G185">
        <v>305</v>
      </c>
      <c r="H185" t="s">
        <v>54</v>
      </c>
      <c r="I185">
        <v>3</v>
      </c>
      <c r="J185" t="s">
        <v>50</v>
      </c>
      <c r="O185"/>
    </row>
    <row r="186" spans="1:15" x14ac:dyDescent="0.25">
      <c r="A186" t="s">
        <v>7355</v>
      </c>
      <c r="B186">
        <f>36559.6748436476*(1/100/100)</f>
        <v>3.6559674843647598</v>
      </c>
      <c r="C186">
        <v>3130</v>
      </c>
      <c r="D186" t="s">
        <v>3003</v>
      </c>
      <c r="E186">
        <v>30514</v>
      </c>
      <c r="F186" t="s">
        <v>469</v>
      </c>
      <c r="G186">
        <v>305</v>
      </c>
      <c r="H186" t="s">
        <v>54</v>
      </c>
      <c r="I186">
        <v>3</v>
      </c>
      <c r="J186" t="s">
        <v>50</v>
      </c>
      <c r="O186"/>
    </row>
    <row r="187" spans="1:15" x14ac:dyDescent="0.25">
      <c r="A187" t="s">
        <v>7355</v>
      </c>
      <c r="B187">
        <f>47693.0452463456*(1/100/100)</f>
        <v>4.7693045246345607</v>
      </c>
      <c r="C187">
        <v>3131</v>
      </c>
      <c r="D187" t="s">
        <v>3004</v>
      </c>
      <c r="E187">
        <v>30514</v>
      </c>
      <c r="F187" t="s">
        <v>469</v>
      </c>
      <c r="G187">
        <v>305</v>
      </c>
      <c r="H187" t="s">
        <v>54</v>
      </c>
      <c r="I187">
        <v>3</v>
      </c>
      <c r="J187" t="s">
        <v>50</v>
      </c>
      <c r="O187"/>
    </row>
    <row r="188" spans="1:15" x14ac:dyDescent="0.25">
      <c r="A188" t="s">
        <v>7355</v>
      </c>
      <c r="B188">
        <f>54794.4013771786*(1/100/100)</f>
        <v>5.4794401377178596</v>
      </c>
      <c r="C188">
        <v>3132</v>
      </c>
      <c r="D188" t="s">
        <v>3007</v>
      </c>
      <c r="E188">
        <v>30515</v>
      </c>
      <c r="F188" t="s">
        <v>470</v>
      </c>
      <c r="G188">
        <v>305</v>
      </c>
      <c r="H188" t="s">
        <v>54</v>
      </c>
      <c r="I188">
        <v>3</v>
      </c>
      <c r="J188" t="s">
        <v>50</v>
      </c>
      <c r="O188"/>
    </row>
    <row r="189" spans="1:15" x14ac:dyDescent="0.25">
      <c r="A189" t="s">
        <v>7355</v>
      </c>
      <c r="B189">
        <f>73889.3628869915*(1/100/100)</f>
        <v>7.3889362886991501</v>
      </c>
      <c r="C189">
        <v>3133</v>
      </c>
      <c r="D189" t="s">
        <v>479</v>
      </c>
      <c r="E189">
        <v>30534</v>
      </c>
      <c r="F189" t="s">
        <v>479</v>
      </c>
      <c r="G189">
        <v>305</v>
      </c>
      <c r="H189" t="s">
        <v>54</v>
      </c>
      <c r="I189">
        <v>3</v>
      </c>
      <c r="J189" t="s">
        <v>50</v>
      </c>
      <c r="O189"/>
    </row>
    <row r="190" spans="1:15" x14ac:dyDescent="0.25">
      <c r="A190" t="s">
        <v>7355</v>
      </c>
      <c r="B190">
        <f>76574.2945155779*(1/100/100)</f>
        <v>7.6574294515577908</v>
      </c>
      <c r="C190">
        <v>3134</v>
      </c>
      <c r="D190" t="s">
        <v>3063</v>
      </c>
      <c r="E190">
        <v>30534</v>
      </c>
      <c r="F190" t="s">
        <v>479</v>
      </c>
      <c r="G190">
        <v>305</v>
      </c>
      <c r="H190" t="s">
        <v>54</v>
      </c>
      <c r="I190">
        <v>3</v>
      </c>
      <c r="J190" t="s">
        <v>50</v>
      </c>
      <c r="O190"/>
    </row>
    <row r="191" spans="1:15" x14ac:dyDescent="0.25">
      <c r="A191" t="s">
        <v>7355</v>
      </c>
      <c r="B191">
        <f>457046.647532809*(1/100/100)</f>
        <v>45.704664753280902</v>
      </c>
      <c r="C191">
        <v>3135</v>
      </c>
      <c r="D191" t="s">
        <v>3057</v>
      </c>
      <c r="E191">
        <v>30531</v>
      </c>
      <c r="F191" t="s">
        <v>3053</v>
      </c>
      <c r="G191">
        <v>305</v>
      </c>
      <c r="H191" t="s">
        <v>54</v>
      </c>
      <c r="I191">
        <v>3</v>
      </c>
      <c r="J191" t="s">
        <v>50</v>
      </c>
      <c r="O191"/>
    </row>
    <row r="192" spans="1:15" x14ac:dyDescent="0.25">
      <c r="A192" t="s">
        <v>7355</v>
      </c>
      <c r="B192">
        <f>66230.0020356546*(1/100/100)</f>
        <v>6.6230002035654607</v>
      </c>
      <c r="C192">
        <v>3136</v>
      </c>
      <c r="D192" t="s">
        <v>3008</v>
      </c>
      <c r="E192">
        <v>30515</v>
      </c>
      <c r="F192" t="s">
        <v>470</v>
      </c>
      <c r="G192">
        <v>305</v>
      </c>
      <c r="H192" t="s">
        <v>54</v>
      </c>
      <c r="I192">
        <v>3</v>
      </c>
      <c r="J192" t="s">
        <v>50</v>
      </c>
      <c r="O192"/>
    </row>
    <row r="193" spans="1:15" x14ac:dyDescent="0.25">
      <c r="A193" t="s">
        <v>7355</v>
      </c>
      <c r="B193">
        <f>294560.337334053*(1/100/100)</f>
        <v>29.456033733405302</v>
      </c>
      <c r="C193">
        <v>3137</v>
      </c>
      <c r="D193" t="s">
        <v>3053</v>
      </c>
      <c r="E193">
        <v>30531</v>
      </c>
      <c r="F193" t="s">
        <v>3053</v>
      </c>
      <c r="G193">
        <v>305</v>
      </c>
      <c r="H193" t="s">
        <v>54</v>
      </c>
      <c r="I193">
        <v>3</v>
      </c>
      <c r="J193" t="s">
        <v>50</v>
      </c>
      <c r="O193"/>
    </row>
    <row r="194" spans="1:15" x14ac:dyDescent="0.25">
      <c r="A194" t="s">
        <v>7355</v>
      </c>
      <c r="B194">
        <f>78592.0068664063*(1/100/100)</f>
        <v>7.8592006866406301</v>
      </c>
      <c r="C194">
        <v>3138</v>
      </c>
      <c r="D194" t="s">
        <v>3009</v>
      </c>
      <c r="E194">
        <v>30515</v>
      </c>
      <c r="F194" t="s">
        <v>470</v>
      </c>
      <c r="G194">
        <v>305</v>
      </c>
      <c r="H194" t="s">
        <v>54</v>
      </c>
      <c r="I194">
        <v>3</v>
      </c>
      <c r="J194" t="s">
        <v>50</v>
      </c>
      <c r="O194"/>
    </row>
    <row r="195" spans="1:15" x14ac:dyDescent="0.25">
      <c r="A195" t="s">
        <v>7355</v>
      </c>
      <c r="B195">
        <f>109876.607810089*(1/100/100)</f>
        <v>10.9876607810089</v>
      </c>
      <c r="C195">
        <v>3139</v>
      </c>
      <c r="D195" t="s">
        <v>2987</v>
      </c>
      <c r="E195">
        <v>30506</v>
      </c>
      <c r="F195" t="s">
        <v>462</v>
      </c>
      <c r="G195">
        <v>305</v>
      </c>
      <c r="H195" t="s">
        <v>54</v>
      </c>
      <c r="I195">
        <v>3</v>
      </c>
      <c r="J195" t="s">
        <v>50</v>
      </c>
      <c r="O195"/>
    </row>
    <row r="196" spans="1:15" x14ac:dyDescent="0.25">
      <c r="A196" t="s">
        <v>7355</v>
      </c>
      <c r="B196">
        <f>56021.690852482*(1/100/100)</f>
        <v>5.6021690852482005</v>
      </c>
      <c r="C196">
        <v>3201</v>
      </c>
      <c r="D196" t="s">
        <v>2978</v>
      </c>
      <c r="E196">
        <v>30504</v>
      </c>
      <c r="F196" t="s">
        <v>461</v>
      </c>
      <c r="G196">
        <v>305</v>
      </c>
      <c r="H196" t="s">
        <v>54</v>
      </c>
      <c r="I196">
        <v>3</v>
      </c>
      <c r="J196" t="s">
        <v>50</v>
      </c>
      <c r="O196"/>
    </row>
    <row r="197" spans="1:15" x14ac:dyDescent="0.25">
      <c r="A197" t="s">
        <v>7355</v>
      </c>
      <c r="B197">
        <f>74058.8941572666*(1/100/100)</f>
        <v>7.4058894157266595</v>
      </c>
      <c r="C197">
        <v>3202</v>
      </c>
      <c r="D197" t="s">
        <v>2979</v>
      </c>
      <c r="E197">
        <v>30504</v>
      </c>
      <c r="F197" t="s">
        <v>461</v>
      </c>
      <c r="G197">
        <v>305</v>
      </c>
      <c r="H197" t="s">
        <v>54</v>
      </c>
      <c r="I197">
        <v>3</v>
      </c>
      <c r="J197" t="s">
        <v>50</v>
      </c>
      <c r="O197"/>
    </row>
    <row r="198" spans="1:15" x14ac:dyDescent="0.25">
      <c r="A198" t="s">
        <v>7355</v>
      </c>
      <c r="B198">
        <f>164832.516303957*(1/100/100)</f>
        <v>16.483251630395703</v>
      </c>
      <c r="C198">
        <v>3203</v>
      </c>
      <c r="D198" t="s">
        <v>2980</v>
      </c>
      <c r="E198">
        <v>30504</v>
      </c>
      <c r="F198" t="s">
        <v>461</v>
      </c>
      <c r="G198">
        <v>305</v>
      </c>
      <c r="H198" t="s">
        <v>54</v>
      </c>
      <c r="I198">
        <v>3</v>
      </c>
      <c r="J198" t="s">
        <v>50</v>
      </c>
      <c r="O198"/>
    </row>
    <row r="199" spans="1:15" x14ac:dyDescent="0.25">
      <c r="A199" t="s">
        <v>7355</v>
      </c>
      <c r="B199">
        <f>83177.7645523525*(1/100/100)</f>
        <v>8.3177764552352507</v>
      </c>
      <c r="C199">
        <v>3204</v>
      </c>
      <c r="D199" t="s">
        <v>2981</v>
      </c>
      <c r="E199">
        <v>30504</v>
      </c>
      <c r="F199" t="s">
        <v>461</v>
      </c>
      <c r="G199">
        <v>305</v>
      </c>
      <c r="H199" t="s">
        <v>54</v>
      </c>
      <c r="I199">
        <v>3</v>
      </c>
      <c r="J199" t="s">
        <v>50</v>
      </c>
      <c r="O199"/>
    </row>
    <row r="200" spans="1:15" x14ac:dyDescent="0.25">
      <c r="A200" t="s">
        <v>7355</v>
      </c>
      <c r="B200">
        <f>338410.528452512*(1/100/100)</f>
        <v>33.841052845251198</v>
      </c>
      <c r="C200">
        <v>3205</v>
      </c>
      <c r="D200" t="s">
        <v>463</v>
      </c>
      <c r="E200">
        <v>30507</v>
      </c>
      <c r="F200" t="s">
        <v>463</v>
      </c>
      <c r="G200">
        <v>305</v>
      </c>
      <c r="H200" t="s">
        <v>54</v>
      </c>
      <c r="I200">
        <v>3</v>
      </c>
      <c r="J200" t="s">
        <v>50</v>
      </c>
      <c r="O200"/>
    </row>
    <row r="201" spans="1:15" x14ac:dyDescent="0.25">
      <c r="A201" t="s">
        <v>7355</v>
      </c>
      <c r="B201">
        <f>146926.059529377*(1/100/100)</f>
        <v>14.692605952937701</v>
      </c>
      <c r="C201">
        <v>3206</v>
      </c>
      <c r="D201" t="s">
        <v>2223</v>
      </c>
      <c r="E201">
        <v>30542</v>
      </c>
      <c r="F201" t="s">
        <v>484</v>
      </c>
      <c r="G201">
        <v>305</v>
      </c>
      <c r="H201" t="s">
        <v>54</v>
      </c>
      <c r="I201">
        <v>3</v>
      </c>
      <c r="J201" t="s">
        <v>50</v>
      </c>
      <c r="O201"/>
    </row>
    <row r="202" spans="1:15" x14ac:dyDescent="0.25">
      <c r="A202" t="s">
        <v>7355</v>
      </c>
      <c r="B202">
        <f>151602.882758375*(1/100/100)</f>
        <v>15.1602882758375</v>
      </c>
      <c r="C202">
        <v>3207</v>
      </c>
      <c r="D202" t="s">
        <v>466</v>
      </c>
      <c r="E202">
        <v>30510</v>
      </c>
      <c r="F202" t="s">
        <v>466</v>
      </c>
      <c r="G202">
        <v>305</v>
      </c>
      <c r="H202" t="s">
        <v>54</v>
      </c>
      <c r="I202">
        <v>3</v>
      </c>
      <c r="J202" t="s">
        <v>50</v>
      </c>
      <c r="O202"/>
    </row>
    <row r="203" spans="1:15" x14ac:dyDescent="0.25">
      <c r="A203" t="s">
        <v>7355</v>
      </c>
      <c r="B203">
        <f>53815.0086935689*(1/100/100)</f>
        <v>5.3815008693568904</v>
      </c>
      <c r="C203">
        <v>3208</v>
      </c>
      <c r="D203" t="s">
        <v>3069</v>
      </c>
      <c r="E203">
        <v>30539</v>
      </c>
      <c r="F203" t="s">
        <v>482</v>
      </c>
      <c r="G203">
        <v>305</v>
      </c>
      <c r="H203" t="s">
        <v>54</v>
      </c>
      <c r="I203">
        <v>3</v>
      </c>
      <c r="J203" t="s">
        <v>50</v>
      </c>
      <c r="O203"/>
    </row>
    <row r="204" spans="1:15" x14ac:dyDescent="0.25">
      <c r="A204" t="s">
        <v>7355</v>
      </c>
      <c r="B204">
        <f>73683.4407107668*(1/100/100)</f>
        <v>7.3683440710766801</v>
      </c>
      <c r="C204">
        <v>3209</v>
      </c>
      <c r="D204" t="s">
        <v>3070</v>
      </c>
      <c r="E204">
        <v>30539</v>
      </c>
      <c r="F204" t="s">
        <v>482</v>
      </c>
      <c r="G204">
        <v>305</v>
      </c>
      <c r="H204" t="s">
        <v>54</v>
      </c>
      <c r="I204">
        <v>3</v>
      </c>
      <c r="J204" t="s">
        <v>50</v>
      </c>
      <c r="O204"/>
    </row>
    <row r="205" spans="1:15" x14ac:dyDescent="0.25">
      <c r="A205" t="s">
        <v>7355</v>
      </c>
      <c r="B205">
        <f>34104.3869916467*(1/100/100)</f>
        <v>3.4104386991646702</v>
      </c>
      <c r="C205">
        <v>3210</v>
      </c>
      <c r="D205" t="s">
        <v>3045</v>
      </c>
      <c r="E205">
        <v>30530</v>
      </c>
      <c r="F205" t="s">
        <v>3046</v>
      </c>
      <c r="G205">
        <v>305</v>
      </c>
      <c r="H205" t="s">
        <v>54</v>
      </c>
      <c r="I205">
        <v>3</v>
      </c>
      <c r="J205" t="s">
        <v>50</v>
      </c>
      <c r="O205"/>
    </row>
    <row r="206" spans="1:15" x14ac:dyDescent="0.25">
      <c r="A206" t="s">
        <v>7355</v>
      </c>
      <c r="B206">
        <f>58168.8318159445*(1/100/100)</f>
        <v>5.8168831815944504</v>
      </c>
      <c r="C206">
        <v>3211</v>
      </c>
      <c r="D206" t="s">
        <v>3071</v>
      </c>
      <c r="E206">
        <v>30539</v>
      </c>
      <c r="F206" t="s">
        <v>482</v>
      </c>
      <c r="G206">
        <v>305</v>
      </c>
      <c r="H206" t="s">
        <v>54</v>
      </c>
      <c r="I206">
        <v>3</v>
      </c>
      <c r="J206" t="s">
        <v>50</v>
      </c>
      <c r="O206"/>
    </row>
    <row r="207" spans="1:15" x14ac:dyDescent="0.25">
      <c r="A207" t="s">
        <v>7355</v>
      </c>
      <c r="B207">
        <f>87106.9556793598*(1/100/100)</f>
        <v>8.7106955679359803</v>
      </c>
      <c r="C207">
        <v>3212</v>
      </c>
      <c r="D207" t="s">
        <v>3047</v>
      </c>
      <c r="E207">
        <v>30530</v>
      </c>
      <c r="F207" t="s">
        <v>3046</v>
      </c>
      <c r="G207">
        <v>305</v>
      </c>
      <c r="H207" t="s">
        <v>54</v>
      </c>
      <c r="I207">
        <v>3</v>
      </c>
      <c r="J207" t="s">
        <v>50</v>
      </c>
      <c r="O207"/>
    </row>
    <row r="208" spans="1:15" x14ac:dyDescent="0.25">
      <c r="A208" t="s">
        <v>7355</v>
      </c>
      <c r="B208">
        <f>67262.3076209082*(1/100/100)</f>
        <v>6.7262307620908208</v>
      </c>
      <c r="C208">
        <v>3213</v>
      </c>
      <c r="D208" t="s">
        <v>2982</v>
      </c>
      <c r="E208">
        <v>30504</v>
      </c>
      <c r="F208" t="s">
        <v>461</v>
      </c>
      <c r="G208">
        <v>305</v>
      </c>
      <c r="H208" t="s">
        <v>54</v>
      </c>
      <c r="I208">
        <v>3</v>
      </c>
      <c r="J208" t="s">
        <v>50</v>
      </c>
      <c r="O208"/>
    </row>
    <row r="209" spans="1:15" x14ac:dyDescent="0.25">
      <c r="A209" t="s">
        <v>7355</v>
      </c>
      <c r="B209">
        <f>126623.237537792*(1/100/100)</f>
        <v>12.6623237537792</v>
      </c>
      <c r="C209">
        <v>3214</v>
      </c>
      <c r="D209" t="s">
        <v>3048</v>
      </c>
      <c r="E209">
        <v>30530</v>
      </c>
      <c r="F209" t="s">
        <v>3046</v>
      </c>
      <c r="G209">
        <v>305</v>
      </c>
      <c r="H209" t="s">
        <v>54</v>
      </c>
      <c r="I209">
        <v>3</v>
      </c>
      <c r="J209" t="s">
        <v>50</v>
      </c>
      <c r="O209"/>
    </row>
    <row r="210" spans="1:15" x14ac:dyDescent="0.25">
      <c r="A210" t="s">
        <v>7355</v>
      </c>
      <c r="B210">
        <f>112070.819809259*(1/100/100)</f>
        <v>11.207081980925901</v>
      </c>
      <c r="C210">
        <v>3215</v>
      </c>
      <c r="D210" t="s">
        <v>3074</v>
      </c>
      <c r="E210">
        <v>30542</v>
      </c>
      <c r="F210" t="s">
        <v>484</v>
      </c>
      <c r="G210">
        <v>305</v>
      </c>
      <c r="H210" t="s">
        <v>54</v>
      </c>
      <c r="I210">
        <v>3</v>
      </c>
      <c r="J210" t="s">
        <v>50</v>
      </c>
      <c r="O210"/>
    </row>
    <row r="211" spans="1:15" x14ac:dyDescent="0.25">
      <c r="A211" t="s">
        <v>7355</v>
      </c>
      <c r="B211">
        <f>121810.239587317*(1/100/100)</f>
        <v>12.1810239587317</v>
      </c>
      <c r="C211">
        <v>3216</v>
      </c>
      <c r="D211" t="s">
        <v>3049</v>
      </c>
      <c r="E211">
        <v>30530</v>
      </c>
      <c r="F211" t="s">
        <v>3046</v>
      </c>
      <c r="G211">
        <v>305</v>
      </c>
      <c r="H211" t="s">
        <v>54</v>
      </c>
      <c r="I211">
        <v>3</v>
      </c>
      <c r="J211" t="s">
        <v>50</v>
      </c>
      <c r="O211"/>
    </row>
    <row r="212" spans="1:15" x14ac:dyDescent="0.25">
      <c r="A212" t="s">
        <v>7355</v>
      </c>
      <c r="B212">
        <f>127466.348856537*(1/100/100)</f>
        <v>12.746634885653702</v>
      </c>
      <c r="C212">
        <v>3217</v>
      </c>
      <c r="D212" t="s">
        <v>2983</v>
      </c>
      <c r="E212">
        <v>30504</v>
      </c>
      <c r="F212" t="s">
        <v>461</v>
      </c>
      <c r="G212">
        <v>305</v>
      </c>
      <c r="H212" t="s">
        <v>54</v>
      </c>
      <c r="I212">
        <v>3</v>
      </c>
      <c r="J212" t="s">
        <v>50</v>
      </c>
      <c r="O212"/>
    </row>
    <row r="213" spans="1:15" x14ac:dyDescent="0.25">
      <c r="A213" t="s">
        <v>7355</v>
      </c>
      <c r="B213">
        <f>157900.904441334*(1/100/100)</f>
        <v>15.7900904441334</v>
      </c>
      <c r="C213">
        <v>3218</v>
      </c>
      <c r="D213" t="s">
        <v>3050</v>
      </c>
      <c r="E213">
        <v>30530</v>
      </c>
      <c r="F213" t="s">
        <v>3046</v>
      </c>
      <c r="G213">
        <v>305</v>
      </c>
      <c r="H213" t="s">
        <v>54</v>
      </c>
      <c r="I213">
        <v>3</v>
      </c>
      <c r="J213" t="s">
        <v>50</v>
      </c>
      <c r="O213"/>
    </row>
    <row r="214" spans="1:15" x14ac:dyDescent="0.25">
      <c r="A214" t="s">
        <v>7355</v>
      </c>
      <c r="B214">
        <f>159072.060303828*(1/100/100)</f>
        <v>15.907206030382802</v>
      </c>
      <c r="C214">
        <v>3219</v>
      </c>
      <c r="D214" t="s">
        <v>3051</v>
      </c>
      <c r="E214">
        <v>30530</v>
      </c>
      <c r="F214" t="s">
        <v>3046</v>
      </c>
      <c r="G214">
        <v>305</v>
      </c>
      <c r="H214" t="s">
        <v>54</v>
      </c>
      <c r="I214">
        <v>3</v>
      </c>
      <c r="J214" t="s">
        <v>50</v>
      </c>
      <c r="O214"/>
    </row>
    <row r="215" spans="1:15" x14ac:dyDescent="0.25">
      <c r="A215" t="s">
        <v>7355</v>
      </c>
      <c r="B215">
        <f>52811.0995963234*(1/100/100)</f>
        <v>5.2811099596323405</v>
      </c>
      <c r="C215">
        <v>3220</v>
      </c>
      <c r="D215" t="s">
        <v>87</v>
      </c>
      <c r="E215">
        <v>30539</v>
      </c>
      <c r="F215" t="s">
        <v>482</v>
      </c>
      <c r="G215">
        <v>305</v>
      </c>
      <c r="H215" t="s">
        <v>54</v>
      </c>
      <c r="I215">
        <v>3</v>
      </c>
      <c r="J215" t="s">
        <v>50</v>
      </c>
      <c r="O215"/>
    </row>
    <row r="216" spans="1:15" x14ac:dyDescent="0.25">
      <c r="A216" t="s">
        <v>7355</v>
      </c>
      <c r="B216">
        <f>33065.6646030626*(1/100/100)</f>
        <v>3.3065664603062603</v>
      </c>
      <c r="C216">
        <v>3221</v>
      </c>
      <c r="D216" t="s">
        <v>3072</v>
      </c>
      <c r="E216">
        <v>30539</v>
      </c>
      <c r="F216" t="s">
        <v>482</v>
      </c>
      <c r="G216">
        <v>305</v>
      </c>
      <c r="H216" t="s">
        <v>54</v>
      </c>
      <c r="I216">
        <v>3</v>
      </c>
      <c r="J216" t="s">
        <v>50</v>
      </c>
      <c r="O216"/>
    </row>
    <row r="217" spans="1:15" x14ac:dyDescent="0.25">
      <c r="A217" t="s">
        <v>7355</v>
      </c>
      <c r="B217">
        <f>326759.013559371*(1/100/100)</f>
        <v>32.6759013559371</v>
      </c>
      <c r="C217">
        <v>3222</v>
      </c>
      <c r="D217" t="s">
        <v>3058</v>
      </c>
      <c r="E217">
        <v>30532</v>
      </c>
      <c r="F217" t="s">
        <v>477</v>
      </c>
      <c r="G217">
        <v>305</v>
      </c>
      <c r="H217" t="s">
        <v>54</v>
      </c>
      <c r="I217">
        <v>3</v>
      </c>
      <c r="J217" t="s">
        <v>50</v>
      </c>
      <c r="O217"/>
    </row>
    <row r="218" spans="1:15" x14ac:dyDescent="0.25">
      <c r="A218" t="s">
        <v>7355</v>
      </c>
      <c r="B218">
        <f>138569.256821442*(1/100/100)</f>
        <v>13.856925682144199</v>
      </c>
      <c r="C218">
        <v>3223</v>
      </c>
      <c r="D218" t="s">
        <v>3059</v>
      </c>
      <c r="E218">
        <v>30532</v>
      </c>
      <c r="F218" t="s">
        <v>477</v>
      </c>
      <c r="G218">
        <v>305</v>
      </c>
      <c r="H218" t="s">
        <v>54</v>
      </c>
      <c r="I218">
        <v>3</v>
      </c>
      <c r="J218" t="s">
        <v>50</v>
      </c>
      <c r="O218"/>
    </row>
    <row r="219" spans="1:15" x14ac:dyDescent="0.25">
      <c r="A219" t="s">
        <v>7355</v>
      </c>
      <c r="B219">
        <f>124265.639853759*(1/100/100)</f>
        <v>12.4265639853759</v>
      </c>
      <c r="C219">
        <v>3224</v>
      </c>
      <c r="D219" t="s">
        <v>482</v>
      </c>
      <c r="E219">
        <v>30539</v>
      </c>
      <c r="F219" t="s">
        <v>482</v>
      </c>
      <c r="G219">
        <v>305</v>
      </c>
      <c r="H219" t="s">
        <v>54</v>
      </c>
      <c r="I219">
        <v>3</v>
      </c>
      <c r="J219" t="s">
        <v>50</v>
      </c>
      <c r="O219"/>
    </row>
    <row r="220" spans="1:15" x14ac:dyDescent="0.25">
      <c r="A220" t="s">
        <v>7355</v>
      </c>
      <c r="B220">
        <f>121418.32023085*(1/100/100)</f>
        <v>12.141832023085001</v>
      </c>
      <c r="C220">
        <v>3225</v>
      </c>
      <c r="D220" t="s">
        <v>484</v>
      </c>
      <c r="E220">
        <v>30542</v>
      </c>
      <c r="F220" t="s">
        <v>484</v>
      </c>
      <c r="G220">
        <v>305</v>
      </c>
      <c r="H220" t="s">
        <v>54</v>
      </c>
      <c r="I220">
        <v>3</v>
      </c>
      <c r="J220" t="s">
        <v>50</v>
      </c>
      <c r="O220"/>
    </row>
    <row r="221" spans="1:15" x14ac:dyDescent="0.25">
      <c r="A221" t="s">
        <v>7355</v>
      </c>
      <c r="B221">
        <f>212524.616622658*(1/100/100)</f>
        <v>21.252461662265802</v>
      </c>
      <c r="C221">
        <v>3301</v>
      </c>
      <c r="D221" t="s">
        <v>459</v>
      </c>
      <c r="E221">
        <v>30501</v>
      </c>
      <c r="F221" t="s">
        <v>459</v>
      </c>
      <c r="G221">
        <v>305</v>
      </c>
      <c r="H221" t="s">
        <v>54</v>
      </c>
      <c r="I221">
        <v>3</v>
      </c>
      <c r="J221" t="s">
        <v>50</v>
      </c>
      <c r="O221"/>
    </row>
    <row r="222" spans="1:15" x14ac:dyDescent="0.25">
      <c r="A222" t="s">
        <v>7355</v>
      </c>
      <c r="B222">
        <f>62616.5668639586*(1/100/100)</f>
        <v>6.2616566863958605</v>
      </c>
      <c r="C222">
        <v>3302</v>
      </c>
      <c r="D222" t="s">
        <v>3060</v>
      </c>
      <c r="E222">
        <v>30533</v>
      </c>
      <c r="F222" t="s">
        <v>478</v>
      </c>
      <c r="G222">
        <v>305</v>
      </c>
      <c r="H222" t="s">
        <v>54</v>
      </c>
      <c r="I222">
        <v>3</v>
      </c>
      <c r="J222" t="s">
        <v>50</v>
      </c>
      <c r="O222"/>
    </row>
    <row r="223" spans="1:15" x14ac:dyDescent="0.25">
      <c r="A223" t="s">
        <v>7355</v>
      </c>
      <c r="B223">
        <f>19668.9151645534*(1/100/100)</f>
        <v>1.9668915164553402</v>
      </c>
      <c r="C223">
        <v>3303</v>
      </c>
      <c r="D223" t="s">
        <v>3010</v>
      </c>
      <c r="E223">
        <v>30516</v>
      </c>
      <c r="F223" t="s">
        <v>471</v>
      </c>
      <c r="G223">
        <v>305</v>
      </c>
      <c r="H223" t="s">
        <v>54</v>
      </c>
      <c r="I223">
        <v>3</v>
      </c>
      <c r="J223" t="s">
        <v>50</v>
      </c>
      <c r="O223"/>
    </row>
    <row r="224" spans="1:15" x14ac:dyDescent="0.25">
      <c r="A224" t="s">
        <v>7355</v>
      </c>
      <c r="B224">
        <f>140298.395369568*(1/100/100)</f>
        <v>14.0298395369568</v>
      </c>
      <c r="C224">
        <v>3304</v>
      </c>
      <c r="D224" t="s">
        <v>3011</v>
      </c>
      <c r="E224">
        <v>30516</v>
      </c>
      <c r="F224" t="s">
        <v>471</v>
      </c>
      <c r="G224">
        <v>305</v>
      </c>
      <c r="H224" t="s">
        <v>54</v>
      </c>
      <c r="I224">
        <v>3</v>
      </c>
      <c r="J224" t="s">
        <v>50</v>
      </c>
      <c r="O224"/>
    </row>
    <row r="225" spans="1:15" x14ac:dyDescent="0.25">
      <c r="A225" t="s">
        <v>7355</v>
      </c>
      <c r="B225">
        <f>72504.0855926712*(1/100/100)</f>
        <v>7.2504085592671199</v>
      </c>
      <c r="C225">
        <v>3305</v>
      </c>
      <c r="D225" t="s">
        <v>3075</v>
      </c>
      <c r="E225">
        <v>30543</v>
      </c>
      <c r="F225" t="s">
        <v>485</v>
      </c>
      <c r="G225">
        <v>305</v>
      </c>
      <c r="H225" t="s">
        <v>54</v>
      </c>
      <c r="I225">
        <v>3</v>
      </c>
      <c r="J225" t="s">
        <v>50</v>
      </c>
      <c r="O225"/>
    </row>
    <row r="226" spans="1:15" x14ac:dyDescent="0.25">
      <c r="A226" t="s">
        <v>7355</v>
      </c>
      <c r="B226">
        <f>15803.4694322447*(1/100/100)</f>
        <v>1.5803469432244701</v>
      </c>
      <c r="C226">
        <v>3306</v>
      </c>
      <c r="D226" t="s">
        <v>3034</v>
      </c>
      <c r="E226">
        <v>30526</v>
      </c>
      <c r="F226" t="s">
        <v>3035</v>
      </c>
      <c r="G226">
        <v>305</v>
      </c>
      <c r="H226" t="s">
        <v>54</v>
      </c>
      <c r="I226">
        <v>3</v>
      </c>
      <c r="J226" t="s">
        <v>50</v>
      </c>
      <c r="O226"/>
    </row>
    <row r="227" spans="1:15" x14ac:dyDescent="0.25">
      <c r="A227" t="s">
        <v>7355</v>
      </c>
      <c r="B227">
        <f>21983.5121097466*(1/100/100)</f>
        <v>2.1983512109746601</v>
      </c>
      <c r="C227">
        <v>3307</v>
      </c>
      <c r="D227" t="s">
        <v>3036</v>
      </c>
      <c r="E227">
        <v>30526</v>
      </c>
      <c r="F227" t="s">
        <v>3035</v>
      </c>
      <c r="G227">
        <v>305</v>
      </c>
      <c r="H227" t="s">
        <v>54</v>
      </c>
      <c r="I227">
        <v>3</v>
      </c>
      <c r="J227" t="s">
        <v>50</v>
      </c>
      <c r="O227"/>
    </row>
    <row r="228" spans="1:15" x14ac:dyDescent="0.25">
      <c r="A228" t="s">
        <v>7355</v>
      </c>
      <c r="B228">
        <f>93049.7659436584*(1/100/100)</f>
        <v>9.3049765943658418</v>
      </c>
      <c r="C228">
        <v>3308</v>
      </c>
      <c r="D228" t="s">
        <v>2958</v>
      </c>
      <c r="E228">
        <v>30301</v>
      </c>
      <c r="F228" t="s">
        <v>457</v>
      </c>
      <c r="G228">
        <v>303</v>
      </c>
      <c r="H228" t="s">
        <v>52</v>
      </c>
      <c r="I228">
        <v>3</v>
      </c>
      <c r="J228" t="s">
        <v>50</v>
      </c>
      <c r="O228"/>
    </row>
    <row r="229" spans="1:15" x14ac:dyDescent="0.25">
      <c r="A229" t="s">
        <v>7355</v>
      </c>
      <c r="B229">
        <f>17335.1698213146*(1/100/100)</f>
        <v>1.7335169821314602</v>
      </c>
      <c r="C229">
        <v>3309</v>
      </c>
      <c r="D229" t="s">
        <v>3037</v>
      </c>
      <c r="E229">
        <v>30526</v>
      </c>
      <c r="F229" t="s">
        <v>3035</v>
      </c>
      <c r="G229">
        <v>305</v>
      </c>
      <c r="H229" t="s">
        <v>54</v>
      </c>
      <c r="I229">
        <v>3</v>
      </c>
      <c r="J229" t="s">
        <v>50</v>
      </c>
      <c r="O229"/>
    </row>
    <row r="230" spans="1:15" x14ac:dyDescent="0.25">
      <c r="A230" t="s">
        <v>7355</v>
      </c>
      <c r="B230">
        <f>84921.1322552132*(1/100/100)</f>
        <v>8.4921132255213205</v>
      </c>
      <c r="C230">
        <v>3310</v>
      </c>
      <c r="D230" t="s">
        <v>2959</v>
      </c>
      <c r="E230">
        <v>30301</v>
      </c>
      <c r="F230" t="s">
        <v>457</v>
      </c>
      <c r="G230">
        <v>303</v>
      </c>
      <c r="H230" t="s">
        <v>52</v>
      </c>
      <c r="I230">
        <v>3</v>
      </c>
      <c r="J230" t="s">
        <v>50</v>
      </c>
      <c r="O230"/>
    </row>
    <row r="231" spans="1:15" x14ac:dyDescent="0.25">
      <c r="A231" t="s">
        <v>7355</v>
      </c>
      <c r="B231">
        <f>20453.8609020717*(1/100/100)</f>
        <v>2.0453860902071703</v>
      </c>
      <c r="C231">
        <v>3311</v>
      </c>
      <c r="D231" t="s">
        <v>3012</v>
      </c>
      <c r="E231">
        <v>30516</v>
      </c>
      <c r="F231" t="s">
        <v>471</v>
      </c>
      <c r="G231">
        <v>305</v>
      </c>
      <c r="H231" t="s">
        <v>54</v>
      </c>
      <c r="I231">
        <v>3</v>
      </c>
      <c r="J231" t="s">
        <v>50</v>
      </c>
      <c r="O231"/>
    </row>
    <row r="232" spans="1:15" x14ac:dyDescent="0.25">
      <c r="A232" t="s">
        <v>7355</v>
      </c>
      <c r="B232">
        <f>78652.4939707237*(1/100/100)</f>
        <v>7.8652493970723709</v>
      </c>
      <c r="C232">
        <v>3312</v>
      </c>
      <c r="D232" t="s">
        <v>2967</v>
      </c>
      <c r="E232">
        <v>30501</v>
      </c>
      <c r="F232" t="s">
        <v>459</v>
      </c>
      <c r="G232">
        <v>305</v>
      </c>
      <c r="H232" t="s">
        <v>54</v>
      </c>
      <c r="I232">
        <v>3</v>
      </c>
      <c r="J232" t="s">
        <v>50</v>
      </c>
      <c r="O232"/>
    </row>
    <row r="233" spans="1:15" x14ac:dyDescent="0.25">
      <c r="A233" t="s">
        <v>7355</v>
      </c>
      <c r="B233">
        <f>56987.0849396629*(1/100/100)</f>
        <v>5.69870849396629</v>
      </c>
      <c r="C233">
        <v>3313</v>
      </c>
      <c r="D233" t="s">
        <v>3076</v>
      </c>
      <c r="E233">
        <v>30543</v>
      </c>
      <c r="F233" t="s">
        <v>485</v>
      </c>
      <c r="G233">
        <v>305</v>
      </c>
      <c r="H233" t="s">
        <v>54</v>
      </c>
      <c r="I233">
        <v>3</v>
      </c>
      <c r="J233" t="s">
        <v>50</v>
      </c>
      <c r="O233"/>
    </row>
    <row r="234" spans="1:15" x14ac:dyDescent="0.25">
      <c r="A234" t="s">
        <v>7355</v>
      </c>
      <c r="B234">
        <f>34470.196605472*(1/100/100)</f>
        <v>3.4470196605472005</v>
      </c>
      <c r="C234">
        <v>3314</v>
      </c>
      <c r="D234" t="s">
        <v>3013</v>
      </c>
      <c r="E234">
        <v>30516</v>
      </c>
      <c r="F234" t="s">
        <v>471</v>
      </c>
      <c r="G234">
        <v>305</v>
      </c>
      <c r="H234" t="s">
        <v>54</v>
      </c>
      <c r="I234">
        <v>3</v>
      </c>
      <c r="J234" t="s">
        <v>50</v>
      </c>
      <c r="O234"/>
    </row>
    <row r="235" spans="1:15" x14ac:dyDescent="0.25">
      <c r="A235" t="s">
        <v>7355</v>
      </c>
      <c r="B235">
        <f>5696.13226930998*(1/100/100)</f>
        <v>0.56961322693099803</v>
      </c>
      <c r="C235">
        <v>3315</v>
      </c>
      <c r="D235" t="s">
        <v>3032</v>
      </c>
      <c r="E235">
        <v>30524</v>
      </c>
      <c r="F235" t="s">
        <v>476</v>
      </c>
      <c r="G235">
        <v>305</v>
      </c>
      <c r="H235" t="s">
        <v>54</v>
      </c>
      <c r="I235">
        <v>3</v>
      </c>
      <c r="J235" t="s">
        <v>50</v>
      </c>
      <c r="O235"/>
    </row>
    <row r="236" spans="1:15" x14ac:dyDescent="0.25">
      <c r="A236" t="s">
        <v>7355</v>
      </c>
      <c r="B236">
        <f>13002.9433666108*(1/100/100)</f>
        <v>1.30029433666108</v>
      </c>
      <c r="C236">
        <v>3316</v>
      </c>
      <c r="D236" t="s">
        <v>3014</v>
      </c>
      <c r="E236">
        <v>30516</v>
      </c>
      <c r="F236" t="s">
        <v>471</v>
      </c>
      <c r="G236">
        <v>305</v>
      </c>
      <c r="H236" t="s">
        <v>54</v>
      </c>
      <c r="I236">
        <v>3</v>
      </c>
      <c r="J236" t="s">
        <v>50</v>
      </c>
      <c r="O236"/>
    </row>
    <row r="237" spans="1:15" x14ac:dyDescent="0.25">
      <c r="A237" t="s">
        <v>7355</v>
      </c>
      <c r="B237">
        <f>53774.5982019477*(1/100/100)</f>
        <v>5.3774598201947708</v>
      </c>
      <c r="C237">
        <v>3317</v>
      </c>
      <c r="D237" t="s">
        <v>476</v>
      </c>
      <c r="E237">
        <v>30524</v>
      </c>
      <c r="F237" t="s">
        <v>476</v>
      </c>
      <c r="G237">
        <v>305</v>
      </c>
      <c r="H237" t="s">
        <v>54</v>
      </c>
      <c r="I237">
        <v>3</v>
      </c>
      <c r="J237" t="s">
        <v>50</v>
      </c>
      <c r="O237"/>
    </row>
    <row r="238" spans="1:15" x14ac:dyDescent="0.25">
      <c r="A238" t="s">
        <v>7355</v>
      </c>
      <c r="B238">
        <f>35307.2256157502*(1/100/100)</f>
        <v>3.5307225615750202</v>
      </c>
      <c r="C238">
        <v>3318</v>
      </c>
      <c r="D238" t="s">
        <v>3077</v>
      </c>
      <c r="E238">
        <v>30543</v>
      </c>
      <c r="F238" t="s">
        <v>485</v>
      </c>
      <c r="G238">
        <v>305</v>
      </c>
      <c r="H238" t="s">
        <v>54</v>
      </c>
      <c r="I238">
        <v>3</v>
      </c>
      <c r="J238" t="s">
        <v>50</v>
      </c>
      <c r="O238"/>
    </row>
    <row r="239" spans="1:15" x14ac:dyDescent="0.25">
      <c r="A239" t="s">
        <v>7355</v>
      </c>
      <c r="B239">
        <f>53748.4782081017*(1/100/100)</f>
        <v>5.37484782081017</v>
      </c>
      <c r="C239">
        <v>3319</v>
      </c>
      <c r="D239" t="s">
        <v>3078</v>
      </c>
      <c r="E239">
        <v>30543</v>
      </c>
      <c r="F239" t="s">
        <v>485</v>
      </c>
      <c r="G239">
        <v>305</v>
      </c>
      <c r="H239" t="s">
        <v>54</v>
      </c>
      <c r="I239">
        <v>3</v>
      </c>
      <c r="J239" t="s">
        <v>50</v>
      </c>
      <c r="O239"/>
    </row>
    <row r="240" spans="1:15" x14ac:dyDescent="0.25">
      <c r="A240" t="s">
        <v>7355</v>
      </c>
      <c r="B240">
        <f>61686.7615763884*(1/100/100)</f>
        <v>6.1686761576388403</v>
      </c>
      <c r="C240">
        <v>3320</v>
      </c>
      <c r="D240" t="s">
        <v>2960</v>
      </c>
      <c r="E240">
        <v>30301</v>
      </c>
      <c r="F240" t="s">
        <v>457</v>
      </c>
      <c r="G240">
        <v>303</v>
      </c>
      <c r="H240" t="s">
        <v>52</v>
      </c>
      <c r="I240">
        <v>3</v>
      </c>
      <c r="J240" t="s">
        <v>50</v>
      </c>
      <c r="O240"/>
    </row>
    <row r="241" spans="1:15" x14ac:dyDescent="0.25">
      <c r="A241" t="s">
        <v>7355</v>
      </c>
      <c r="B241">
        <f>22377.0428454163*(1/100/100)</f>
        <v>2.2377042845416302</v>
      </c>
      <c r="C241">
        <v>3321</v>
      </c>
      <c r="D241" t="s">
        <v>954</v>
      </c>
      <c r="E241">
        <v>30524</v>
      </c>
      <c r="F241" t="s">
        <v>476</v>
      </c>
      <c r="G241">
        <v>305</v>
      </c>
      <c r="H241" t="s">
        <v>54</v>
      </c>
      <c r="I241">
        <v>3</v>
      </c>
      <c r="J241" t="s">
        <v>50</v>
      </c>
      <c r="O241"/>
    </row>
    <row r="242" spans="1:15" x14ac:dyDescent="0.25">
      <c r="A242" t="s">
        <v>7355</v>
      </c>
      <c r="B242">
        <f>103261.433439162*(1/100/100)</f>
        <v>10.3261433439162</v>
      </c>
      <c r="C242">
        <v>3322</v>
      </c>
      <c r="D242" t="s">
        <v>2087</v>
      </c>
      <c r="E242">
        <v>30543</v>
      </c>
      <c r="F242" t="s">
        <v>485</v>
      </c>
      <c r="G242">
        <v>305</v>
      </c>
      <c r="H242" t="s">
        <v>54</v>
      </c>
      <c r="I242">
        <v>3</v>
      </c>
      <c r="J242" t="s">
        <v>50</v>
      </c>
      <c r="O242"/>
    </row>
    <row r="243" spans="1:15" x14ac:dyDescent="0.25">
      <c r="A243" t="s">
        <v>7355</v>
      </c>
      <c r="B243">
        <f>12909.4722124873*(1/100/100)</f>
        <v>1.2909472212487301</v>
      </c>
      <c r="C243">
        <v>3323</v>
      </c>
      <c r="D243" t="s">
        <v>3079</v>
      </c>
      <c r="E243">
        <v>30543</v>
      </c>
      <c r="F243" t="s">
        <v>485</v>
      </c>
      <c r="G243">
        <v>305</v>
      </c>
      <c r="H243" t="s">
        <v>54</v>
      </c>
      <c r="I243">
        <v>3</v>
      </c>
      <c r="J243" t="s">
        <v>50</v>
      </c>
      <c r="O243"/>
    </row>
    <row r="244" spans="1:15" x14ac:dyDescent="0.25">
      <c r="A244" t="s">
        <v>7355</v>
      </c>
      <c r="B244">
        <f>327308.784113155*(1/100/100)</f>
        <v>32.730878411315501</v>
      </c>
      <c r="C244">
        <v>3324</v>
      </c>
      <c r="D244" t="s">
        <v>478</v>
      </c>
      <c r="E244">
        <v>30533</v>
      </c>
      <c r="F244" t="s">
        <v>478</v>
      </c>
      <c r="G244">
        <v>305</v>
      </c>
      <c r="H244" t="s">
        <v>54</v>
      </c>
      <c r="I244">
        <v>3</v>
      </c>
      <c r="J244" t="s">
        <v>50</v>
      </c>
      <c r="O244"/>
    </row>
    <row r="245" spans="1:15" x14ac:dyDescent="0.25">
      <c r="A245" t="s">
        <v>7355</v>
      </c>
      <c r="B245">
        <f>80371.9943621778*(1/100/100)</f>
        <v>8.0371994362177794</v>
      </c>
      <c r="C245">
        <v>3325</v>
      </c>
      <c r="D245" t="s">
        <v>2961</v>
      </c>
      <c r="E245">
        <v>30301</v>
      </c>
      <c r="F245" t="s">
        <v>457</v>
      </c>
      <c r="G245">
        <v>303</v>
      </c>
      <c r="H245" t="s">
        <v>52</v>
      </c>
      <c r="I245">
        <v>3</v>
      </c>
      <c r="J245" t="s">
        <v>50</v>
      </c>
    </row>
    <row r="246" spans="1:15" x14ac:dyDescent="0.25">
      <c r="A246" t="s">
        <v>7355</v>
      </c>
      <c r="B246">
        <f>25326.2099237049*(1/100/100)</f>
        <v>2.5326209923704903</v>
      </c>
      <c r="C246">
        <v>3326</v>
      </c>
      <c r="D246" t="s">
        <v>3035</v>
      </c>
      <c r="E246">
        <v>30526</v>
      </c>
      <c r="F246" t="s">
        <v>3035</v>
      </c>
      <c r="G246">
        <v>305</v>
      </c>
      <c r="H246" t="s">
        <v>54</v>
      </c>
      <c r="I246">
        <v>3</v>
      </c>
      <c r="J246" t="s">
        <v>50</v>
      </c>
    </row>
    <row r="247" spans="1:15" x14ac:dyDescent="0.25">
      <c r="A247" t="s">
        <v>7355</v>
      </c>
      <c r="B247">
        <f>94329.3231828261*(1/100/100)</f>
        <v>9.4329323182826101</v>
      </c>
      <c r="C247">
        <v>3327</v>
      </c>
      <c r="D247" t="s">
        <v>2962</v>
      </c>
      <c r="E247">
        <v>30301</v>
      </c>
      <c r="F247" t="s">
        <v>457</v>
      </c>
      <c r="G247">
        <v>303</v>
      </c>
      <c r="H247" t="s">
        <v>52</v>
      </c>
      <c r="I247">
        <v>3</v>
      </c>
      <c r="J247" t="s">
        <v>50</v>
      </c>
    </row>
    <row r="248" spans="1:15" x14ac:dyDescent="0.25">
      <c r="A248" t="s">
        <v>7355</v>
      </c>
      <c r="B248">
        <f>17129.5024930935*(1/100/100)</f>
        <v>1.71295024930935</v>
      </c>
      <c r="C248">
        <v>3328</v>
      </c>
      <c r="D248" t="s">
        <v>3033</v>
      </c>
      <c r="E248">
        <v>30524</v>
      </c>
      <c r="F248" t="s">
        <v>476</v>
      </c>
      <c r="G248">
        <v>305</v>
      </c>
      <c r="H248" t="s">
        <v>54</v>
      </c>
      <c r="I248">
        <v>3</v>
      </c>
      <c r="J248" t="s">
        <v>50</v>
      </c>
    </row>
    <row r="249" spans="1:15" x14ac:dyDescent="0.25">
      <c r="A249" t="s">
        <v>7355</v>
      </c>
      <c r="B249">
        <f>333837.176484731*(1/100/100)</f>
        <v>33.383717648473102</v>
      </c>
      <c r="C249">
        <v>3329</v>
      </c>
      <c r="D249" t="s">
        <v>457</v>
      </c>
      <c r="E249">
        <v>30301</v>
      </c>
      <c r="F249" t="s">
        <v>457</v>
      </c>
      <c r="G249">
        <v>303</v>
      </c>
      <c r="H249" t="s">
        <v>52</v>
      </c>
      <c r="I249">
        <v>3</v>
      </c>
      <c r="J249" t="s">
        <v>50</v>
      </c>
    </row>
    <row r="250" spans="1:15" x14ac:dyDescent="0.25">
      <c r="A250" t="s">
        <v>7355</v>
      </c>
      <c r="B250">
        <f>21106.2926622035*(1/100/100)</f>
        <v>2.1106292662203501</v>
      </c>
      <c r="C250">
        <v>3330</v>
      </c>
      <c r="D250" t="s">
        <v>3080</v>
      </c>
      <c r="E250">
        <v>30543</v>
      </c>
      <c r="F250" t="s">
        <v>485</v>
      </c>
      <c r="G250">
        <v>305</v>
      </c>
      <c r="H250" t="s">
        <v>54</v>
      </c>
      <c r="I250">
        <v>3</v>
      </c>
      <c r="J250" t="s">
        <v>50</v>
      </c>
    </row>
    <row r="251" spans="1:15" x14ac:dyDescent="0.25">
      <c r="A251" t="s">
        <v>7355</v>
      </c>
      <c r="B251">
        <f>186119.687766023*(1/100/100)</f>
        <v>18.611968776602303</v>
      </c>
      <c r="C251">
        <v>3331</v>
      </c>
      <c r="D251" t="s">
        <v>2963</v>
      </c>
      <c r="E251">
        <v>30301</v>
      </c>
      <c r="F251" t="s">
        <v>457</v>
      </c>
      <c r="G251">
        <v>303</v>
      </c>
      <c r="H251" t="s">
        <v>52</v>
      </c>
      <c r="I251">
        <v>3</v>
      </c>
      <c r="J251" t="s">
        <v>50</v>
      </c>
    </row>
    <row r="252" spans="1:15" x14ac:dyDescent="0.25">
      <c r="A252" t="s">
        <v>7355</v>
      </c>
      <c r="B252">
        <f>108271.281029906*(1/100/100)</f>
        <v>10.827128102990599</v>
      </c>
      <c r="C252">
        <v>3332</v>
      </c>
      <c r="D252" t="s">
        <v>2964</v>
      </c>
      <c r="E252">
        <v>30301</v>
      </c>
      <c r="F252" t="s">
        <v>457</v>
      </c>
      <c r="G252">
        <v>303</v>
      </c>
      <c r="H252" t="s">
        <v>52</v>
      </c>
      <c r="I252">
        <v>3</v>
      </c>
      <c r="J252" t="s">
        <v>50</v>
      </c>
    </row>
    <row r="253" spans="1:15" x14ac:dyDescent="0.25">
      <c r="A253" t="s">
        <v>7355</v>
      </c>
      <c r="B253">
        <f>137713.169957567*(1/100/100)</f>
        <v>13.771316995756701</v>
      </c>
      <c r="C253">
        <v>3333</v>
      </c>
      <c r="D253" t="s">
        <v>485</v>
      </c>
      <c r="E253">
        <v>30543</v>
      </c>
      <c r="F253" t="s">
        <v>485</v>
      </c>
      <c r="G253">
        <v>305</v>
      </c>
      <c r="H253" t="s">
        <v>54</v>
      </c>
      <c r="I253">
        <v>3</v>
      </c>
      <c r="J253" t="s">
        <v>50</v>
      </c>
    </row>
    <row r="254" spans="1:15" x14ac:dyDescent="0.25">
      <c r="A254" t="s">
        <v>7355</v>
      </c>
      <c r="B254">
        <f>88739.4864743024*(1/100/100)</f>
        <v>8.8739486474302396</v>
      </c>
      <c r="C254">
        <v>3334</v>
      </c>
      <c r="D254" t="s">
        <v>2965</v>
      </c>
      <c r="E254">
        <v>30301</v>
      </c>
      <c r="F254" t="s">
        <v>457</v>
      </c>
      <c r="G254">
        <v>303</v>
      </c>
      <c r="H254" t="s">
        <v>52</v>
      </c>
      <c r="I254">
        <v>3</v>
      </c>
      <c r="J254" t="s">
        <v>50</v>
      </c>
    </row>
    <row r="255" spans="1:15" x14ac:dyDescent="0.25">
      <c r="A255" t="s">
        <v>7355</v>
      </c>
      <c r="B255">
        <f>72394.1642167966*(1/100/100)</f>
        <v>7.2394164216796613</v>
      </c>
      <c r="C255">
        <v>3335</v>
      </c>
      <c r="D255" t="s">
        <v>2966</v>
      </c>
      <c r="E255">
        <v>30301</v>
      </c>
      <c r="F255" t="s">
        <v>457</v>
      </c>
      <c r="G255">
        <v>303</v>
      </c>
      <c r="H255" t="s">
        <v>52</v>
      </c>
      <c r="I255">
        <v>3</v>
      </c>
      <c r="J255" t="s">
        <v>50</v>
      </c>
    </row>
    <row r="256" spans="1:15" x14ac:dyDescent="0.25">
      <c r="A256" t="s">
        <v>7355</v>
      </c>
      <c r="B256">
        <f>93321.7815188608*(1/100/100)</f>
        <v>9.3321781518860796</v>
      </c>
      <c r="C256">
        <v>3336</v>
      </c>
      <c r="D256" t="s">
        <v>3015</v>
      </c>
      <c r="E256">
        <v>30517</v>
      </c>
      <c r="F256" t="s">
        <v>472</v>
      </c>
      <c r="G256">
        <v>305</v>
      </c>
      <c r="H256" t="s">
        <v>54</v>
      </c>
      <c r="I256">
        <v>3</v>
      </c>
      <c r="J256" t="s">
        <v>50</v>
      </c>
    </row>
    <row r="257" spans="1:10" x14ac:dyDescent="0.25">
      <c r="A257" t="s">
        <v>7355</v>
      </c>
      <c r="B257">
        <f>253675.312679975*(1/100/100)</f>
        <v>25.367531267997503</v>
      </c>
      <c r="C257">
        <v>3337</v>
      </c>
      <c r="D257" t="s">
        <v>3016</v>
      </c>
      <c r="E257">
        <v>30517</v>
      </c>
      <c r="F257" t="s">
        <v>472</v>
      </c>
      <c r="G257">
        <v>305</v>
      </c>
      <c r="H257" t="s">
        <v>54</v>
      </c>
      <c r="I257">
        <v>3</v>
      </c>
      <c r="J257" t="s">
        <v>50</v>
      </c>
    </row>
    <row r="258" spans="1:10" x14ac:dyDescent="0.25">
      <c r="A258" t="s">
        <v>7355</v>
      </c>
      <c r="B258">
        <f>146843.374688553*(1/100/100)</f>
        <v>14.684337468855302</v>
      </c>
      <c r="C258">
        <v>4001</v>
      </c>
      <c r="D258" t="s">
        <v>487</v>
      </c>
      <c r="E258">
        <v>30601</v>
      </c>
      <c r="F258" t="s">
        <v>487</v>
      </c>
      <c r="G258">
        <v>306</v>
      </c>
      <c r="H258" t="s">
        <v>55</v>
      </c>
      <c r="I258">
        <v>3</v>
      </c>
      <c r="J258" t="s">
        <v>50</v>
      </c>
    </row>
    <row r="259" spans="1:10" x14ac:dyDescent="0.25">
      <c r="A259" t="s">
        <v>7355</v>
      </c>
      <c r="B259">
        <f>301073.122594338*(1/100/100)</f>
        <v>30.107312259433805</v>
      </c>
      <c r="C259">
        <v>4002</v>
      </c>
      <c r="D259" t="s">
        <v>55</v>
      </c>
      <c r="E259">
        <v>30604</v>
      </c>
      <c r="F259" t="s">
        <v>55</v>
      </c>
      <c r="G259">
        <v>306</v>
      </c>
      <c r="H259" t="s">
        <v>55</v>
      </c>
      <c r="I259">
        <v>3</v>
      </c>
      <c r="J259" t="s">
        <v>50</v>
      </c>
    </row>
    <row r="260" spans="1:10" x14ac:dyDescent="0.25">
      <c r="A260" t="s">
        <v>7355</v>
      </c>
      <c r="B260">
        <f>168220.33370877*(1/100/100)</f>
        <v>16.822033370877001</v>
      </c>
      <c r="C260">
        <v>4003</v>
      </c>
      <c r="D260" t="s">
        <v>3097</v>
      </c>
      <c r="E260">
        <v>30604</v>
      </c>
      <c r="F260" t="s">
        <v>55</v>
      </c>
      <c r="G260">
        <v>306</v>
      </c>
      <c r="H260" t="s">
        <v>55</v>
      </c>
      <c r="I260">
        <v>3</v>
      </c>
      <c r="J260" t="s">
        <v>50</v>
      </c>
    </row>
    <row r="261" spans="1:10" x14ac:dyDescent="0.25">
      <c r="A261" t="s">
        <v>7355</v>
      </c>
      <c r="B261">
        <f>60430.1493235251*(1/100/100)</f>
        <v>6.0430149323525102</v>
      </c>
      <c r="C261">
        <v>4004</v>
      </c>
      <c r="D261" t="s">
        <v>3126</v>
      </c>
      <c r="E261">
        <v>30631</v>
      </c>
      <c r="F261" t="s">
        <v>507</v>
      </c>
      <c r="G261">
        <v>306</v>
      </c>
      <c r="H261" t="s">
        <v>55</v>
      </c>
      <c r="I261">
        <v>3</v>
      </c>
      <c r="J261" t="s">
        <v>50</v>
      </c>
    </row>
    <row r="262" spans="1:10" x14ac:dyDescent="0.25">
      <c r="A262" t="s">
        <v>7355</v>
      </c>
      <c r="B262">
        <f>281122.952726213*(1/100/100)</f>
        <v>28.112295272621303</v>
      </c>
      <c r="C262">
        <v>4005</v>
      </c>
      <c r="D262" t="s">
        <v>3094</v>
      </c>
      <c r="E262">
        <v>30603</v>
      </c>
      <c r="F262" t="s">
        <v>489</v>
      </c>
      <c r="G262">
        <v>306</v>
      </c>
      <c r="H262" t="s">
        <v>55</v>
      </c>
      <c r="I262">
        <v>3</v>
      </c>
      <c r="J262" t="s">
        <v>50</v>
      </c>
    </row>
    <row r="263" spans="1:10" x14ac:dyDescent="0.25">
      <c r="A263" t="s">
        <v>7355</v>
      </c>
      <c r="B263">
        <f>9156.18021975074*(1/100/100)</f>
        <v>0.91561802197507414</v>
      </c>
      <c r="C263">
        <v>4006</v>
      </c>
      <c r="D263" t="s">
        <v>3098</v>
      </c>
      <c r="E263">
        <v>30604</v>
      </c>
      <c r="F263" t="s">
        <v>55</v>
      </c>
      <c r="G263">
        <v>306</v>
      </c>
      <c r="H263" t="s">
        <v>55</v>
      </c>
      <c r="I263">
        <v>3</v>
      </c>
      <c r="J263" t="s">
        <v>50</v>
      </c>
    </row>
    <row r="264" spans="1:10" x14ac:dyDescent="0.25">
      <c r="A264" t="s">
        <v>7355</v>
      </c>
      <c r="B264">
        <f>21956.0311895665*(1/100/100)</f>
        <v>2.1956031189566501</v>
      </c>
      <c r="C264">
        <v>4007</v>
      </c>
      <c r="D264" t="s">
        <v>3081</v>
      </c>
      <c r="E264">
        <v>30601</v>
      </c>
      <c r="F264" t="s">
        <v>487</v>
      </c>
      <c r="G264">
        <v>306</v>
      </c>
      <c r="H264" t="s">
        <v>55</v>
      </c>
      <c r="I264">
        <v>3</v>
      </c>
      <c r="J264" t="s">
        <v>50</v>
      </c>
    </row>
    <row r="265" spans="1:10" x14ac:dyDescent="0.25">
      <c r="A265" t="s">
        <v>7355</v>
      </c>
      <c r="B265">
        <f>25803.945786356*(1/100/100)</f>
        <v>2.5803945786356</v>
      </c>
      <c r="C265">
        <v>4008</v>
      </c>
      <c r="D265" t="s">
        <v>3082</v>
      </c>
      <c r="E265">
        <v>30601</v>
      </c>
      <c r="F265" t="s">
        <v>487</v>
      </c>
      <c r="G265">
        <v>306</v>
      </c>
      <c r="H265" t="s">
        <v>55</v>
      </c>
      <c r="I265">
        <v>3</v>
      </c>
      <c r="J265" t="s">
        <v>50</v>
      </c>
    </row>
    <row r="266" spans="1:10" x14ac:dyDescent="0.25">
      <c r="A266" t="s">
        <v>7355</v>
      </c>
      <c r="B266">
        <f>64958.8967370699*(1/100/100)</f>
        <v>6.4958896737069907</v>
      </c>
      <c r="C266">
        <v>4009</v>
      </c>
      <c r="D266" t="s">
        <v>3095</v>
      </c>
      <c r="E266">
        <v>30603</v>
      </c>
      <c r="F266" t="s">
        <v>489</v>
      </c>
      <c r="G266">
        <v>306</v>
      </c>
      <c r="H266" t="s">
        <v>55</v>
      </c>
      <c r="I266">
        <v>3</v>
      </c>
      <c r="J266" t="s">
        <v>50</v>
      </c>
    </row>
    <row r="267" spans="1:10" x14ac:dyDescent="0.25">
      <c r="A267" t="s">
        <v>7355</v>
      </c>
      <c r="B267">
        <f>141186.542361025*(1/100/100)</f>
        <v>14.1186542361025</v>
      </c>
      <c r="C267">
        <v>4010</v>
      </c>
      <c r="D267" t="s">
        <v>494</v>
      </c>
      <c r="E267">
        <v>30612</v>
      </c>
      <c r="F267" t="s">
        <v>494</v>
      </c>
      <c r="G267">
        <v>306</v>
      </c>
      <c r="H267" t="s">
        <v>55</v>
      </c>
      <c r="I267">
        <v>3</v>
      </c>
      <c r="J267" t="s">
        <v>50</v>
      </c>
    </row>
    <row r="268" spans="1:10" x14ac:dyDescent="0.25">
      <c r="A268" t="s">
        <v>7355</v>
      </c>
      <c r="B268">
        <f>114149.221568775*(1/100/100)</f>
        <v>11.4149221568775</v>
      </c>
      <c r="C268">
        <v>4012</v>
      </c>
      <c r="D268" t="s">
        <v>495</v>
      </c>
      <c r="E268">
        <v>30613</v>
      </c>
      <c r="F268" t="s">
        <v>495</v>
      </c>
      <c r="G268">
        <v>306</v>
      </c>
      <c r="H268" t="s">
        <v>55</v>
      </c>
      <c r="I268">
        <v>3</v>
      </c>
      <c r="J268" t="s">
        <v>50</v>
      </c>
    </row>
    <row r="269" spans="1:10" x14ac:dyDescent="0.25">
      <c r="A269" t="s">
        <v>7355</v>
      </c>
      <c r="B269">
        <f>732.028304515908*(1/100/100)</f>
        <v>7.3202830451590803E-2</v>
      </c>
      <c r="C269">
        <v>4013</v>
      </c>
      <c r="D269" t="s">
        <v>3083</v>
      </c>
      <c r="E269">
        <v>30601</v>
      </c>
      <c r="F269" t="s">
        <v>487</v>
      </c>
      <c r="G269">
        <v>306</v>
      </c>
      <c r="H269" t="s">
        <v>55</v>
      </c>
      <c r="I269">
        <v>3</v>
      </c>
      <c r="J269" t="s">
        <v>50</v>
      </c>
    </row>
    <row r="270" spans="1:10" x14ac:dyDescent="0.25">
      <c r="A270" t="s">
        <v>7355</v>
      </c>
      <c r="B270">
        <f>4728.53709102614*(1/100/100)</f>
        <v>0.47285370910261404</v>
      </c>
      <c r="C270">
        <v>4014</v>
      </c>
      <c r="D270" t="s">
        <v>3084</v>
      </c>
      <c r="E270">
        <v>30601</v>
      </c>
      <c r="F270" t="s">
        <v>487</v>
      </c>
      <c r="G270">
        <v>306</v>
      </c>
      <c r="H270" t="s">
        <v>55</v>
      </c>
      <c r="I270">
        <v>3</v>
      </c>
      <c r="J270" t="s">
        <v>50</v>
      </c>
    </row>
    <row r="271" spans="1:10" x14ac:dyDescent="0.25">
      <c r="A271" t="s">
        <v>7355</v>
      </c>
      <c r="B271">
        <f>171922.56792939*(1/100/100)</f>
        <v>17.192256792939002</v>
      </c>
      <c r="C271">
        <v>4015</v>
      </c>
      <c r="D271" t="s">
        <v>3119</v>
      </c>
      <c r="E271">
        <v>30616</v>
      </c>
      <c r="F271" t="s">
        <v>498</v>
      </c>
      <c r="G271">
        <v>306</v>
      </c>
      <c r="H271" t="s">
        <v>55</v>
      </c>
      <c r="I271">
        <v>3</v>
      </c>
      <c r="J271" t="s">
        <v>50</v>
      </c>
    </row>
    <row r="272" spans="1:10" x14ac:dyDescent="0.25">
      <c r="A272" t="s">
        <v>7355</v>
      </c>
      <c r="B272">
        <f>646073.37488621*(1/100/100)</f>
        <v>64.607337488620999</v>
      </c>
      <c r="C272">
        <v>4016</v>
      </c>
      <c r="D272" t="s">
        <v>499</v>
      </c>
      <c r="E272">
        <v>30618</v>
      </c>
      <c r="F272" t="s">
        <v>499</v>
      </c>
      <c r="G272">
        <v>306</v>
      </c>
      <c r="H272" t="s">
        <v>55</v>
      </c>
      <c r="I272">
        <v>3</v>
      </c>
      <c r="J272" t="s">
        <v>50</v>
      </c>
    </row>
    <row r="273" spans="1:10" x14ac:dyDescent="0.25">
      <c r="A273" t="s">
        <v>7355</v>
      </c>
      <c r="B273">
        <f>452922.116813732*(1/100/100)</f>
        <v>45.292211681373203</v>
      </c>
      <c r="C273">
        <v>4017</v>
      </c>
      <c r="D273" t="s">
        <v>3099</v>
      </c>
      <c r="E273">
        <v>30604</v>
      </c>
      <c r="F273" t="s">
        <v>55</v>
      </c>
      <c r="G273">
        <v>306</v>
      </c>
      <c r="H273" t="s">
        <v>55</v>
      </c>
      <c r="I273">
        <v>3</v>
      </c>
      <c r="J273" t="s">
        <v>50</v>
      </c>
    </row>
    <row r="274" spans="1:10" x14ac:dyDescent="0.25">
      <c r="A274" t="s">
        <v>7355</v>
      </c>
      <c r="B274">
        <f>448081.368802656*(1/100/100)</f>
        <v>44.8081368802656</v>
      </c>
      <c r="C274">
        <v>4018</v>
      </c>
      <c r="D274" t="s">
        <v>500</v>
      </c>
      <c r="E274">
        <v>30620</v>
      </c>
      <c r="F274" t="s">
        <v>500</v>
      </c>
      <c r="G274">
        <v>306</v>
      </c>
      <c r="H274" t="s">
        <v>55</v>
      </c>
      <c r="I274">
        <v>3</v>
      </c>
      <c r="J274" t="s">
        <v>50</v>
      </c>
    </row>
    <row r="275" spans="1:10" x14ac:dyDescent="0.25">
      <c r="A275" t="s">
        <v>7355</v>
      </c>
      <c r="B275">
        <f>20681.9018255809*(1/100/100)</f>
        <v>2.06819018255809</v>
      </c>
      <c r="C275">
        <v>4019</v>
      </c>
      <c r="D275" t="s">
        <v>3085</v>
      </c>
      <c r="E275">
        <v>30601</v>
      </c>
      <c r="F275" t="s">
        <v>487</v>
      </c>
      <c r="G275">
        <v>306</v>
      </c>
      <c r="H275" t="s">
        <v>55</v>
      </c>
      <c r="I275">
        <v>3</v>
      </c>
      <c r="J275" t="s">
        <v>50</v>
      </c>
    </row>
    <row r="276" spans="1:10" x14ac:dyDescent="0.25">
      <c r="A276" t="s">
        <v>7355</v>
      </c>
      <c r="B276">
        <f>160434.605997357*(1/100/100)</f>
        <v>16.043460599735699</v>
      </c>
      <c r="C276">
        <v>4020</v>
      </c>
      <c r="D276" t="s">
        <v>3100</v>
      </c>
      <c r="E276">
        <v>30604</v>
      </c>
      <c r="F276" t="s">
        <v>55</v>
      </c>
      <c r="G276">
        <v>306</v>
      </c>
      <c r="H276" t="s">
        <v>55</v>
      </c>
      <c r="I276">
        <v>3</v>
      </c>
      <c r="J276" t="s">
        <v>50</v>
      </c>
    </row>
    <row r="277" spans="1:10" x14ac:dyDescent="0.25">
      <c r="A277" t="s">
        <v>7355</v>
      </c>
      <c r="B277">
        <f>262303.97154847*(1/100/100)</f>
        <v>26.230397154847005</v>
      </c>
      <c r="C277">
        <v>4021</v>
      </c>
      <c r="D277" t="s">
        <v>3128</v>
      </c>
      <c r="E277">
        <v>30639</v>
      </c>
      <c r="F277" t="s">
        <v>512</v>
      </c>
      <c r="G277">
        <v>306</v>
      </c>
      <c r="H277" t="s">
        <v>55</v>
      </c>
      <c r="I277">
        <v>3</v>
      </c>
      <c r="J277" t="s">
        <v>50</v>
      </c>
    </row>
    <row r="278" spans="1:10" x14ac:dyDescent="0.25">
      <c r="A278" t="s">
        <v>7355</v>
      </c>
      <c r="B278">
        <f>103334.525861441*(1/100/100)</f>
        <v>10.3334525861441</v>
      </c>
      <c r="C278">
        <v>4022</v>
      </c>
      <c r="D278" t="s">
        <v>3129</v>
      </c>
      <c r="E278">
        <v>30639</v>
      </c>
      <c r="F278" t="s">
        <v>512</v>
      </c>
      <c r="G278">
        <v>306</v>
      </c>
      <c r="H278" t="s">
        <v>55</v>
      </c>
      <c r="I278">
        <v>3</v>
      </c>
      <c r="J278" t="s">
        <v>50</v>
      </c>
    </row>
    <row r="279" spans="1:10" x14ac:dyDescent="0.25">
      <c r="A279" t="s">
        <v>7355</v>
      </c>
      <c r="B279">
        <f>265994.325324071*(1/100/100)</f>
        <v>26.5994325324071</v>
      </c>
      <c r="C279">
        <v>4023</v>
      </c>
      <c r="D279" t="s">
        <v>503</v>
      </c>
      <c r="E279">
        <v>30625</v>
      </c>
      <c r="F279" t="s">
        <v>503</v>
      </c>
      <c r="G279">
        <v>306</v>
      </c>
      <c r="H279" t="s">
        <v>55</v>
      </c>
      <c r="I279">
        <v>3</v>
      </c>
      <c r="J279" t="s">
        <v>50</v>
      </c>
    </row>
    <row r="280" spans="1:10" x14ac:dyDescent="0.25">
      <c r="A280" t="s">
        <v>7355</v>
      </c>
      <c r="B280">
        <f>477165.283558485*(1/100/100)</f>
        <v>47.716528355848503</v>
      </c>
      <c r="C280">
        <v>4025</v>
      </c>
      <c r="D280" t="s">
        <v>3101</v>
      </c>
      <c r="E280">
        <v>30604</v>
      </c>
      <c r="F280" t="s">
        <v>55</v>
      </c>
      <c r="G280">
        <v>306</v>
      </c>
      <c r="H280" t="s">
        <v>55</v>
      </c>
      <c r="I280">
        <v>3</v>
      </c>
      <c r="J280" t="s">
        <v>50</v>
      </c>
    </row>
    <row r="281" spans="1:10" x14ac:dyDescent="0.25">
      <c r="A281" t="s">
        <v>7355</v>
      </c>
      <c r="B281">
        <f>45273.4192192129*(1/100/100)</f>
        <v>4.5273419219212903</v>
      </c>
      <c r="C281">
        <v>4026</v>
      </c>
      <c r="D281" t="s">
        <v>3086</v>
      </c>
      <c r="E281">
        <v>30601</v>
      </c>
      <c r="F281" t="s">
        <v>487</v>
      </c>
      <c r="G281">
        <v>306</v>
      </c>
      <c r="H281" t="s">
        <v>55</v>
      </c>
      <c r="I281">
        <v>3</v>
      </c>
      <c r="J281" t="s">
        <v>50</v>
      </c>
    </row>
    <row r="282" spans="1:10" x14ac:dyDescent="0.25">
      <c r="A282" t="s">
        <v>7355</v>
      </c>
      <c r="B282">
        <f>15680.2402557974*(1/100/100)</f>
        <v>1.5680240255797402</v>
      </c>
      <c r="C282">
        <v>4027</v>
      </c>
      <c r="D282" t="s">
        <v>87</v>
      </c>
      <c r="E282">
        <v>30601</v>
      </c>
      <c r="F282" t="s">
        <v>487</v>
      </c>
      <c r="G282">
        <v>306</v>
      </c>
      <c r="H282" t="s">
        <v>55</v>
      </c>
      <c r="I282">
        <v>3</v>
      </c>
      <c r="J282" t="s">
        <v>50</v>
      </c>
    </row>
    <row r="283" spans="1:10" x14ac:dyDescent="0.25">
      <c r="A283" t="s">
        <v>7355</v>
      </c>
      <c r="B283">
        <f>153605.068610495*(1/100/100)</f>
        <v>15.360506861049499</v>
      </c>
      <c r="C283">
        <v>4028</v>
      </c>
      <c r="D283" t="s">
        <v>507</v>
      </c>
      <c r="E283">
        <v>30631</v>
      </c>
      <c r="F283" t="s">
        <v>507</v>
      </c>
      <c r="G283">
        <v>306</v>
      </c>
      <c r="H283" t="s">
        <v>55</v>
      </c>
      <c r="I283">
        <v>3</v>
      </c>
      <c r="J283" t="s">
        <v>50</v>
      </c>
    </row>
    <row r="284" spans="1:10" x14ac:dyDescent="0.25">
      <c r="A284" t="s">
        <v>7355</v>
      </c>
      <c r="B284">
        <f>19707.9622341525*(1/100/100)</f>
        <v>1.9707962234152501</v>
      </c>
      <c r="C284">
        <v>4029</v>
      </c>
      <c r="D284" t="s">
        <v>3087</v>
      </c>
      <c r="E284">
        <v>30601</v>
      </c>
      <c r="F284" t="s">
        <v>487</v>
      </c>
      <c r="G284">
        <v>306</v>
      </c>
      <c r="H284" t="s">
        <v>55</v>
      </c>
      <c r="I284">
        <v>3</v>
      </c>
      <c r="J284" t="s">
        <v>50</v>
      </c>
    </row>
    <row r="285" spans="1:10" x14ac:dyDescent="0.25">
      <c r="A285" t="s">
        <v>7355</v>
      </c>
      <c r="B285">
        <f>67521.4776830666*(1/100/100)</f>
        <v>6.75214776830666</v>
      </c>
      <c r="C285">
        <v>4030</v>
      </c>
      <c r="D285" t="s">
        <v>3113</v>
      </c>
      <c r="E285">
        <v>30613</v>
      </c>
      <c r="F285" t="s">
        <v>495</v>
      </c>
      <c r="G285">
        <v>306</v>
      </c>
      <c r="H285" t="s">
        <v>55</v>
      </c>
      <c r="I285">
        <v>3</v>
      </c>
      <c r="J285" t="s">
        <v>50</v>
      </c>
    </row>
    <row r="286" spans="1:10" x14ac:dyDescent="0.25">
      <c r="A286" t="s">
        <v>7355</v>
      </c>
      <c r="B286">
        <f>116625.118418833*(1/100/100)</f>
        <v>11.662511841883299</v>
      </c>
      <c r="C286">
        <v>4031</v>
      </c>
      <c r="D286" t="s">
        <v>509</v>
      </c>
      <c r="E286">
        <v>30635</v>
      </c>
      <c r="F286" t="s">
        <v>509</v>
      </c>
      <c r="G286">
        <v>306</v>
      </c>
      <c r="H286" t="s">
        <v>55</v>
      </c>
      <c r="I286">
        <v>3</v>
      </c>
      <c r="J286" t="s">
        <v>50</v>
      </c>
    </row>
    <row r="287" spans="1:10" x14ac:dyDescent="0.25">
      <c r="A287" t="s">
        <v>7355</v>
      </c>
      <c r="B287">
        <f>174126.907046655*(1/100/100)</f>
        <v>17.412690704665501</v>
      </c>
      <c r="C287">
        <v>4032</v>
      </c>
      <c r="D287" t="s">
        <v>511</v>
      </c>
      <c r="E287">
        <v>30637</v>
      </c>
      <c r="F287" t="s">
        <v>511</v>
      </c>
      <c r="G287">
        <v>306</v>
      </c>
      <c r="H287" t="s">
        <v>55</v>
      </c>
      <c r="I287">
        <v>3</v>
      </c>
      <c r="J287" t="s">
        <v>50</v>
      </c>
    </row>
    <row r="288" spans="1:10" x14ac:dyDescent="0.25">
      <c r="A288" t="s">
        <v>7355</v>
      </c>
      <c r="B288">
        <f>468937.149609726*(1/100/100)</f>
        <v>46.893714960972602</v>
      </c>
      <c r="C288">
        <v>4033</v>
      </c>
      <c r="D288" t="s">
        <v>512</v>
      </c>
      <c r="E288">
        <v>30639</v>
      </c>
      <c r="F288" t="s">
        <v>512</v>
      </c>
      <c r="G288">
        <v>306</v>
      </c>
      <c r="H288" t="s">
        <v>55</v>
      </c>
      <c r="I288">
        <v>3</v>
      </c>
      <c r="J288" t="s">
        <v>50</v>
      </c>
    </row>
    <row r="289" spans="1:10" x14ac:dyDescent="0.25">
      <c r="A289" t="s">
        <v>7355</v>
      </c>
      <c r="B289">
        <f>416167.87325491*(1/100/100)</f>
        <v>41.616787325491003</v>
      </c>
      <c r="C289">
        <v>4034</v>
      </c>
      <c r="D289" t="s">
        <v>3130</v>
      </c>
      <c r="E289">
        <v>30639</v>
      </c>
      <c r="F289" t="s">
        <v>512</v>
      </c>
      <c r="G289">
        <v>306</v>
      </c>
      <c r="H289" t="s">
        <v>55</v>
      </c>
      <c r="I289">
        <v>3</v>
      </c>
      <c r="J289" t="s">
        <v>50</v>
      </c>
    </row>
    <row r="290" spans="1:10" x14ac:dyDescent="0.25">
      <c r="A290" t="s">
        <v>7355</v>
      </c>
      <c r="B290">
        <f>528587.054560353*(1/100/100)</f>
        <v>52.85870545603531</v>
      </c>
      <c r="C290">
        <v>4035</v>
      </c>
      <c r="D290" t="s">
        <v>3096</v>
      </c>
      <c r="E290">
        <v>30603</v>
      </c>
      <c r="F290" t="s">
        <v>489</v>
      </c>
      <c r="G290">
        <v>306</v>
      </c>
      <c r="H290" t="s">
        <v>55</v>
      </c>
      <c r="I290">
        <v>3</v>
      </c>
      <c r="J290" t="s">
        <v>50</v>
      </c>
    </row>
    <row r="291" spans="1:10" x14ac:dyDescent="0.25">
      <c r="A291" t="s">
        <v>7355</v>
      </c>
      <c r="B291">
        <f>30484.294215695*(1/100/100)</f>
        <v>3.0484294215695003</v>
      </c>
      <c r="C291">
        <v>4036</v>
      </c>
      <c r="D291" t="s">
        <v>3102</v>
      </c>
      <c r="E291">
        <v>30604</v>
      </c>
      <c r="F291" t="s">
        <v>55</v>
      </c>
      <c r="G291">
        <v>306</v>
      </c>
      <c r="H291" t="s">
        <v>55</v>
      </c>
      <c r="I291">
        <v>3</v>
      </c>
      <c r="J291" t="s">
        <v>50</v>
      </c>
    </row>
    <row r="292" spans="1:10" x14ac:dyDescent="0.25">
      <c r="A292" t="s">
        <v>7355</v>
      </c>
      <c r="B292">
        <f>21571.385605795*(1/100/100)</f>
        <v>2.1571385605794999</v>
      </c>
      <c r="C292">
        <v>4037</v>
      </c>
      <c r="D292" t="s">
        <v>3088</v>
      </c>
      <c r="E292">
        <v>30601</v>
      </c>
      <c r="F292" t="s">
        <v>487</v>
      </c>
      <c r="G292">
        <v>306</v>
      </c>
      <c r="H292" t="s">
        <v>55</v>
      </c>
      <c r="I292">
        <v>3</v>
      </c>
      <c r="J292" t="s">
        <v>50</v>
      </c>
    </row>
    <row r="293" spans="1:10" x14ac:dyDescent="0.25">
      <c r="A293" t="s">
        <v>7355</v>
      </c>
      <c r="B293">
        <f>263900.14051679*(1/100/100)</f>
        <v>26.390014051679</v>
      </c>
      <c r="C293">
        <v>4038</v>
      </c>
      <c r="D293" t="s">
        <v>3131</v>
      </c>
      <c r="E293">
        <v>30639</v>
      </c>
      <c r="F293" t="s">
        <v>512</v>
      </c>
      <c r="G293">
        <v>306</v>
      </c>
      <c r="H293" t="s">
        <v>55</v>
      </c>
      <c r="I293">
        <v>3</v>
      </c>
      <c r="J293" t="s">
        <v>50</v>
      </c>
    </row>
    <row r="294" spans="1:10" x14ac:dyDescent="0.25">
      <c r="A294" t="s">
        <v>7355</v>
      </c>
      <c r="B294">
        <f>4149.39831843525*(1/100/100)</f>
        <v>0.41493983184352501</v>
      </c>
      <c r="C294">
        <v>4039</v>
      </c>
      <c r="D294" t="s">
        <v>3089</v>
      </c>
      <c r="E294">
        <v>30601</v>
      </c>
      <c r="F294" t="s">
        <v>487</v>
      </c>
      <c r="G294">
        <v>306</v>
      </c>
      <c r="H294" t="s">
        <v>55</v>
      </c>
      <c r="I294">
        <v>3</v>
      </c>
      <c r="J294" t="s">
        <v>50</v>
      </c>
    </row>
    <row r="295" spans="1:10" x14ac:dyDescent="0.25">
      <c r="A295" t="s">
        <v>7355</v>
      </c>
      <c r="B295">
        <f>171537.799141074*(1/100/100)</f>
        <v>17.153779914107403</v>
      </c>
      <c r="C295">
        <v>4040</v>
      </c>
      <c r="D295" t="s">
        <v>510</v>
      </c>
      <c r="E295">
        <v>30636</v>
      </c>
      <c r="F295" t="s">
        <v>510</v>
      </c>
      <c r="G295">
        <v>306</v>
      </c>
      <c r="H295" t="s">
        <v>55</v>
      </c>
      <c r="I295">
        <v>3</v>
      </c>
      <c r="J295" t="s">
        <v>50</v>
      </c>
    </row>
    <row r="296" spans="1:10" x14ac:dyDescent="0.25">
      <c r="A296" t="s">
        <v>7355</v>
      </c>
      <c r="B296">
        <f>17547.3718974181*(1/100/100)</f>
        <v>1.75473718974181</v>
      </c>
      <c r="C296">
        <v>4041</v>
      </c>
      <c r="D296" t="s">
        <v>3120</v>
      </c>
      <c r="E296">
        <v>30616</v>
      </c>
      <c r="F296" t="s">
        <v>498</v>
      </c>
      <c r="G296">
        <v>306</v>
      </c>
      <c r="H296" t="s">
        <v>55</v>
      </c>
      <c r="I296">
        <v>3</v>
      </c>
      <c r="J296" t="s">
        <v>50</v>
      </c>
    </row>
    <row r="297" spans="1:10" x14ac:dyDescent="0.25">
      <c r="A297" t="s">
        <v>7355</v>
      </c>
      <c r="B297">
        <f>129949.541884353*(1/100/100)</f>
        <v>12.994954188435301</v>
      </c>
      <c r="C297">
        <v>4042</v>
      </c>
      <c r="D297" t="s">
        <v>515</v>
      </c>
      <c r="E297">
        <v>30646</v>
      </c>
      <c r="F297" t="s">
        <v>515</v>
      </c>
      <c r="G297">
        <v>306</v>
      </c>
      <c r="H297" t="s">
        <v>55</v>
      </c>
      <c r="I297">
        <v>3</v>
      </c>
      <c r="J297" t="s">
        <v>50</v>
      </c>
    </row>
    <row r="298" spans="1:10" x14ac:dyDescent="0.25">
      <c r="A298" t="s">
        <v>7355</v>
      </c>
      <c r="B298">
        <f>129567.380226126*(1/100/100)</f>
        <v>12.956738022612601</v>
      </c>
      <c r="C298">
        <v>4101</v>
      </c>
      <c r="D298" t="s">
        <v>3127</v>
      </c>
      <c r="E298">
        <v>30633</v>
      </c>
      <c r="F298" t="s">
        <v>508</v>
      </c>
      <c r="G298">
        <v>306</v>
      </c>
      <c r="H298" t="s">
        <v>55</v>
      </c>
      <c r="I298">
        <v>3</v>
      </c>
      <c r="J298" t="s">
        <v>50</v>
      </c>
    </row>
    <row r="299" spans="1:10" x14ac:dyDescent="0.25">
      <c r="A299" t="s">
        <v>7355</v>
      </c>
      <c r="B299">
        <f>549547.836098567*(1/100/100)</f>
        <v>54.954783609856705</v>
      </c>
      <c r="C299">
        <v>4102</v>
      </c>
      <c r="D299" t="s">
        <v>491</v>
      </c>
      <c r="E299">
        <v>30607</v>
      </c>
      <c r="F299" t="s">
        <v>491</v>
      </c>
      <c r="G299">
        <v>306</v>
      </c>
      <c r="H299" t="s">
        <v>55</v>
      </c>
      <c r="I299">
        <v>3</v>
      </c>
      <c r="J299" t="s">
        <v>50</v>
      </c>
    </row>
    <row r="300" spans="1:10" x14ac:dyDescent="0.25">
      <c r="A300" t="s">
        <v>7355</v>
      </c>
      <c r="B300">
        <f>126669.655084861*(1/100/100)</f>
        <v>12.666965508486101</v>
      </c>
      <c r="C300">
        <v>4103</v>
      </c>
      <c r="D300" t="s">
        <v>3122</v>
      </c>
      <c r="E300">
        <v>30626</v>
      </c>
      <c r="F300" t="s">
        <v>504</v>
      </c>
      <c r="G300">
        <v>306</v>
      </c>
      <c r="H300" t="s">
        <v>55</v>
      </c>
      <c r="I300">
        <v>3</v>
      </c>
      <c r="J300" t="s">
        <v>50</v>
      </c>
    </row>
    <row r="301" spans="1:10" x14ac:dyDescent="0.25">
      <c r="A301" t="s">
        <v>7355</v>
      </c>
      <c r="B301">
        <f>179657.121512*(1/100/100)</f>
        <v>17.965712151200002</v>
      </c>
      <c r="C301">
        <v>4104</v>
      </c>
      <c r="D301" t="s">
        <v>3121</v>
      </c>
      <c r="E301">
        <v>30621</v>
      </c>
      <c r="F301" t="s">
        <v>501</v>
      </c>
      <c r="G301">
        <v>306</v>
      </c>
      <c r="H301" t="s">
        <v>55</v>
      </c>
      <c r="I301">
        <v>3</v>
      </c>
      <c r="J301" t="s">
        <v>50</v>
      </c>
    </row>
    <row r="302" spans="1:10" x14ac:dyDescent="0.25">
      <c r="A302" t="s">
        <v>7355</v>
      </c>
      <c r="B302">
        <f>336283.435408101*(1/100/100)</f>
        <v>33.6283435408101</v>
      </c>
      <c r="C302">
        <v>4105</v>
      </c>
      <c r="D302" t="s">
        <v>502</v>
      </c>
      <c r="E302">
        <v>30623</v>
      </c>
      <c r="F302" t="s">
        <v>502</v>
      </c>
      <c r="G302">
        <v>306</v>
      </c>
      <c r="H302" t="s">
        <v>55</v>
      </c>
      <c r="I302">
        <v>3</v>
      </c>
      <c r="J302" t="s">
        <v>50</v>
      </c>
    </row>
    <row r="303" spans="1:10" x14ac:dyDescent="0.25">
      <c r="A303" t="s">
        <v>7355</v>
      </c>
      <c r="B303">
        <f>361053.392811877*(1/100/100)</f>
        <v>36.105339281187703</v>
      </c>
      <c r="C303">
        <v>4106</v>
      </c>
      <c r="D303" t="s">
        <v>504</v>
      </c>
      <c r="E303">
        <v>30626</v>
      </c>
      <c r="F303" t="s">
        <v>504</v>
      </c>
      <c r="G303">
        <v>306</v>
      </c>
      <c r="H303" t="s">
        <v>55</v>
      </c>
      <c r="I303">
        <v>3</v>
      </c>
      <c r="J303" t="s">
        <v>50</v>
      </c>
    </row>
    <row r="304" spans="1:10" x14ac:dyDescent="0.25">
      <c r="A304" t="s">
        <v>7355</v>
      </c>
      <c r="B304">
        <f>223721.458912436*(1/100/100)</f>
        <v>22.372145891243601</v>
      </c>
      <c r="C304">
        <v>4107</v>
      </c>
      <c r="D304" t="s">
        <v>506</v>
      </c>
      <c r="E304">
        <v>30629</v>
      </c>
      <c r="F304" t="s">
        <v>506</v>
      </c>
      <c r="G304">
        <v>306</v>
      </c>
      <c r="H304" t="s">
        <v>55</v>
      </c>
      <c r="I304">
        <v>3</v>
      </c>
      <c r="J304" t="s">
        <v>50</v>
      </c>
    </row>
    <row r="305" spans="1:10" x14ac:dyDescent="0.25">
      <c r="A305" t="s">
        <v>7355</v>
      </c>
      <c r="B305">
        <f>34892.9538495126*(1/100/100)</f>
        <v>3.4892953849512605</v>
      </c>
      <c r="C305">
        <v>4108</v>
      </c>
      <c r="D305" t="s">
        <v>3107</v>
      </c>
      <c r="E305">
        <v>30607</v>
      </c>
      <c r="F305" t="s">
        <v>491</v>
      </c>
      <c r="G305">
        <v>306</v>
      </c>
      <c r="H305" t="s">
        <v>55</v>
      </c>
      <c r="I305">
        <v>3</v>
      </c>
      <c r="J305" t="s">
        <v>50</v>
      </c>
    </row>
    <row r="306" spans="1:10" x14ac:dyDescent="0.25">
      <c r="A306" t="s">
        <v>7355</v>
      </c>
      <c r="B306">
        <f>157559.029723364*(1/100/100)</f>
        <v>15.755902972336399</v>
      </c>
      <c r="C306">
        <v>4109</v>
      </c>
      <c r="D306" t="s">
        <v>508</v>
      </c>
      <c r="E306">
        <v>30633</v>
      </c>
      <c r="F306" t="s">
        <v>508</v>
      </c>
      <c r="G306">
        <v>306</v>
      </c>
      <c r="H306" t="s">
        <v>55</v>
      </c>
      <c r="I306">
        <v>3</v>
      </c>
      <c r="J306" t="s">
        <v>50</v>
      </c>
    </row>
    <row r="307" spans="1:10" x14ac:dyDescent="0.25">
      <c r="A307" t="s">
        <v>7355</v>
      </c>
      <c r="B307">
        <f>82547.806999343*(1/100/100)</f>
        <v>8.2547806999342992</v>
      </c>
      <c r="C307">
        <v>4110</v>
      </c>
      <c r="D307" t="s">
        <v>3123</v>
      </c>
      <c r="E307">
        <v>30626</v>
      </c>
      <c r="F307" t="s">
        <v>504</v>
      </c>
      <c r="G307">
        <v>306</v>
      </c>
      <c r="H307" t="s">
        <v>55</v>
      </c>
      <c r="I307">
        <v>3</v>
      </c>
      <c r="J307" t="s">
        <v>50</v>
      </c>
    </row>
    <row r="308" spans="1:10" x14ac:dyDescent="0.25">
      <c r="A308" t="s">
        <v>7355</v>
      </c>
      <c r="B308">
        <f>351528.693851817*(1/100/100)</f>
        <v>35.152869385181702</v>
      </c>
      <c r="C308">
        <v>4112</v>
      </c>
      <c r="D308" t="s">
        <v>513</v>
      </c>
      <c r="E308">
        <v>30641</v>
      </c>
      <c r="F308" t="s">
        <v>513</v>
      </c>
      <c r="G308">
        <v>306</v>
      </c>
      <c r="H308" t="s">
        <v>55</v>
      </c>
      <c r="I308">
        <v>3</v>
      </c>
      <c r="J308" t="s">
        <v>50</v>
      </c>
    </row>
    <row r="309" spans="1:10" x14ac:dyDescent="0.25">
      <c r="A309" t="s">
        <v>7355</v>
      </c>
      <c r="B309">
        <f>236078.35748237*(1/100/100)</f>
        <v>23.607835748237001</v>
      </c>
      <c r="C309">
        <v>4113</v>
      </c>
      <c r="D309" t="s">
        <v>3108</v>
      </c>
      <c r="E309">
        <v>30607</v>
      </c>
      <c r="F309" t="s">
        <v>491</v>
      </c>
      <c r="G309">
        <v>306</v>
      </c>
      <c r="H309" t="s">
        <v>55</v>
      </c>
      <c r="I309">
        <v>3</v>
      </c>
      <c r="J309" t="s">
        <v>50</v>
      </c>
    </row>
    <row r="310" spans="1:10" x14ac:dyDescent="0.25">
      <c r="A310" t="s">
        <v>7355</v>
      </c>
      <c r="B310">
        <f>108449.552703915*(1/100/100)</f>
        <v>10.844955270391502</v>
      </c>
      <c r="C310">
        <v>4114</v>
      </c>
      <c r="D310" t="s">
        <v>3124</v>
      </c>
      <c r="E310">
        <v>30626</v>
      </c>
      <c r="F310" t="s">
        <v>504</v>
      </c>
      <c r="G310">
        <v>306</v>
      </c>
      <c r="H310" t="s">
        <v>55</v>
      </c>
      <c r="I310">
        <v>3</v>
      </c>
      <c r="J310" t="s">
        <v>50</v>
      </c>
    </row>
    <row r="311" spans="1:10" x14ac:dyDescent="0.25">
      <c r="A311" t="s">
        <v>7355</v>
      </c>
      <c r="B311">
        <f>246626.685916214*(1/100/100)</f>
        <v>24.662668591621401</v>
      </c>
      <c r="C311">
        <v>4115</v>
      </c>
      <c r="D311" t="s">
        <v>3109</v>
      </c>
      <c r="E311">
        <v>30607</v>
      </c>
      <c r="F311" t="s">
        <v>491</v>
      </c>
      <c r="G311">
        <v>306</v>
      </c>
      <c r="H311" t="s">
        <v>55</v>
      </c>
      <c r="I311">
        <v>3</v>
      </c>
      <c r="J311" t="s">
        <v>50</v>
      </c>
    </row>
    <row r="312" spans="1:10" x14ac:dyDescent="0.25">
      <c r="A312" t="s">
        <v>7355</v>
      </c>
      <c r="B312">
        <f>69878.8191982527*(1/100/100)</f>
        <v>6.9878819198252708</v>
      </c>
      <c r="C312">
        <v>4301</v>
      </c>
      <c r="D312" t="s">
        <v>2535</v>
      </c>
      <c r="E312">
        <v>30602</v>
      </c>
      <c r="F312" t="s">
        <v>488</v>
      </c>
      <c r="G312">
        <v>306</v>
      </c>
      <c r="H312" t="s">
        <v>55</v>
      </c>
      <c r="I312">
        <v>3</v>
      </c>
      <c r="J312" t="s">
        <v>50</v>
      </c>
    </row>
    <row r="313" spans="1:10" x14ac:dyDescent="0.25">
      <c r="A313" t="s">
        <v>7355</v>
      </c>
      <c r="B313">
        <f>353427.514426485*(1/100/100)</f>
        <v>35.342751442648499</v>
      </c>
      <c r="C313">
        <v>4302</v>
      </c>
      <c r="D313" t="s">
        <v>3103</v>
      </c>
      <c r="E313">
        <v>30605</v>
      </c>
      <c r="F313" t="s">
        <v>490</v>
      </c>
      <c r="G313">
        <v>306</v>
      </c>
      <c r="H313" t="s">
        <v>55</v>
      </c>
      <c r="I313">
        <v>3</v>
      </c>
      <c r="J313" t="s">
        <v>50</v>
      </c>
    </row>
    <row r="314" spans="1:10" x14ac:dyDescent="0.25">
      <c r="A314" t="s">
        <v>7355</v>
      </c>
      <c r="B314">
        <f>199635.979937994*(1/100/100)</f>
        <v>19.9635979937994</v>
      </c>
      <c r="C314">
        <v>4303</v>
      </c>
      <c r="D314" t="s">
        <v>3104</v>
      </c>
      <c r="E314">
        <v>30605</v>
      </c>
      <c r="F314" t="s">
        <v>490</v>
      </c>
      <c r="G314">
        <v>306</v>
      </c>
      <c r="H314" t="s">
        <v>55</v>
      </c>
      <c r="I314">
        <v>3</v>
      </c>
      <c r="J314" t="s">
        <v>50</v>
      </c>
    </row>
    <row r="315" spans="1:10" x14ac:dyDescent="0.25">
      <c r="A315" t="s">
        <v>7355</v>
      </c>
      <c r="B315">
        <f>27188.5726202034*(1/100/100)</f>
        <v>2.7188572620203399</v>
      </c>
      <c r="C315">
        <v>4304</v>
      </c>
      <c r="D315" t="s">
        <v>3105</v>
      </c>
      <c r="E315">
        <v>30605</v>
      </c>
      <c r="F315" t="s">
        <v>490</v>
      </c>
      <c r="G315">
        <v>306</v>
      </c>
      <c r="H315" t="s">
        <v>55</v>
      </c>
      <c r="I315">
        <v>3</v>
      </c>
      <c r="J315" t="s">
        <v>50</v>
      </c>
    </row>
    <row r="316" spans="1:10" x14ac:dyDescent="0.25">
      <c r="A316" t="s">
        <v>7355</v>
      </c>
      <c r="B316">
        <f>81892.7456429702*(1/100/100)</f>
        <v>8.1892745642970208</v>
      </c>
      <c r="C316">
        <v>4305</v>
      </c>
      <c r="D316" t="s">
        <v>3106</v>
      </c>
      <c r="E316">
        <v>30605</v>
      </c>
      <c r="F316" t="s">
        <v>490</v>
      </c>
      <c r="G316">
        <v>306</v>
      </c>
      <c r="H316" t="s">
        <v>55</v>
      </c>
      <c r="I316">
        <v>3</v>
      </c>
      <c r="J316" t="s">
        <v>50</v>
      </c>
    </row>
    <row r="317" spans="1:10" x14ac:dyDescent="0.25">
      <c r="A317" t="s">
        <v>7355</v>
      </c>
      <c r="B317">
        <f>36361.2692630672*(1/100/100)</f>
        <v>3.6361269263067206</v>
      </c>
      <c r="C317">
        <v>4306</v>
      </c>
      <c r="D317" t="s">
        <v>3090</v>
      </c>
      <c r="E317">
        <v>30602</v>
      </c>
      <c r="F317" t="s">
        <v>488</v>
      </c>
      <c r="G317">
        <v>306</v>
      </c>
      <c r="H317" t="s">
        <v>55</v>
      </c>
      <c r="I317">
        <v>3</v>
      </c>
      <c r="J317" t="s">
        <v>50</v>
      </c>
    </row>
    <row r="318" spans="1:10" x14ac:dyDescent="0.25">
      <c r="A318" t="s">
        <v>7355</v>
      </c>
      <c r="B318">
        <f>317242.287187977*(1/100/100)</f>
        <v>31.724228718797701</v>
      </c>
      <c r="C318">
        <v>4307</v>
      </c>
      <c r="D318" t="s">
        <v>3110</v>
      </c>
      <c r="E318">
        <v>30608</v>
      </c>
      <c r="F318" t="s">
        <v>492</v>
      </c>
      <c r="G318">
        <v>306</v>
      </c>
      <c r="H318" t="s">
        <v>55</v>
      </c>
      <c r="I318">
        <v>3</v>
      </c>
      <c r="J318" t="s">
        <v>50</v>
      </c>
    </row>
    <row r="319" spans="1:10" x14ac:dyDescent="0.25">
      <c r="A319" t="s">
        <v>7355</v>
      </c>
      <c r="B319">
        <f>45341.0943467328*(1/100/100)</f>
        <v>4.5341094346732804</v>
      </c>
      <c r="C319">
        <v>4308</v>
      </c>
      <c r="D319" t="s">
        <v>3125</v>
      </c>
      <c r="E319">
        <v>30627</v>
      </c>
      <c r="F319" t="s">
        <v>505</v>
      </c>
      <c r="G319">
        <v>306</v>
      </c>
      <c r="H319" t="s">
        <v>55</v>
      </c>
      <c r="I319">
        <v>3</v>
      </c>
      <c r="J319" t="s">
        <v>50</v>
      </c>
    </row>
    <row r="320" spans="1:10" x14ac:dyDescent="0.25">
      <c r="A320" t="s">
        <v>7355</v>
      </c>
      <c r="B320">
        <f>115918.561789987*(1/100/100)</f>
        <v>11.5918561789987</v>
      </c>
      <c r="C320">
        <v>4309</v>
      </c>
      <c r="D320" t="s">
        <v>3112</v>
      </c>
      <c r="E320">
        <v>30609</v>
      </c>
      <c r="F320" t="s">
        <v>493</v>
      </c>
      <c r="G320">
        <v>306</v>
      </c>
      <c r="H320" t="s">
        <v>55</v>
      </c>
      <c r="I320">
        <v>3</v>
      </c>
      <c r="J320" t="s">
        <v>50</v>
      </c>
    </row>
    <row r="321" spans="1:10" x14ac:dyDescent="0.25">
      <c r="A321" t="s">
        <v>7355</v>
      </c>
      <c r="B321">
        <f>11695.3068583171*(1/100/100)</f>
        <v>1.16953068583171</v>
      </c>
      <c r="C321">
        <v>4310</v>
      </c>
      <c r="D321" t="s">
        <v>3132</v>
      </c>
      <c r="E321">
        <v>30645</v>
      </c>
      <c r="F321" t="s">
        <v>514</v>
      </c>
      <c r="G321">
        <v>306</v>
      </c>
      <c r="H321" t="s">
        <v>55</v>
      </c>
      <c r="I321">
        <v>3</v>
      </c>
      <c r="J321" t="s">
        <v>50</v>
      </c>
    </row>
    <row r="322" spans="1:10" x14ac:dyDescent="0.25">
      <c r="A322" t="s">
        <v>7355</v>
      </c>
      <c r="B322">
        <f>36958.942400988*(1/100/100)</f>
        <v>3.6958942400988004</v>
      </c>
      <c r="C322">
        <v>4311</v>
      </c>
      <c r="D322" t="s">
        <v>3114</v>
      </c>
      <c r="E322">
        <v>30614</v>
      </c>
      <c r="F322" t="s">
        <v>496</v>
      </c>
      <c r="G322">
        <v>306</v>
      </c>
      <c r="H322" t="s">
        <v>55</v>
      </c>
      <c r="I322">
        <v>3</v>
      </c>
      <c r="J322" t="s">
        <v>50</v>
      </c>
    </row>
    <row r="323" spans="1:10" x14ac:dyDescent="0.25">
      <c r="A323" t="s">
        <v>7355</v>
      </c>
      <c r="B323">
        <f>206660.00504845*(1/100/100)</f>
        <v>20.666000504845002</v>
      </c>
      <c r="C323">
        <v>4312</v>
      </c>
      <c r="D323" t="s">
        <v>497</v>
      </c>
      <c r="E323">
        <v>30615</v>
      </c>
      <c r="F323" t="s">
        <v>497</v>
      </c>
      <c r="G323">
        <v>306</v>
      </c>
      <c r="H323" t="s">
        <v>55</v>
      </c>
      <c r="I323">
        <v>3</v>
      </c>
      <c r="J323" t="s">
        <v>50</v>
      </c>
    </row>
    <row r="324" spans="1:10" x14ac:dyDescent="0.25">
      <c r="A324" t="s">
        <v>7355</v>
      </c>
      <c r="B324">
        <f>106106.548301161*(1/100/100)</f>
        <v>10.610654830116101</v>
      </c>
      <c r="C324">
        <v>4313</v>
      </c>
      <c r="D324" t="s">
        <v>496</v>
      </c>
      <c r="E324">
        <v>30614</v>
      </c>
      <c r="F324" t="s">
        <v>496</v>
      </c>
      <c r="G324">
        <v>306</v>
      </c>
      <c r="H324" t="s">
        <v>55</v>
      </c>
      <c r="I324">
        <v>3</v>
      </c>
      <c r="J324" t="s">
        <v>50</v>
      </c>
    </row>
    <row r="325" spans="1:10" x14ac:dyDescent="0.25">
      <c r="A325" t="s">
        <v>7355</v>
      </c>
      <c r="B325">
        <f>12691.4675946144*(1/100/100)</f>
        <v>1.2691467594614401</v>
      </c>
      <c r="C325">
        <v>4314</v>
      </c>
      <c r="D325" t="s">
        <v>3115</v>
      </c>
      <c r="E325">
        <v>30614</v>
      </c>
      <c r="F325" t="s">
        <v>496</v>
      </c>
      <c r="G325">
        <v>306</v>
      </c>
      <c r="H325" t="s">
        <v>55</v>
      </c>
      <c r="I325">
        <v>3</v>
      </c>
      <c r="J325" t="s">
        <v>50</v>
      </c>
    </row>
    <row r="326" spans="1:10" x14ac:dyDescent="0.25">
      <c r="A326" t="s">
        <v>7355</v>
      </c>
      <c r="B326">
        <f>75742.7636085218*(1/100/100)</f>
        <v>7.5742763608521804</v>
      </c>
      <c r="C326">
        <v>4315</v>
      </c>
      <c r="D326" t="s">
        <v>3111</v>
      </c>
      <c r="E326">
        <v>30608</v>
      </c>
      <c r="F326" t="s">
        <v>492</v>
      </c>
      <c r="G326">
        <v>306</v>
      </c>
      <c r="H326" t="s">
        <v>55</v>
      </c>
      <c r="I326">
        <v>3</v>
      </c>
      <c r="J326" t="s">
        <v>50</v>
      </c>
    </row>
    <row r="327" spans="1:10" x14ac:dyDescent="0.25">
      <c r="A327" t="s">
        <v>7355</v>
      </c>
      <c r="B327">
        <f>41574.9624240391*(1/100/100)</f>
        <v>4.1574962424039104</v>
      </c>
      <c r="C327">
        <v>4316</v>
      </c>
      <c r="D327" t="s">
        <v>3091</v>
      </c>
      <c r="E327">
        <v>30602</v>
      </c>
      <c r="F327" t="s">
        <v>488</v>
      </c>
      <c r="G327">
        <v>306</v>
      </c>
      <c r="H327" t="s">
        <v>55</v>
      </c>
      <c r="I327">
        <v>3</v>
      </c>
      <c r="J327" t="s">
        <v>50</v>
      </c>
    </row>
    <row r="328" spans="1:10" x14ac:dyDescent="0.25">
      <c r="A328" t="s">
        <v>7355</v>
      </c>
      <c r="B328">
        <f>48155.3780701551*(1/100/100)</f>
        <v>4.8155378070155104</v>
      </c>
      <c r="C328">
        <v>4318</v>
      </c>
      <c r="D328" t="s">
        <v>441</v>
      </c>
      <c r="E328">
        <v>30645</v>
      </c>
      <c r="F328" t="s">
        <v>514</v>
      </c>
      <c r="G328">
        <v>306</v>
      </c>
      <c r="H328" t="s">
        <v>55</v>
      </c>
      <c r="I328">
        <v>3</v>
      </c>
      <c r="J328" t="s">
        <v>50</v>
      </c>
    </row>
    <row r="329" spans="1:10" x14ac:dyDescent="0.25">
      <c r="A329" t="s">
        <v>7355</v>
      </c>
      <c r="B329">
        <f>26219.9320765518*(1/100/100)</f>
        <v>2.62199320765518</v>
      </c>
      <c r="C329">
        <v>4319</v>
      </c>
      <c r="D329" t="s">
        <v>3116</v>
      </c>
      <c r="E329">
        <v>30614</v>
      </c>
      <c r="F329" t="s">
        <v>496</v>
      </c>
      <c r="G329">
        <v>306</v>
      </c>
      <c r="H329" t="s">
        <v>55</v>
      </c>
      <c r="I329">
        <v>3</v>
      </c>
      <c r="J329" t="s">
        <v>50</v>
      </c>
    </row>
    <row r="330" spans="1:10" x14ac:dyDescent="0.25">
      <c r="A330" t="s">
        <v>7355</v>
      </c>
      <c r="B330">
        <f>80991.3337040417*(1/100/100)</f>
        <v>8.0991333704041697</v>
      </c>
      <c r="C330">
        <v>4320</v>
      </c>
      <c r="D330" t="s">
        <v>3092</v>
      </c>
      <c r="E330">
        <v>30602</v>
      </c>
      <c r="F330" t="s">
        <v>488</v>
      </c>
      <c r="G330">
        <v>306</v>
      </c>
      <c r="H330" t="s">
        <v>55</v>
      </c>
      <c r="I330">
        <v>3</v>
      </c>
      <c r="J330" t="s">
        <v>50</v>
      </c>
    </row>
    <row r="331" spans="1:10" x14ac:dyDescent="0.25">
      <c r="A331" t="s">
        <v>7355</v>
      </c>
      <c r="B331">
        <f>209246.422371939*(1/100/100)</f>
        <v>20.9246422371939</v>
      </c>
      <c r="C331">
        <v>4321</v>
      </c>
      <c r="D331" t="s">
        <v>505</v>
      </c>
      <c r="E331">
        <v>30627</v>
      </c>
      <c r="F331" t="s">
        <v>505</v>
      </c>
      <c r="G331">
        <v>306</v>
      </c>
      <c r="H331" t="s">
        <v>55</v>
      </c>
      <c r="I331">
        <v>3</v>
      </c>
      <c r="J331" t="s">
        <v>50</v>
      </c>
    </row>
    <row r="332" spans="1:10" x14ac:dyDescent="0.25">
      <c r="A332" t="s">
        <v>7355</v>
      </c>
      <c r="B332">
        <f>9521.11262754325*(1/100/100)</f>
        <v>0.95211126275432512</v>
      </c>
      <c r="C332">
        <v>4322</v>
      </c>
      <c r="D332" t="s">
        <v>1738</v>
      </c>
      <c r="E332">
        <v>30614</v>
      </c>
      <c r="F332" t="s">
        <v>496</v>
      </c>
      <c r="G332">
        <v>306</v>
      </c>
      <c r="H332" t="s">
        <v>55</v>
      </c>
      <c r="I332">
        <v>3</v>
      </c>
      <c r="J332" t="s">
        <v>50</v>
      </c>
    </row>
    <row r="333" spans="1:10" x14ac:dyDescent="0.25">
      <c r="A333" t="s">
        <v>7355</v>
      </c>
      <c r="B333">
        <f>27317.2874842422*(1/100/100)</f>
        <v>2.7317287484242199</v>
      </c>
      <c r="C333">
        <v>4323</v>
      </c>
      <c r="D333" t="s">
        <v>3133</v>
      </c>
      <c r="E333">
        <v>30645</v>
      </c>
      <c r="F333" t="s">
        <v>514</v>
      </c>
      <c r="G333">
        <v>306</v>
      </c>
      <c r="H333" t="s">
        <v>55</v>
      </c>
      <c r="I333">
        <v>3</v>
      </c>
      <c r="J333" t="s">
        <v>50</v>
      </c>
    </row>
    <row r="334" spans="1:10" x14ac:dyDescent="0.25">
      <c r="A334" t="s">
        <v>7355</v>
      </c>
      <c r="B334">
        <f>2485.83196113614*(1/100/100)</f>
        <v>0.24858319611361399</v>
      </c>
      <c r="C334">
        <v>4324</v>
      </c>
      <c r="D334" t="s">
        <v>3117</v>
      </c>
      <c r="E334">
        <v>30614</v>
      </c>
      <c r="F334" t="s">
        <v>496</v>
      </c>
      <c r="G334">
        <v>306</v>
      </c>
      <c r="H334" t="s">
        <v>55</v>
      </c>
      <c r="I334">
        <v>3</v>
      </c>
      <c r="J334" t="s">
        <v>50</v>
      </c>
    </row>
    <row r="335" spans="1:10" x14ac:dyDescent="0.25">
      <c r="A335" t="s">
        <v>7355</v>
      </c>
      <c r="B335">
        <f>83053.5680203059*(1/100/100)</f>
        <v>8.305356802030591</v>
      </c>
      <c r="C335">
        <v>4325</v>
      </c>
      <c r="D335" t="s">
        <v>3093</v>
      </c>
      <c r="E335">
        <v>30602</v>
      </c>
      <c r="F335" t="s">
        <v>488</v>
      </c>
      <c r="G335">
        <v>306</v>
      </c>
      <c r="H335" t="s">
        <v>55</v>
      </c>
      <c r="I335">
        <v>3</v>
      </c>
      <c r="J335" t="s">
        <v>50</v>
      </c>
    </row>
    <row r="336" spans="1:10" x14ac:dyDescent="0.25">
      <c r="A336" t="s">
        <v>7355</v>
      </c>
      <c r="B336">
        <f>9163.35989972213*(1/100/100)</f>
        <v>0.91633598997221311</v>
      </c>
      <c r="C336">
        <v>4326</v>
      </c>
      <c r="D336" t="s">
        <v>3118</v>
      </c>
      <c r="E336">
        <v>30614</v>
      </c>
      <c r="F336" t="s">
        <v>496</v>
      </c>
      <c r="G336">
        <v>306</v>
      </c>
      <c r="H336" t="s">
        <v>55</v>
      </c>
      <c r="I336">
        <v>3</v>
      </c>
      <c r="J336" t="s">
        <v>50</v>
      </c>
    </row>
    <row r="337" spans="1:10" x14ac:dyDescent="0.25">
      <c r="A337" t="s">
        <v>7355</v>
      </c>
      <c r="B337">
        <f>126496.133186261*(1/100/100)</f>
        <v>12.6496133186261</v>
      </c>
      <c r="C337">
        <v>4327</v>
      </c>
      <c r="D337" t="s">
        <v>3134</v>
      </c>
      <c r="E337">
        <v>30645</v>
      </c>
      <c r="F337" t="s">
        <v>514</v>
      </c>
      <c r="G337">
        <v>306</v>
      </c>
      <c r="H337" t="s">
        <v>55</v>
      </c>
      <c r="I337">
        <v>3</v>
      </c>
      <c r="J337" t="s">
        <v>50</v>
      </c>
    </row>
    <row r="338" spans="1:10" x14ac:dyDescent="0.25">
      <c r="A338" t="s">
        <v>7355</v>
      </c>
      <c r="B338">
        <f>92859.7252851545*(1/100/100)</f>
        <v>9.2859725285154511</v>
      </c>
      <c r="C338">
        <v>5001</v>
      </c>
      <c r="D338" t="s">
        <v>3140</v>
      </c>
      <c r="E338">
        <v>30708</v>
      </c>
      <c r="F338" t="s">
        <v>520</v>
      </c>
      <c r="G338">
        <v>307</v>
      </c>
      <c r="H338" t="s">
        <v>56</v>
      </c>
      <c r="I338">
        <v>3</v>
      </c>
      <c r="J338" t="s">
        <v>50</v>
      </c>
    </row>
    <row r="339" spans="1:10" x14ac:dyDescent="0.25">
      <c r="A339" t="s">
        <v>7355</v>
      </c>
      <c r="B339">
        <f>149677.623285809*(1/100/100)</f>
        <v>14.967762328580902</v>
      </c>
      <c r="C339">
        <v>5002</v>
      </c>
      <c r="D339" t="s">
        <v>3135</v>
      </c>
      <c r="E339">
        <v>30701</v>
      </c>
      <c r="F339" t="s">
        <v>516</v>
      </c>
      <c r="G339">
        <v>307</v>
      </c>
      <c r="H339" t="s">
        <v>56</v>
      </c>
      <c r="I339">
        <v>3</v>
      </c>
      <c r="J339" t="s">
        <v>50</v>
      </c>
    </row>
    <row r="340" spans="1:10" x14ac:dyDescent="0.25">
      <c r="A340" t="s">
        <v>7355</v>
      </c>
      <c r="B340">
        <f>722690.047885672*(1/100/100)</f>
        <v>72.269004788567202</v>
      </c>
      <c r="C340">
        <v>5003</v>
      </c>
      <c r="D340" t="s">
        <v>56</v>
      </c>
      <c r="E340">
        <v>30704</v>
      </c>
      <c r="F340" t="s">
        <v>56</v>
      </c>
      <c r="G340">
        <v>307</v>
      </c>
      <c r="H340" t="s">
        <v>56</v>
      </c>
      <c r="I340">
        <v>3</v>
      </c>
      <c r="J340" t="s">
        <v>50</v>
      </c>
    </row>
    <row r="341" spans="1:10" x14ac:dyDescent="0.25">
      <c r="A341" t="s">
        <v>7355</v>
      </c>
      <c r="B341">
        <f>289928.080188835*(1/100/100)</f>
        <v>28.992808018883501</v>
      </c>
      <c r="C341">
        <v>5005</v>
      </c>
      <c r="D341" t="s">
        <v>519</v>
      </c>
      <c r="E341">
        <v>30706</v>
      </c>
      <c r="F341" t="s">
        <v>519</v>
      </c>
      <c r="G341">
        <v>307</v>
      </c>
      <c r="H341" t="s">
        <v>56</v>
      </c>
      <c r="I341">
        <v>3</v>
      </c>
      <c r="J341" t="s">
        <v>50</v>
      </c>
    </row>
    <row r="342" spans="1:10" x14ac:dyDescent="0.25">
      <c r="A342" t="s">
        <v>7355</v>
      </c>
      <c r="B342">
        <f>121180.740484735*(1/100/100)</f>
        <v>12.118074048473501</v>
      </c>
      <c r="C342">
        <v>5006</v>
      </c>
      <c r="D342" t="s">
        <v>3158</v>
      </c>
      <c r="E342">
        <v>30726</v>
      </c>
      <c r="F342" t="s">
        <v>532</v>
      </c>
      <c r="G342">
        <v>307</v>
      </c>
      <c r="H342" t="s">
        <v>56</v>
      </c>
      <c r="I342">
        <v>3</v>
      </c>
      <c r="J342" t="s">
        <v>50</v>
      </c>
    </row>
    <row r="343" spans="1:10" x14ac:dyDescent="0.25">
      <c r="A343" t="s">
        <v>7355</v>
      </c>
      <c r="B343">
        <f>46940.3142066301*(1/100/100)</f>
        <v>4.69403142066301</v>
      </c>
      <c r="C343">
        <v>5007</v>
      </c>
      <c r="D343" t="s">
        <v>3153</v>
      </c>
      <c r="E343">
        <v>30721</v>
      </c>
      <c r="F343" t="s">
        <v>529</v>
      </c>
      <c r="G343">
        <v>307</v>
      </c>
      <c r="H343" t="s">
        <v>56</v>
      </c>
      <c r="I343">
        <v>3</v>
      </c>
      <c r="J343" t="s">
        <v>50</v>
      </c>
    </row>
    <row r="344" spans="1:10" x14ac:dyDescent="0.25">
      <c r="A344" t="s">
        <v>7355</v>
      </c>
      <c r="B344">
        <f>180111.033623103*(1/100/100)</f>
        <v>18.011103362310301</v>
      </c>
      <c r="C344">
        <v>5008</v>
      </c>
      <c r="D344" t="s">
        <v>3141</v>
      </c>
      <c r="E344">
        <v>30708</v>
      </c>
      <c r="F344" t="s">
        <v>520</v>
      </c>
      <c r="G344">
        <v>307</v>
      </c>
      <c r="H344" t="s">
        <v>56</v>
      </c>
      <c r="I344">
        <v>3</v>
      </c>
      <c r="J344" t="s">
        <v>50</v>
      </c>
    </row>
    <row r="345" spans="1:10" x14ac:dyDescent="0.25">
      <c r="A345" t="s">
        <v>7355</v>
      </c>
      <c r="B345">
        <f>155586.554474788*(1/100/100)</f>
        <v>15.558655447478801</v>
      </c>
      <c r="C345">
        <v>5009</v>
      </c>
      <c r="D345" t="s">
        <v>3142</v>
      </c>
      <c r="E345">
        <v>30709</v>
      </c>
      <c r="F345" t="s">
        <v>521</v>
      </c>
      <c r="G345">
        <v>307</v>
      </c>
      <c r="H345" t="s">
        <v>56</v>
      </c>
      <c r="I345">
        <v>3</v>
      </c>
      <c r="J345" t="s">
        <v>50</v>
      </c>
    </row>
    <row r="346" spans="1:10" x14ac:dyDescent="0.25">
      <c r="A346" t="s">
        <v>7355</v>
      </c>
      <c r="B346">
        <f>228464.834391471*(1/100/100)</f>
        <v>22.8464834391471</v>
      </c>
      <c r="C346">
        <v>5010</v>
      </c>
      <c r="D346" t="s">
        <v>3148</v>
      </c>
      <c r="E346">
        <v>30713</v>
      </c>
      <c r="F346" t="s">
        <v>524</v>
      </c>
      <c r="G346">
        <v>307</v>
      </c>
      <c r="H346" t="s">
        <v>56</v>
      </c>
      <c r="I346">
        <v>3</v>
      </c>
      <c r="J346" t="s">
        <v>50</v>
      </c>
    </row>
    <row r="347" spans="1:10" x14ac:dyDescent="0.25">
      <c r="A347" t="s">
        <v>7355</v>
      </c>
      <c r="B347">
        <f>212538.210438463*(1/100/100)</f>
        <v>21.253821043846301</v>
      </c>
      <c r="C347">
        <v>5011</v>
      </c>
      <c r="D347" t="s">
        <v>523</v>
      </c>
      <c r="E347">
        <v>30712</v>
      </c>
      <c r="F347" t="s">
        <v>523</v>
      </c>
      <c r="G347">
        <v>307</v>
      </c>
      <c r="H347" t="s">
        <v>56</v>
      </c>
      <c r="I347">
        <v>3</v>
      </c>
      <c r="J347" t="s">
        <v>50</v>
      </c>
    </row>
    <row r="348" spans="1:10" x14ac:dyDescent="0.25">
      <c r="A348" t="s">
        <v>7355</v>
      </c>
      <c r="B348">
        <f>440502.920098666*(1/100/100)</f>
        <v>44.050292009866602</v>
      </c>
      <c r="C348">
        <v>5012</v>
      </c>
      <c r="D348" t="s">
        <v>526</v>
      </c>
      <c r="E348">
        <v>30716</v>
      </c>
      <c r="F348" t="s">
        <v>526</v>
      </c>
      <c r="G348">
        <v>307</v>
      </c>
      <c r="H348" t="s">
        <v>56</v>
      </c>
      <c r="I348">
        <v>3</v>
      </c>
      <c r="J348" t="s">
        <v>50</v>
      </c>
    </row>
    <row r="349" spans="1:10" x14ac:dyDescent="0.25">
      <c r="A349" t="s">
        <v>7355</v>
      </c>
      <c r="B349">
        <f>193664.150237604*(1/100/100)</f>
        <v>19.3664150237604</v>
      </c>
      <c r="C349">
        <v>5013</v>
      </c>
      <c r="D349" t="s">
        <v>3139</v>
      </c>
      <c r="E349">
        <v>30706</v>
      </c>
      <c r="F349" t="s">
        <v>519</v>
      </c>
      <c r="G349">
        <v>307</v>
      </c>
      <c r="H349" t="s">
        <v>56</v>
      </c>
      <c r="I349">
        <v>3</v>
      </c>
      <c r="J349" t="s">
        <v>50</v>
      </c>
    </row>
    <row r="350" spans="1:10" x14ac:dyDescent="0.25">
      <c r="A350" t="s">
        <v>7355</v>
      </c>
      <c r="B350">
        <f>94483.9126288314*(1/100/100)</f>
        <v>9.4483912628831401</v>
      </c>
      <c r="C350">
        <v>5014</v>
      </c>
      <c r="D350" t="s">
        <v>3154</v>
      </c>
      <c r="E350">
        <v>30721</v>
      </c>
      <c r="F350" t="s">
        <v>529</v>
      </c>
      <c r="G350">
        <v>307</v>
      </c>
      <c r="H350" t="s">
        <v>56</v>
      </c>
      <c r="I350">
        <v>3</v>
      </c>
      <c r="J350" t="s">
        <v>50</v>
      </c>
    </row>
    <row r="351" spans="1:10" x14ac:dyDescent="0.25">
      <c r="A351" t="s">
        <v>7355</v>
      </c>
      <c r="B351">
        <f>82858.9802223535*(1/100/100)</f>
        <v>8.2858980222353491</v>
      </c>
      <c r="C351">
        <v>5015</v>
      </c>
      <c r="D351" t="s">
        <v>3143</v>
      </c>
      <c r="E351">
        <v>30709</v>
      </c>
      <c r="F351" t="s">
        <v>521</v>
      </c>
      <c r="G351">
        <v>307</v>
      </c>
      <c r="H351" t="s">
        <v>56</v>
      </c>
      <c r="I351">
        <v>3</v>
      </c>
      <c r="J351" t="s">
        <v>50</v>
      </c>
    </row>
    <row r="352" spans="1:10" x14ac:dyDescent="0.25">
      <c r="A352" t="s">
        <v>7355</v>
      </c>
      <c r="B352">
        <f>11982.4658286628*(1/100/100)</f>
        <v>1.1982465828662801</v>
      </c>
      <c r="C352">
        <v>5016</v>
      </c>
      <c r="D352" t="s">
        <v>3137</v>
      </c>
      <c r="E352">
        <v>30704</v>
      </c>
      <c r="F352" t="s">
        <v>56</v>
      </c>
      <c r="G352">
        <v>307</v>
      </c>
      <c r="H352" t="s">
        <v>56</v>
      </c>
      <c r="I352">
        <v>3</v>
      </c>
      <c r="J352" t="s">
        <v>50</v>
      </c>
    </row>
    <row r="353" spans="1:10" x14ac:dyDescent="0.25">
      <c r="A353" t="s">
        <v>7355</v>
      </c>
      <c r="B353">
        <f>69722.5063778893*(1/100/100)</f>
        <v>6.97225063778893</v>
      </c>
      <c r="C353">
        <v>5017</v>
      </c>
      <c r="D353" t="s">
        <v>529</v>
      </c>
      <c r="E353">
        <v>30721</v>
      </c>
      <c r="F353" t="s">
        <v>529</v>
      </c>
      <c r="G353">
        <v>307</v>
      </c>
      <c r="H353" t="s">
        <v>56</v>
      </c>
      <c r="I353">
        <v>3</v>
      </c>
      <c r="J353" t="s">
        <v>50</v>
      </c>
    </row>
    <row r="354" spans="1:10" x14ac:dyDescent="0.25">
      <c r="A354" t="s">
        <v>7355</v>
      </c>
      <c r="B354">
        <f>85682.6610654032*(1/100/100)</f>
        <v>8.5682661065403209</v>
      </c>
      <c r="C354">
        <v>5018</v>
      </c>
      <c r="D354" t="s">
        <v>3159</v>
      </c>
      <c r="E354">
        <v>30726</v>
      </c>
      <c r="F354" t="s">
        <v>532</v>
      </c>
      <c r="G354">
        <v>307</v>
      </c>
      <c r="H354" t="s">
        <v>56</v>
      </c>
      <c r="I354">
        <v>3</v>
      </c>
      <c r="J354" t="s">
        <v>50</v>
      </c>
    </row>
    <row r="355" spans="1:10" x14ac:dyDescent="0.25">
      <c r="A355" t="s">
        <v>7355</v>
      </c>
      <c r="B355">
        <f>279233.745073848*(1/100/100)</f>
        <v>27.9233745073848</v>
      </c>
      <c r="C355">
        <v>5019</v>
      </c>
      <c r="D355" t="s">
        <v>531</v>
      </c>
      <c r="E355">
        <v>30724</v>
      </c>
      <c r="F355" t="s">
        <v>531</v>
      </c>
      <c r="G355">
        <v>307</v>
      </c>
      <c r="H355" t="s">
        <v>56</v>
      </c>
      <c r="I355">
        <v>3</v>
      </c>
      <c r="J355" t="s">
        <v>50</v>
      </c>
    </row>
    <row r="356" spans="1:10" x14ac:dyDescent="0.25">
      <c r="A356" t="s">
        <v>7355</v>
      </c>
      <c r="B356">
        <f>84544.9177735428*(1/100/100)</f>
        <v>8.4544917773542796</v>
      </c>
      <c r="C356">
        <v>5020</v>
      </c>
      <c r="D356" t="s">
        <v>3160</v>
      </c>
      <c r="E356">
        <v>30726</v>
      </c>
      <c r="F356" t="s">
        <v>532</v>
      </c>
      <c r="G356">
        <v>307</v>
      </c>
      <c r="H356" t="s">
        <v>56</v>
      </c>
      <c r="I356">
        <v>3</v>
      </c>
      <c r="J356" t="s">
        <v>50</v>
      </c>
    </row>
    <row r="357" spans="1:10" x14ac:dyDescent="0.25">
      <c r="A357" t="s">
        <v>7355</v>
      </c>
      <c r="B357">
        <f>133115.700441023*(1/100/100)</f>
        <v>13.311570044102298</v>
      </c>
      <c r="C357">
        <v>5021</v>
      </c>
      <c r="D357" t="s">
        <v>3161</v>
      </c>
      <c r="E357">
        <v>30726</v>
      </c>
      <c r="F357" t="s">
        <v>532</v>
      </c>
      <c r="G357">
        <v>307</v>
      </c>
      <c r="H357" t="s">
        <v>56</v>
      </c>
      <c r="I357">
        <v>3</v>
      </c>
      <c r="J357" t="s">
        <v>50</v>
      </c>
    </row>
    <row r="358" spans="1:10" x14ac:dyDescent="0.25">
      <c r="A358" t="s">
        <v>7355</v>
      </c>
      <c r="B358">
        <f>122730.565037386*(1/100/100)</f>
        <v>12.2730565037386</v>
      </c>
      <c r="C358">
        <v>5022</v>
      </c>
      <c r="D358" t="s">
        <v>3138</v>
      </c>
      <c r="E358">
        <v>30704</v>
      </c>
      <c r="F358" t="s">
        <v>56</v>
      </c>
      <c r="G358">
        <v>307</v>
      </c>
      <c r="H358" t="s">
        <v>56</v>
      </c>
      <c r="I358">
        <v>3</v>
      </c>
      <c r="J358" t="s">
        <v>50</v>
      </c>
    </row>
    <row r="359" spans="1:10" x14ac:dyDescent="0.25">
      <c r="A359" t="s">
        <v>7355</v>
      </c>
      <c r="B359">
        <f>52621.3962413008*(1/100/100)</f>
        <v>5.2621396241300804</v>
      </c>
      <c r="C359">
        <v>5023</v>
      </c>
      <c r="D359" t="s">
        <v>3155</v>
      </c>
      <c r="E359">
        <v>30721</v>
      </c>
      <c r="F359" t="s">
        <v>529</v>
      </c>
      <c r="G359">
        <v>307</v>
      </c>
      <c r="H359" t="s">
        <v>56</v>
      </c>
      <c r="I359">
        <v>3</v>
      </c>
      <c r="J359" t="s">
        <v>50</v>
      </c>
    </row>
    <row r="360" spans="1:10" x14ac:dyDescent="0.25">
      <c r="A360" t="s">
        <v>7355</v>
      </c>
      <c r="B360">
        <f>49.7625545234862*(1/100/100)</f>
        <v>4.9762554523486201E-3</v>
      </c>
      <c r="C360">
        <v>5024</v>
      </c>
      <c r="D360" t="s">
        <v>2480</v>
      </c>
      <c r="E360">
        <v>30706</v>
      </c>
      <c r="F360" t="s">
        <v>519</v>
      </c>
      <c r="G360">
        <v>307</v>
      </c>
      <c r="H360" t="s">
        <v>56</v>
      </c>
      <c r="I360">
        <v>3</v>
      </c>
      <c r="J360" t="s">
        <v>50</v>
      </c>
    </row>
    <row r="361" spans="1:10" x14ac:dyDescent="0.25">
      <c r="A361" t="s">
        <v>7355</v>
      </c>
      <c r="B361">
        <f>186320.726261384*(1/100/100)</f>
        <v>18.632072626138402</v>
      </c>
      <c r="C361">
        <v>5101</v>
      </c>
      <c r="D361" t="s">
        <v>3136</v>
      </c>
      <c r="E361">
        <v>30702</v>
      </c>
      <c r="F361" t="s">
        <v>517</v>
      </c>
      <c r="G361">
        <v>307</v>
      </c>
      <c r="H361" t="s">
        <v>56</v>
      </c>
      <c r="I361">
        <v>3</v>
      </c>
      <c r="J361" t="s">
        <v>50</v>
      </c>
    </row>
    <row r="362" spans="1:10" x14ac:dyDescent="0.25">
      <c r="A362" t="s">
        <v>7355</v>
      </c>
      <c r="B362">
        <f>105724.570996395*(1/100/100)</f>
        <v>10.572457099639502</v>
      </c>
      <c r="C362">
        <v>5102</v>
      </c>
      <c r="D362" t="s">
        <v>518</v>
      </c>
      <c r="E362">
        <v>30703</v>
      </c>
      <c r="F362" t="s">
        <v>518</v>
      </c>
      <c r="G362">
        <v>307</v>
      </c>
      <c r="H362" t="s">
        <v>56</v>
      </c>
      <c r="I362">
        <v>3</v>
      </c>
      <c r="J362" t="s">
        <v>50</v>
      </c>
    </row>
    <row r="363" spans="1:10" x14ac:dyDescent="0.25">
      <c r="A363" t="s">
        <v>7355</v>
      </c>
      <c r="B363">
        <f>66265.6481053103*(1/100/100)</f>
        <v>6.6265648105310309</v>
      </c>
      <c r="C363">
        <v>5103</v>
      </c>
      <c r="D363" t="s">
        <v>3150</v>
      </c>
      <c r="E363">
        <v>30719</v>
      </c>
      <c r="F363" t="s">
        <v>528</v>
      </c>
      <c r="G363">
        <v>307</v>
      </c>
      <c r="H363" t="s">
        <v>56</v>
      </c>
      <c r="I363">
        <v>3</v>
      </c>
      <c r="J363" t="s">
        <v>50</v>
      </c>
    </row>
    <row r="364" spans="1:10" x14ac:dyDescent="0.25">
      <c r="A364" t="s">
        <v>7355</v>
      </c>
      <c r="B364">
        <f>477244.461424257*(1/100/100)</f>
        <v>47.724446142425705</v>
      </c>
      <c r="C364">
        <v>5104</v>
      </c>
      <c r="D364" t="s">
        <v>3144</v>
      </c>
      <c r="E364">
        <v>30710</v>
      </c>
      <c r="F364" t="s">
        <v>3145</v>
      </c>
      <c r="G364">
        <v>307</v>
      </c>
      <c r="H364" t="s">
        <v>56</v>
      </c>
      <c r="I364">
        <v>3</v>
      </c>
      <c r="J364" t="s">
        <v>50</v>
      </c>
    </row>
    <row r="365" spans="1:10" x14ac:dyDescent="0.25">
      <c r="A365" t="s">
        <v>7355</v>
      </c>
      <c r="B365">
        <f>117555.041415334*(1/100/100)</f>
        <v>11.7555041415334</v>
      </c>
      <c r="C365">
        <v>5105</v>
      </c>
      <c r="D365" t="s">
        <v>3146</v>
      </c>
      <c r="E365">
        <v>30711</v>
      </c>
      <c r="F365" t="s">
        <v>522</v>
      </c>
      <c r="G365">
        <v>307</v>
      </c>
      <c r="H365" t="s">
        <v>56</v>
      </c>
      <c r="I365">
        <v>3</v>
      </c>
      <c r="J365" t="s">
        <v>50</v>
      </c>
    </row>
    <row r="366" spans="1:10" x14ac:dyDescent="0.25">
      <c r="A366" t="s">
        <v>7355</v>
      </c>
      <c r="B366">
        <f>88935.2618729109*(1/100/100)</f>
        <v>8.8935261872910907</v>
      </c>
      <c r="C366">
        <v>5107</v>
      </c>
      <c r="D366" t="s">
        <v>525</v>
      </c>
      <c r="E366">
        <v>30715</v>
      </c>
      <c r="F366" t="s">
        <v>525</v>
      </c>
      <c r="G366">
        <v>307</v>
      </c>
      <c r="H366" t="s">
        <v>56</v>
      </c>
      <c r="I366">
        <v>3</v>
      </c>
      <c r="J366" t="s">
        <v>50</v>
      </c>
    </row>
    <row r="367" spans="1:10" x14ac:dyDescent="0.25">
      <c r="A367" t="s">
        <v>7355</v>
      </c>
      <c r="B367">
        <f>51365.7980674011*(1/100/100)</f>
        <v>5.1365798067401096</v>
      </c>
      <c r="C367">
        <v>5108</v>
      </c>
      <c r="D367" t="s">
        <v>3147</v>
      </c>
      <c r="E367">
        <v>30711</v>
      </c>
      <c r="F367" t="s">
        <v>522</v>
      </c>
      <c r="G367">
        <v>307</v>
      </c>
      <c r="H367" t="s">
        <v>56</v>
      </c>
      <c r="I367">
        <v>3</v>
      </c>
      <c r="J367" t="s">
        <v>50</v>
      </c>
    </row>
    <row r="368" spans="1:10" x14ac:dyDescent="0.25">
      <c r="A368" t="s">
        <v>7355</v>
      </c>
      <c r="B368">
        <f>161153.863877107*(1/100/100)</f>
        <v>16.115386387710704</v>
      </c>
      <c r="C368">
        <v>5109</v>
      </c>
      <c r="D368" t="s">
        <v>3149</v>
      </c>
      <c r="E368">
        <v>30718</v>
      </c>
      <c r="F368" t="s">
        <v>527</v>
      </c>
      <c r="G368">
        <v>307</v>
      </c>
      <c r="H368" t="s">
        <v>56</v>
      </c>
      <c r="I368">
        <v>3</v>
      </c>
      <c r="J368" t="s">
        <v>50</v>
      </c>
    </row>
    <row r="369" spans="1:10" x14ac:dyDescent="0.25">
      <c r="A369" t="s">
        <v>7355</v>
      </c>
      <c r="B369">
        <f>171508.652747876*(1/100/100)</f>
        <v>17.150865274787602</v>
      </c>
      <c r="C369">
        <v>5110</v>
      </c>
      <c r="D369" t="s">
        <v>528</v>
      </c>
      <c r="E369">
        <v>30719</v>
      </c>
      <c r="F369" t="s">
        <v>528</v>
      </c>
      <c r="G369">
        <v>307</v>
      </c>
      <c r="H369" t="s">
        <v>56</v>
      </c>
      <c r="I369">
        <v>3</v>
      </c>
      <c r="J369" t="s">
        <v>50</v>
      </c>
    </row>
    <row r="370" spans="1:10" x14ac:dyDescent="0.25">
      <c r="A370" t="s">
        <v>7355</v>
      </c>
      <c r="B370">
        <f>52216.306362085*(1/100/100)</f>
        <v>5.2216306362085003</v>
      </c>
      <c r="C370">
        <v>5111</v>
      </c>
      <c r="D370" t="s">
        <v>3156</v>
      </c>
      <c r="E370">
        <v>30722</v>
      </c>
      <c r="F370" t="s">
        <v>530</v>
      </c>
      <c r="G370">
        <v>307</v>
      </c>
      <c r="H370" t="s">
        <v>56</v>
      </c>
      <c r="I370">
        <v>3</v>
      </c>
      <c r="J370" t="s">
        <v>50</v>
      </c>
    </row>
    <row r="371" spans="1:10" x14ac:dyDescent="0.25">
      <c r="A371" t="s">
        <v>7355</v>
      </c>
      <c r="B371">
        <f>74712.6169634707*(1/100/100)</f>
        <v>7.4712616963470708</v>
      </c>
      <c r="C371">
        <v>5112</v>
      </c>
      <c r="D371" t="s">
        <v>530</v>
      </c>
      <c r="E371">
        <v>30722</v>
      </c>
      <c r="F371" t="s">
        <v>530</v>
      </c>
      <c r="G371">
        <v>307</v>
      </c>
      <c r="H371" t="s">
        <v>56</v>
      </c>
      <c r="I371">
        <v>3</v>
      </c>
      <c r="J371" t="s">
        <v>50</v>
      </c>
    </row>
    <row r="372" spans="1:10" x14ac:dyDescent="0.25">
      <c r="A372" t="s">
        <v>7355</v>
      </c>
      <c r="B372">
        <f>27362.4160260011*(1/100/100)</f>
        <v>2.7362416026001104</v>
      </c>
      <c r="C372">
        <v>5113</v>
      </c>
      <c r="D372" t="s">
        <v>3151</v>
      </c>
      <c r="E372">
        <v>30719</v>
      </c>
      <c r="F372" t="s">
        <v>528</v>
      </c>
      <c r="G372">
        <v>307</v>
      </c>
      <c r="H372" t="s">
        <v>56</v>
      </c>
      <c r="I372">
        <v>3</v>
      </c>
      <c r="J372" t="s">
        <v>50</v>
      </c>
    </row>
    <row r="373" spans="1:10" x14ac:dyDescent="0.25">
      <c r="A373" t="s">
        <v>7355</v>
      </c>
      <c r="B373">
        <f>1094.29717068464*(1/100/100)</f>
        <v>0.10942971706846399</v>
      </c>
      <c r="C373">
        <v>5114</v>
      </c>
      <c r="D373" t="s">
        <v>3152</v>
      </c>
      <c r="E373">
        <v>30719</v>
      </c>
      <c r="F373" t="s">
        <v>528</v>
      </c>
      <c r="G373">
        <v>307</v>
      </c>
      <c r="H373" t="s">
        <v>56</v>
      </c>
      <c r="I373">
        <v>3</v>
      </c>
      <c r="J373" t="s">
        <v>50</v>
      </c>
    </row>
    <row r="374" spans="1:10" x14ac:dyDescent="0.25">
      <c r="A374" t="s">
        <v>7355</v>
      </c>
      <c r="B374">
        <f>66129.0126976253*(1/100/100)</f>
        <v>6.6129012697625296</v>
      </c>
      <c r="C374">
        <v>5115</v>
      </c>
      <c r="D374" t="s">
        <v>3157</v>
      </c>
      <c r="E374">
        <v>30722</v>
      </c>
      <c r="F374" t="s">
        <v>530</v>
      </c>
      <c r="G374">
        <v>307</v>
      </c>
      <c r="H374" t="s">
        <v>56</v>
      </c>
      <c r="I374">
        <v>3</v>
      </c>
      <c r="J374" t="s">
        <v>50</v>
      </c>
    </row>
    <row r="375" spans="1:10" x14ac:dyDescent="0.25">
      <c r="A375" t="s">
        <v>7355</v>
      </c>
      <c r="B375">
        <f>128669.54463097*(1/100/100)</f>
        <v>12.866954463097001</v>
      </c>
      <c r="C375">
        <v>5116</v>
      </c>
      <c r="D375" t="s">
        <v>533</v>
      </c>
      <c r="E375">
        <v>30728</v>
      </c>
      <c r="F375" t="s">
        <v>533</v>
      </c>
      <c r="G375">
        <v>307</v>
      </c>
      <c r="H375" t="s">
        <v>56</v>
      </c>
      <c r="I375">
        <v>3</v>
      </c>
      <c r="J375" t="s">
        <v>50</v>
      </c>
    </row>
    <row r="376" spans="1:10" x14ac:dyDescent="0.25">
      <c r="A376" t="s">
        <v>7355</v>
      </c>
      <c r="B376">
        <f>225263.470143195*(1/100/100)</f>
        <v>22.526347014319501</v>
      </c>
      <c r="C376">
        <v>5202</v>
      </c>
      <c r="D376" t="s">
        <v>534</v>
      </c>
      <c r="E376">
        <v>30729</v>
      </c>
      <c r="F376" t="s">
        <v>534</v>
      </c>
      <c r="G376">
        <v>307</v>
      </c>
      <c r="H376" t="s">
        <v>56</v>
      </c>
      <c r="I376">
        <v>3</v>
      </c>
      <c r="J376" t="s">
        <v>50</v>
      </c>
    </row>
    <row r="377" spans="1:10" x14ac:dyDescent="0.25">
      <c r="A377" t="s">
        <v>7355</v>
      </c>
      <c r="B377">
        <f>132395.908292407*(1/100/100)</f>
        <v>13.239590829240701</v>
      </c>
      <c r="C377">
        <v>5203</v>
      </c>
      <c r="D377" t="s">
        <v>3163</v>
      </c>
      <c r="E377">
        <v>30730</v>
      </c>
      <c r="F377" t="s">
        <v>535</v>
      </c>
      <c r="G377">
        <v>307</v>
      </c>
      <c r="H377" t="s">
        <v>56</v>
      </c>
      <c r="I377">
        <v>3</v>
      </c>
      <c r="J377" t="s">
        <v>50</v>
      </c>
    </row>
    <row r="378" spans="1:10" x14ac:dyDescent="0.25">
      <c r="A378" t="s">
        <v>7355</v>
      </c>
      <c r="B378">
        <f>264507.35131696*(1/100/100)</f>
        <v>26.450735131696003</v>
      </c>
      <c r="C378">
        <v>5204</v>
      </c>
      <c r="D378" t="s">
        <v>3164</v>
      </c>
      <c r="E378">
        <v>30730</v>
      </c>
      <c r="F378" t="s">
        <v>535</v>
      </c>
      <c r="G378">
        <v>307</v>
      </c>
      <c r="H378" t="s">
        <v>56</v>
      </c>
      <c r="I378">
        <v>3</v>
      </c>
      <c r="J378" t="s">
        <v>50</v>
      </c>
    </row>
    <row r="379" spans="1:10" x14ac:dyDescent="0.25">
      <c r="A379" t="s">
        <v>7355</v>
      </c>
      <c r="B379">
        <f>245335.894882402*(1/100/100)</f>
        <v>24.533589488240203</v>
      </c>
      <c r="C379">
        <v>5205</v>
      </c>
      <c r="D379" t="s">
        <v>536</v>
      </c>
      <c r="E379">
        <v>30731</v>
      </c>
      <c r="F379" t="s">
        <v>536</v>
      </c>
      <c r="G379">
        <v>307</v>
      </c>
      <c r="H379" t="s">
        <v>56</v>
      </c>
      <c r="I379">
        <v>3</v>
      </c>
      <c r="J379" t="s">
        <v>50</v>
      </c>
    </row>
    <row r="380" spans="1:10" x14ac:dyDescent="0.25">
      <c r="A380" t="s">
        <v>7355</v>
      </c>
      <c r="B380">
        <f>20727.7955537195*(1/100/100)</f>
        <v>2.0727795553719504</v>
      </c>
      <c r="C380">
        <v>5206</v>
      </c>
      <c r="D380" t="s">
        <v>3165</v>
      </c>
      <c r="E380">
        <v>30732</v>
      </c>
      <c r="F380" t="s">
        <v>537</v>
      </c>
      <c r="G380">
        <v>307</v>
      </c>
      <c r="H380" t="s">
        <v>56</v>
      </c>
      <c r="I380">
        <v>3</v>
      </c>
      <c r="J380" t="s">
        <v>50</v>
      </c>
    </row>
    <row r="381" spans="1:10" x14ac:dyDescent="0.25">
      <c r="A381" t="s">
        <v>7355</v>
      </c>
      <c r="B381">
        <f>503507.789428648*(1/100/100)</f>
        <v>50.350778942864807</v>
      </c>
      <c r="C381">
        <v>5207</v>
      </c>
      <c r="D381" t="s">
        <v>537</v>
      </c>
      <c r="E381">
        <v>30732</v>
      </c>
      <c r="F381" t="s">
        <v>537</v>
      </c>
      <c r="G381">
        <v>307</v>
      </c>
      <c r="H381" t="s">
        <v>56</v>
      </c>
      <c r="I381">
        <v>3</v>
      </c>
      <c r="J381" t="s">
        <v>50</v>
      </c>
    </row>
    <row r="382" spans="1:10" x14ac:dyDescent="0.25">
      <c r="A382" t="s">
        <v>7355</v>
      </c>
      <c r="B382">
        <f>60668.0820465915*(1/100/100)</f>
        <v>6.0668082046591509</v>
      </c>
      <c r="C382">
        <v>5208</v>
      </c>
      <c r="D382" t="s">
        <v>3173</v>
      </c>
      <c r="E382">
        <v>30740</v>
      </c>
      <c r="F382" t="s">
        <v>545</v>
      </c>
      <c r="G382">
        <v>307</v>
      </c>
      <c r="H382" t="s">
        <v>56</v>
      </c>
      <c r="I382">
        <v>3</v>
      </c>
      <c r="J382" t="s">
        <v>50</v>
      </c>
    </row>
    <row r="383" spans="1:10" x14ac:dyDescent="0.25">
      <c r="A383" t="s">
        <v>7355</v>
      </c>
      <c r="B383">
        <f>118313.041204006*(1/100/100)</f>
        <v>11.831304120400601</v>
      </c>
      <c r="C383">
        <v>5209</v>
      </c>
      <c r="D383" t="s">
        <v>3168</v>
      </c>
      <c r="E383">
        <v>30733</v>
      </c>
      <c r="F383" t="s">
        <v>538</v>
      </c>
      <c r="G383">
        <v>307</v>
      </c>
      <c r="H383" t="s">
        <v>56</v>
      </c>
      <c r="I383">
        <v>3</v>
      </c>
      <c r="J383" t="s">
        <v>50</v>
      </c>
    </row>
    <row r="384" spans="1:10" x14ac:dyDescent="0.25">
      <c r="A384" t="s">
        <v>7355</v>
      </c>
      <c r="B384">
        <f>357797.481322621*(1/100/100)</f>
        <v>35.7797481322621</v>
      </c>
      <c r="C384">
        <v>5210</v>
      </c>
      <c r="D384" t="s">
        <v>540</v>
      </c>
      <c r="E384">
        <v>30735</v>
      </c>
      <c r="F384" t="s">
        <v>540</v>
      </c>
      <c r="G384">
        <v>307</v>
      </c>
      <c r="H384" t="s">
        <v>56</v>
      </c>
      <c r="I384">
        <v>3</v>
      </c>
      <c r="J384" t="s">
        <v>50</v>
      </c>
    </row>
    <row r="385" spans="1:10" x14ac:dyDescent="0.25">
      <c r="A385" t="s">
        <v>7355</v>
      </c>
      <c r="B385">
        <f>917271.942405865*(1/100/100)</f>
        <v>91.727194240586499</v>
      </c>
      <c r="C385">
        <v>5211</v>
      </c>
      <c r="D385" t="s">
        <v>3174</v>
      </c>
      <c r="E385">
        <v>30740</v>
      </c>
      <c r="F385" t="s">
        <v>545</v>
      </c>
      <c r="G385">
        <v>307</v>
      </c>
      <c r="H385" t="s">
        <v>56</v>
      </c>
      <c r="I385">
        <v>3</v>
      </c>
      <c r="J385" t="s">
        <v>50</v>
      </c>
    </row>
    <row r="386" spans="1:10" x14ac:dyDescent="0.25">
      <c r="A386" t="s">
        <v>7355</v>
      </c>
      <c r="B386">
        <f>158113.713870628*(1/100/100)</f>
        <v>15.811371387062803</v>
      </c>
      <c r="C386">
        <v>5212</v>
      </c>
      <c r="D386" t="s">
        <v>3172</v>
      </c>
      <c r="E386">
        <v>30736</v>
      </c>
      <c r="F386" t="s">
        <v>541</v>
      </c>
      <c r="G386">
        <v>307</v>
      </c>
      <c r="H386" t="s">
        <v>56</v>
      </c>
      <c r="I386">
        <v>3</v>
      </c>
      <c r="J386" t="s">
        <v>50</v>
      </c>
    </row>
    <row r="387" spans="1:10" x14ac:dyDescent="0.25">
      <c r="A387" t="s">
        <v>7355</v>
      </c>
      <c r="B387">
        <f>176431.388368463*(1/100/100)</f>
        <v>17.643138836846301</v>
      </c>
      <c r="C387">
        <v>5213</v>
      </c>
      <c r="D387" t="s">
        <v>542</v>
      </c>
      <c r="E387">
        <v>30737</v>
      </c>
      <c r="F387" t="s">
        <v>542</v>
      </c>
      <c r="G387">
        <v>307</v>
      </c>
      <c r="H387" t="s">
        <v>56</v>
      </c>
      <c r="I387">
        <v>3</v>
      </c>
      <c r="J387" t="s">
        <v>50</v>
      </c>
    </row>
    <row r="388" spans="1:10" x14ac:dyDescent="0.25">
      <c r="A388" t="s">
        <v>7355</v>
      </c>
      <c r="B388">
        <f>91929.199336001*(1/100/100)</f>
        <v>9.1929199336001002</v>
      </c>
      <c r="C388">
        <v>5215</v>
      </c>
      <c r="D388" t="s">
        <v>3169</v>
      </c>
      <c r="E388">
        <v>30734</v>
      </c>
      <c r="F388" t="s">
        <v>539</v>
      </c>
      <c r="G388">
        <v>307</v>
      </c>
      <c r="H388" t="s">
        <v>56</v>
      </c>
      <c r="I388">
        <v>3</v>
      </c>
      <c r="J388" t="s">
        <v>50</v>
      </c>
    </row>
    <row r="389" spans="1:10" x14ac:dyDescent="0.25">
      <c r="A389" t="s">
        <v>7355</v>
      </c>
      <c r="B389">
        <f>70924.3961919283*(1/100/100)</f>
        <v>7.0924396191928309</v>
      </c>
      <c r="C389">
        <v>5216</v>
      </c>
      <c r="D389" t="s">
        <v>3166</v>
      </c>
      <c r="E389">
        <v>30732</v>
      </c>
      <c r="F389" t="s">
        <v>537</v>
      </c>
      <c r="G389">
        <v>307</v>
      </c>
      <c r="H389" t="s">
        <v>56</v>
      </c>
      <c r="I389">
        <v>3</v>
      </c>
      <c r="J389" t="s">
        <v>50</v>
      </c>
    </row>
    <row r="390" spans="1:10" x14ac:dyDescent="0.25">
      <c r="A390" t="s">
        <v>7355</v>
      </c>
      <c r="B390">
        <f>237394.683921105*(1/100/100)</f>
        <v>23.739468392110499</v>
      </c>
      <c r="C390">
        <v>5217</v>
      </c>
      <c r="D390" t="s">
        <v>3175</v>
      </c>
      <c r="E390">
        <v>30740</v>
      </c>
      <c r="F390" t="s">
        <v>545</v>
      </c>
      <c r="G390">
        <v>307</v>
      </c>
      <c r="H390" t="s">
        <v>56</v>
      </c>
      <c r="I390">
        <v>3</v>
      </c>
      <c r="J390" t="s">
        <v>50</v>
      </c>
    </row>
    <row r="391" spans="1:10" x14ac:dyDescent="0.25">
      <c r="A391" t="s">
        <v>7355</v>
      </c>
      <c r="B391">
        <f>124580.476138375*(1/100/100)</f>
        <v>12.4580476138375</v>
      </c>
      <c r="C391">
        <v>5218</v>
      </c>
      <c r="D391" t="s">
        <v>543</v>
      </c>
      <c r="E391">
        <v>30738</v>
      </c>
      <c r="F391" t="s">
        <v>543</v>
      </c>
      <c r="G391">
        <v>307</v>
      </c>
      <c r="H391" t="s">
        <v>56</v>
      </c>
      <c r="I391">
        <v>3</v>
      </c>
      <c r="J391" t="s">
        <v>50</v>
      </c>
    </row>
    <row r="392" spans="1:10" x14ac:dyDescent="0.25">
      <c r="A392" t="s">
        <v>7355</v>
      </c>
      <c r="B392">
        <f>212351.520028947*(1/100/100)</f>
        <v>21.235152002894701</v>
      </c>
      <c r="C392">
        <v>5219</v>
      </c>
      <c r="D392" t="s">
        <v>544</v>
      </c>
      <c r="E392">
        <v>30739</v>
      </c>
      <c r="F392" t="s">
        <v>544</v>
      </c>
      <c r="G392">
        <v>307</v>
      </c>
      <c r="H392" t="s">
        <v>56</v>
      </c>
      <c r="I392">
        <v>3</v>
      </c>
      <c r="J392" t="s">
        <v>50</v>
      </c>
    </row>
    <row r="393" spans="1:10" x14ac:dyDescent="0.25">
      <c r="A393" t="s">
        <v>7355</v>
      </c>
      <c r="B393">
        <f>779848.557995977*(1/100/100)</f>
        <v>77.98485579959771</v>
      </c>
      <c r="C393">
        <v>5220</v>
      </c>
      <c r="D393" t="s">
        <v>545</v>
      </c>
      <c r="E393">
        <v>30740</v>
      </c>
      <c r="F393" t="s">
        <v>545</v>
      </c>
      <c r="G393">
        <v>307</v>
      </c>
      <c r="H393" t="s">
        <v>56</v>
      </c>
      <c r="I393">
        <v>3</v>
      </c>
      <c r="J393" t="s">
        <v>50</v>
      </c>
    </row>
    <row r="394" spans="1:10" x14ac:dyDescent="0.25">
      <c r="A394" t="s">
        <v>7355</v>
      </c>
      <c r="B394">
        <f>73508.1418562585*(1/100/100)</f>
        <v>7.3508141856258504</v>
      </c>
      <c r="C394">
        <v>5221</v>
      </c>
      <c r="D394" t="s">
        <v>3170</v>
      </c>
      <c r="E394">
        <v>30734</v>
      </c>
      <c r="F394" t="s">
        <v>539</v>
      </c>
      <c r="G394">
        <v>307</v>
      </c>
      <c r="H394" t="s">
        <v>56</v>
      </c>
      <c r="I394">
        <v>3</v>
      </c>
      <c r="J394" t="s">
        <v>50</v>
      </c>
    </row>
    <row r="395" spans="1:10" x14ac:dyDescent="0.25">
      <c r="A395" t="s">
        <v>7355</v>
      </c>
      <c r="B395">
        <f>191394.407896517*(1/100/100)</f>
        <v>19.139440789651701</v>
      </c>
      <c r="C395">
        <v>5222</v>
      </c>
      <c r="D395" t="s">
        <v>3167</v>
      </c>
      <c r="E395">
        <v>30732</v>
      </c>
      <c r="F395" t="s">
        <v>537</v>
      </c>
      <c r="G395">
        <v>307</v>
      </c>
      <c r="H395" t="s">
        <v>56</v>
      </c>
      <c r="I395">
        <v>3</v>
      </c>
      <c r="J395" t="s">
        <v>50</v>
      </c>
    </row>
    <row r="396" spans="1:10" x14ac:dyDescent="0.25">
      <c r="A396" t="s">
        <v>7355</v>
      </c>
      <c r="B396">
        <f>119926.464600896*(1/100/100)</f>
        <v>11.992646460089601</v>
      </c>
      <c r="C396">
        <v>5223</v>
      </c>
      <c r="D396" t="s">
        <v>3162</v>
      </c>
      <c r="E396">
        <v>30729</v>
      </c>
      <c r="F396" t="s">
        <v>534</v>
      </c>
      <c r="G396">
        <v>307</v>
      </c>
      <c r="H396" t="s">
        <v>56</v>
      </c>
      <c r="I396">
        <v>3</v>
      </c>
      <c r="J396" t="s">
        <v>50</v>
      </c>
    </row>
    <row r="397" spans="1:10" x14ac:dyDescent="0.25">
      <c r="A397" t="s">
        <v>7355</v>
      </c>
      <c r="B397">
        <f>186499.812142933*(1/100/100)</f>
        <v>18.649981214293302</v>
      </c>
      <c r="C397">
        <v>5224</v>
      </c>
      <c r="D397" t="s">
        <v>546</v>
      </c>
      <c r="E397">
        <v>30741</v>
      </c>
      <c r="F397" t="s">
        <v>546</v>
      </c>
      <c r="G397">
        <v>307</v>
      </c>
      <c r="H397" t="s">
        <v>56</v>
      </c>
      <c r="I397">
        <v>3</v>
      </c>
      <c r="J397" t="s">
        <v>50</v>
      </c>
    </row>
    <row r="398" spans="1:10" x14ac:dyDescent="0.25">
      <c r="A398" t="s">
        <v>7355</v>
      </c>
      <c r="B398">
        <f>57133.2629230284*(1/100/100)</f>
        <v>5.7133262923028401</v>
      </c>
      <c r="C398">
        <v>5225</v>
      </c>
      <c r="D398" t="s">
        <v>3171</v>
      </c>
      <c r="E398">
        <v>30735</v>
      </c>
      <c r="F398" t="s">
        <v>540</v>
      </c>
      <c r="G398">
        <v>307</v>
      </c>
      <c r="H398" t="s">
        <v>56</v>
      </c>
      <c r="I398">
        <v>3</v>
      </c>
      <c r="J398" t="s">
        <v>50</v>
      </c>
    </row>
    <row r="399" spans="1:10" x14ac:dyDescent="0.25">
      <c r="A399" t="s">
        <v>7355</v>
      </c>
      <c r="B399">
        <f>122283.01579917*(1/100/100)</f>
        <v>12.228301579917</v>
      </c>
      <c r="C399">
        <v>6001</v>
      </c>
      <c r="D399" t="s">
        <v>2918</v>
      </c>
      <c r="E399">
        <v>30803</v>
      </c>
      <c r="F399" t="s">
        <v>549</v>
      </c>
      <c r="G399">
        <v>308</v>
      </c>
      <c r="H399" t="s">
        <v>57</v>
      </c>
      <c r="I399">
        <v>3</v>
      </c>
      <c r="J399" t="s">
        <v>50</v>
      </c>
    </row>
    <row r="400" spans="1:10" x14ac:dyDescent="0.25">
      <c r="A400" t="s">
        <v>7355</v>
      </c>
      <c r="B400">
        <f>3159.57114352242*(1/100/100)</f>
        <v>0.315957114352242</v>
      </c>
      <c r="C400">
        <v>6002</v>
      </c>
      <c r="D400" t="s">
        <v>3229</v>
      </c>
      <c r="E400">
        <v>30860</v>
      </c>
      <c r="F400" t="s">
        <v>587</v>
      </c>
      <c r="G400">
        <v>308</v>
      </c>
      <c r="H400" t="s">
        <v>57</v>
      </c>
      <c r="I400">
        <v>3</v>
      </c>
      <c r="J400" t="s">
        <v>50</v>
      </c>
    </row>
    <row r="401" spans="1:10" x14ac:dyDescent="0.25">
      <c r="A401" t="s">
        <v>7355</v>
      </c>
      <c r="B401">
        <f>300729.754264839*(1/100/100)</f>
        <v>30.0729754264839</v>
      </c>
      <c r="C401">
        <v>6003</v>
      </c>
      <c r="D401" t="s">
        <v>550</v>
      </c>
      <c r="E401">
        <v>30804</v>
      </c>
      <c r="F401" t="s">
        <v>550</v>
      </c>
      <c r="G401">
        <v>308</v>
      </c>
      <c r="H401" t="s">
        <v>57</v>
      </c>
      <c r="I401">
        <v>3</v>
      </c>
      <c r="J401" t="s">
        <v>50</v>
      </c>
    </row>
    <row r="402" spans="1:10" x14ac:dyDescent="0.25">
      <c r="A402" t="s">
        <v>7355</v>
      </c>
      <c r="B402">
        <f>47017.8481712881*(1/100/100)</f>
        <v>4.7017848171288099</v>
      </c>
      <c r="C402">
        <v>6004</v>
      </c>
      <c r="D402" t="s">
        <v>3230</v>
      </c>
      <c r="E402">
        <v>30860</v>
      </c>
      <c r="F402" t="s">
        <v>587</v>
      </c>
      <c r="G402">
        <v>308</v>
      </c>
      <c r="H402" t="s">
        <v>57</v>
      </c>
      <c r="I402">
        <v>3</v>
      </c>
      <c r="J402" t="s">
        <v>50</v>
      </c>
    </row>
    <row r="403" spans="1:10" x14ac:dyDescent="0.25">
      <c r="A403" t="s">
        <v>7355</v>
      </c>
      <c r="B403">
        <f>113619.212354961*(1/100/100)</f>
        <v>11.3619212354961</v>
      </c>
      <c r="C403">
        <v>6005</v>
      </c>
      <c r="D403" t="s">
        <v>555</v>
      </c>
      <c r="E403">
        <v>30812</v>
      </c>
      <c r="F403" t="s">
        <v>555</v>
      </c>
      <c r="G403">
        <v>308</v>
      </c>
      <c r="H403" t="s">
        <v>57</v>
      </c>
      <c r="I403">
        <v>3</v>
      </c>
      <c r="J403" t="s">
        <v>50</v>
      </c>
    </row>
    <row r="404" spans="1:10" x14ac:dyDescent="0.25">
      <c r="A404" t="s">
        <v>7355</v>
      </c>
      <c r="B404">
        <f>863342.257507399*(1/100/100)</f>
        <v>86.334225750739904</v>
      </c>
      <c r="C404">
        <v>6006</v>
      </c>
      <c r="D404" t="s">
        <v>57</v>
      </c>
      <c r="E404">
        <v>30817</v>
      </c>
      <c r="F404" t="s">
        <v>57</v>
      </c>
      <c r="G404">
        <v>308</v>
      </c>
      <c r="H404" t="s">
        <v>57</v>
      </c>
      <c r="I404">
        <v>3</v>
      </c>
      <c r="J404" t="s">
        <v>50</v>
      </c>
    </row>
    <row r="405" spans="1:10" x14ac:dyDescent="0.25">
      <c r="A405" t="s">
        <v>7355</v>
      </c>
      <c r="B405">
        <f>121507.00992465*(1/100/100)</f>
        <v>12.150700992465001</v>
      </c>
      <c r="C405">
        <v>6007</v>
      </c>
      <c r="D405" t="s">
        <v>3142</v>
      </c>
      <c r="E405">
        <v>30859</v>
      </c>
      <c r="F405" t="s">
        <v>586</v>
      </c>
      <c r="G405">
        <v>308</v>
      </c>
      <c r="H405" t="s">
        <v>57</v>
      </c>
      <c r="I405">
        <v>3</v>
      </c>
      <c r="J405" t="s">
        <v>50</v>
      </c>
    </row>
    <row r="406" spans="1:10" x14ac:dyDescent="0.25">
      <c r="A406" t="s">
        <v>7355</v>
      </c>
      <c r="B406">
        <f>46044.128334738*(1/100/100)</f>
        <v>4.6044128334738001</v>
      </c>
      <c r="C406">
        <v>6008</v>
      </c>
      <c r="D406" t="s">
        <v>3176</v>
      </c>
      <c r="E406">
        <v>30803</v>
      </c>
      <c r="F406" t="s">
        <v>549</v>
      </c>
      <c r="G406">
        <v>308</v>
      </c>
      <c r="H406" t="s">
        <v>57</v>
      </c>
      <c r="I406">
        <v>3</v>
      </c>
      <c r="J406" t="s">
        <v>50</v>
      </c>
    </row>
    <row r="407" spans="1:10" x14ac:dyDescent="0.25">
      <c r="A407" t="s">
        <v>7355</v>
      </c>
      <c r="B407">
        <f>56175.2548753085*(1/100/100)</f>
        <v>5.61752548753085</v>
      </c>
      <c r="C407">
        <v>6009</v>
      </c>
      <c r="D407" t="s">
        <v>3213</v>
      </c>
      <c r="E407">
        <v>30838</v>
      </c>
      <c r="F407" t="s">
        <v>572</v>
      </c>
      <c r="G407">
        <v>308</v>
      </c>
      <c r="H407" t="s">
        <v>57</v>
      </c>
      <c r="I407">
        <v>3</v>
      </c>
      <c r="J407" t="s">
        <v>50</v>
      </c>
    </row>
    <row r="408" spans="1:10" x14ac:dyDescent="0.25">
      <c r="A408" t="s">
        <v>7355</v>
      </c>
      <c r="B408">
        <f>83441.3903108455*(1/100/100)</f>
        <v>8.3441390310845502</v>
      </c>
      <c r="C408">
        <v>6010</v>
      </c>
      <c r="D408" t="s">
        <v>3179</v>
      </c>
      <c r="E408">
        <v>30805</v>
      </c>
      <c r="F408" t="s">
        <v>551</v>
      </c>
      <c r="G408">
        <v>308</v>
      </c>
      <c r="H408" t="s">
        <v>57</v>
      </c>
      <c r="I408">
        <v>3</v>
      </c>
      <c r="J408" t="s">
        <v>50</v>
      </c>
    </row>
    <row r="409" spans="1:10" x14ac:dyDescent="0.25">
      <c r="A409" t="s">
        <v>7355</v>
      </c>
      <c r="B409">
        <f>79034.6979731755*(1/100/100)</f>
        <v>7.9034697973175501</v>
      </c>
      <c r="C409">
        <v>6011</v>
      </c>
      <c r="D409" t="s">
        <v>3177</v>
      </c>
      <c r="E409">
        <v>30803</v>
      </c>
      <c r="F409" t="s">
        <v>549</v>
      </c>
      <c r="G409">
        <v>308</v>
      </c>
      <c r="H409" t="s">
        <v>57</v>
      </c>
      <c r="I409">
        <v>3</v>
      </c>
      <c r="J409" t="s">
        <v>50</v>
      </c>
    </row>
    <row r="410" spans="1:10" x14ac:dyDescent="0.25">
      <c r="A410" t="s">
        <v>7355</v>
      </c>
      <c r="B410">
        <f>164494.918392944*(1/100/100)</f>
        <v>16.449491839294403</v>
      </c>
      <c r="C410">
        <v>6013</v>
      </c>
      <c r="D410" t="s">
        <v>3214</v>
      </c>
      <c r="E410">
        <v>30838</v>
      </c>
      <c r="F410" t="s">
        <v>572</v>
      </c>
      <c r="G410">
        <v>308</v>
      </c>
      <c r="H410" t="s">
        <v>57</v>
      </c>
      <c r="I410">
        <v>3</v>
      </c>
      <c r="J410" t="s">
        <v>50</v>
      </c>
    </row>
    <row r="411" spans="1:10" x14ac:dyDescent="0.25">
      <c r="A411" t="s">
        <v>7355</v>
      </c>
      <c r="B411">
        <f>121085.289580986*(1/100/100)</f>
        <v>12.108528958098601</v>
      </c>
      <c r="C411">
        <v>6014</v>
      </c>
      <c r="D411" t="s">
        <v>2148</v>
      </c>
      <c r="E411">
        <v>30803</v>
      </c>
      <c r="F411" t="s">
        <v>549</v>
      </c>
      <c r="G411">
        <v>308</v>
      </c>
      <c r="H411" t="s">
        <v>57</v>
      </c>
      <c r="I411">
        <v>3</v>
      </c>
      <c r="J411" t="s">
        <v>50</v>
      </c>
    </row>
    <row r="412" spans="1:10" x14ac:dyDescent="0.25">
      <c r="A412" t="s">
        <v>7355</v>
      </c>
      <c r="B412">
        <f>188336.146292322*(1/100/100)</f>
        <v>18.833614629232201</v>
      </c>
      <c r="C412">
        <v>6015</v>
      </c>
      <c r="D412" t="s">
        <v>3180</v>
      </c>
      <c r="E412">
        <v>30805</v>
      </c>
      <c r="F412" t="s">
        <v>551</v>
      </c>
      <c r="G412">
        <v>308</v>
      </c>
      <c r="H412" t="s">
        <v>57</v>
      </c>
      <c r="I412">
        <v>3</v>
      </c>
      <c r="J412" t="s">
        <v>50</v>
      </c>
    </row>
    <row r="413" spans="1:10" x14ac:dyDescent="0.25">
      <c r="A413" t="s">
        <v>7355</v>
      </c>
      <c r="B413">
        <f>184439.236003567*(1/100/100)</f>
        <v>18.443923600356701</v>
      </c>
      <c r="C413">
        <v>6016</v>
      </c>
      <c r="D413" t="s">
        <v>578</v>
      </c>
      <c r="E413">
        <v>30848</v>
      </c>
      <c r="F413" t="s">
        <v>578</v>
      </c>
      <c r="G413">
        <v>308</v>
      </c>
      <c r="H413" t="s">
        <v>57</v>
      </c>
      <c r="I413">
        <v>3</v>
      </c>
      <c r="J413" t="s">
        <v>50</v>
      </c>
    </row>
    <row r="414" spans="1:10" x14ac:dyDescent="0.25">
      <c r="A414" t="s">
        <v>7355</v>
      </c>
      <c r="B414">
        <f>106373.669258488*(1/100/100)</f>
        <v>10.6373669258488</v>
      </c>
      <c r="C414">
        <v>6017</v>
      </c>
      <c r="D414" t="s">
        <v>3215</v>
      </c>
      <c r="E414">
        <v>30838</v>
      </c>
      <c r="F414" t="s">
        <v>572</v>
      </c>
      <c r="G414">
        <v>308</v>
      </c>
      <c r="H414" t="s">
        <v>57</v>
      </c>
      <c r="I414">
        <v>3</v>
      </c>
      <c r="J414" t="s">
        <v>50</v>
      </c>
    </row>
    <row r="415" spans="1:10" x14ac:dyDescent="0.25">
      <c r="A415" t="s">
        <v>7355</v>
      </c>
      <c r="B415">
        <f>94278.6807226565*(1/100/100)</f>
        <v>9.4278680722656496</v>
      </c>
      <c r="C415">
        <v>6018</v>
      </c>
      <c r="D415" t="s">
        <v>3221</v>
      </c>
      <c r="E415">
        <v>30852</v>
      </c>
      <c r="F415" t="s">
        <v>581</v>
      </c>
      <c r="G415">
        <v>308</v>
      </c>
      <c r="H415" t="s">
        <v>57</v>
      </c>
      <c r="I415">
        <v>3</v>
      </c>
      <c r="J415" t="s">
        <v>50</v>
      </c>
    </row>
    <row r="416" spans="1:10" x14ac:dyDescent="0.25">
      <c r="A416" t="s">
        <v>7355</v>
      </c>
      <c r="B416">
        <f>209519.807850308*(1/100/100)</f>
        <v>20.951980785030798</v>
      </c>
      <c r="C416">
        <v>6019</v>
      </c>
      <c r="D416" t="s">
        <v>565</v>
      </c>
      <c r="E416">
        <v>30828</v>
      </c>
      <c r="F416" t="s">
        <v>565</v>
      </c>
      <c r="G416">
        <v>308</v>
      </c>
      <c r="H416" t="s">
        <v>57</v>
      </c>
      <c r="I416">
        <v>3</v>
      </c>
      <c r="J416" t="s">
        <v>50</v>
      </c>
    </row>
    <row r="417" spans="1:10" x14ac:dyDescent="0.25">
      <c r="A417" t="s">
        <v>7355</v>
      </c>
      <c r="B417">
        <f>157353.221199489*(1/100/100)</f>
        <v>15.735322119948901</v>
      </c>
      <c r="C417">
        <v>6020</v>
      </c>
      <c r="D417" t="s">
        <v>3222</v>
      </c>
      <c r="E417">
        <v>30852</v>
      </c>
      <c r="F417" t="s">
        <v>581</v>
      </c>
      <c r="G417">
        <v>308</v>
      </c>
      <c r="H417" t="s">
        <v>57</v>
      </c>
      <c r="I417">
        <v>3</v>
      </c>
      <c r="J417" t="s">
        <v>50</v>
      </c>
    </row>
    <row r="418" spans="1:10" x14ac:dyDescent="0.25">
      <c r="A418" t="s">
        <v>7355</v>
      </c>
      <c r="B418">
        <f>193557.754944049*(1/100/100)</f>
        <v>19.355775494404902</v>
      </c>
      <c r="C418">
        <v>6021</v>
      </c>
      <c r="D418" t="s">
        <v>3203</v>
      </c>
      <c r="E418">
        <v>30824</v>
      </c>
      <c r="F418" t="s">
        <v>561</v>
      </c>
      <c r="G418">
        <v>308</v>
      </c>
      <c r="H418" t="s">
        <v>57</v>
      </c>
      <c r="I418">
        <v>3</v>
      </c>
      <c r="J418" t="s">
        <v>50</v>
      </c>
    </row>
    <row r="419" spans="1:10" x14ac:dyDescent="0.25">
      <c r="A419" t="s">
        <v>7355</v>
      </c>
      <c r="B419">
        <f>183951.231283918*(1/100/100)</f>
        <v>18.395123128391802</v>
      </c>
      <c r="C419">
        <v>6022</v>
      </c>
      <c r="D419" t="s">
        <v>582</v>
      </c>
      <c r="E419">
        <v>30854</v>
      </c>
      <c r="F419" t="s">
        <v>582</v>
      </c>
      <c r="G419">
        <v>308</v>
      </c>
      <c r="H419" t="s">
        <v>57</v>
      </c>
      <c r="I419">
        <v>3</v>
      </c>
      <c r="J419" t="s">
        <v>50</v>
      </c>
    </row>
    <row r="420" spans="1:10" x14ac:dyDescent="0.25">
      <c r="A420" t="s">
        <v>7355</v>
      </c>
      <c r="B420">
        <f>54101.8423933137*(1/100/100)</f>
        <v>5.4101842393313708</v>
      </c>
      <c r="C420">
        <v>6023</v>
      </c>
      <c r="D420" t="s">
        <v>3178</v>
      </c>
      <c r="E420">
        <v>30803</v>
      </c>
      <c r="F420" t="s">
        <v>549</v>
      </c>
      <c r="G420">
        <v>308</v>
      </c>
      <c r="H420" t="s">
        <v>57</v>
      </c>
      <c r="I420">
        <v>3</v>
      </c>
      <c r="J420" t="s">
        <v>50</v>
      </c>
    </row>
    <row r="421" spans="1:10" x14ac:dyDescent="0.25">
      <c r="A421" t="s">
        <v>7355</v>
      </c>
      <c r="B421">
        <f>785589.971879568*(1/100/100)</f>
        <v>78.558997187956805</v>
      </c>
      <c r="C421">
        <v>6024</v>
      </c>
      <c r="D421" t="s">
        <v>3223</v>
      </c>
      <c r="E421">
        <v>30856</v>
      </c>
      <c r="F421" t="s">
        <v>583</v>
      </c>
      <c r="G421">
        <v>308</v>
      </c>
      <c r="H421" t="s">
        <v>57</v>
      </c>
      <c r="I421">
        <v>3</v>
      </c>
      <c r="J421" t="s">
        <v>50</v>
      </c>
    </row>
    <row r="422" spans="1:10" x14ac:dyDescent="0.25">
      <c r="A422" t="s">
        <v>7355</v>
      </c>
      <c r="B422">
        <f>53098.0917641228*(1/100/100)</f>
        <v>5.3098091764122799</v>
      </c>
      <c r="C422">
        <v>6025</v>
      </c>
      <c r="D422" t="s">
        <v>3231</v>
      </c>
      <c r="E422">
        <v>30860</v>
      </c>
      <c r="F422" t="s">
        <v>587</v>
      </c>
      <c r="G422">
        <v>308</v>
      </c>
      <c r="H422" t="s">
        <v>57</v>
      </c>
      <c r="I422">
        <v>3</v>
      </c>
      <c r="J422" t="s">
        <v>50</v>
      </c>
    </row>
    <row r="423" spans="1:10" x14ac:dyDescent="0.25">
      <c r="A423" t="s">
        <v>7355</v>
      </c>
      <c r="B423">
        <f>50581.9711906561*(1/100/100)</f>
        <v>5.0581971190656105</v>
      </c>
      <c r="C423">
        <v>6026</v>
      </c>
      <c r="D423" t="s">
        <v>3232</v>
      </c>
      <c r="E423">
        <v>30860</v>
      </c>
      <c r="F423" t="s">
        <v>587</v>
      </c>
      <c r="G423">
        <v>308</v>
      </c>
      <c r="H423" t="s">
        <v>57</v>
      </c>
      <c r="I423">
        <v>3</v>
      </c>
      <c r="J423" t="s">
        <v>50</v>
      </c>
    </row>
    <row r="424" spans="1:10" x14ac:dyDescent="0.25">
      <c r="A424" t="s">
        <v>7355</v>
      </c>
      <c r="B424">
        <f>65656.2132867885*(1/100/100)</f>
        <v>6.5656213286788496</v>
      </c>
      <c r="C424">
        <v>6027</v>
      </c>
      <c r="D424" t="s">
        <v>3167</v>
      </c>
      <c r="E424">
        <v>30859</v>
      </c>
      <c r="F424" t="s">
        <v>586</v>
      </c>
      <c r="G424">
        <v>308</v>
      </c>
      <c r="H424" t="s">
        <v>57</v>
      </c>
      <c r="I424">
        <v>3</v>
      </c>
      <c r="J424" t="s">
        <v>50</v>
      </c>
    </row>
    <row r="425" spans="1:10" x14ac:dyDescent="0.25">
      <c r="A425" t="s">
        <v>7355</v>
      </c>
      <c r="B425">
        <f>147977.367727186*(1/100/100)</f>
        <v>14.797736772718601</v>
      </c>
      <c r="C425">
        <v>6029</v>
      </c>
      <c r="D425" t="s">
        <v>587</v>
      </c>
      <c r="E425">
        <v>30860</v>
      </c>
      <c r="F425" t="s">
        <v>587</v>
      </c>
      <c r="G425">
        <v>308</v>
      </c>
      <c r="H425" t="s">
        <v>57</v>
      </c>
      <c r="I425">
        <v>3</v>
      </c>
      <c r="J425" t="s">
        <v>50</v>
      </c>
    </row>
    <row r="426" spans="1:10" x14ac:dyDescent="0.25">
      <c r="A426" t="s">
        <v>7355</v>
      </c>
      <c r="B426">
        <f>82521.7005840838*(1/100/100)</f>
        <v>8.2521700584083799</v>
      </c>
      <c r="C426">
        <v>6030</v>
      </c>
      <c r="D426" t="s">
        <v>547</v>
      </c>
      <c r="E426">
        <v>30801</v>
      </c>
      <c r="F426" t="s">
        <v>547</v>
      </c>
      <c r="G426">
        <v>308</v>
      </c>
      <c r="H426" t="s">
        <v>57</v>
      </c>
      <c r="I426">
        <v>3</v>
      </c>
      <c r="J426" t="s">
        <v>50</v>
      </c>
    </row>
    <row r="427" spans="1:10" x14ac:dyDescent="0.25">
      <c r="A427" t="s">
        <v>7355</v>
      </c>
      <c r="B427">
        <f>397222.419045507*(1/100/100)</f>
        <v>39.7222419045507</v>
      </c>
      <c r="C427">
        <v>6031</v>
      </c>
      <c r="D427" t="s">
        <v>3181</v>
      </c>
      <c r="E427">
        <v>30808</v>
      </c>
      <c r="F427" t="s">
        <v>552</v>
      </c>
      <c r="G427">
        <v>308</v>
      </c>
      <c r="H427" t="s">
        <v>57</v>
      </c>
      <c r="I427">
        <v>3</v>
      </c>
      <c r="J427" t="s">
        <v>50</v>
      </c>
    </row>
    <row r="428" spans="1:10" x14ac:dyDescent="0.25">
      <c r="A428" t="s">
        <v>7355</v>
      </c>
      <c r="B428">
        <f>256612.282898172*(1/100/100)</f>
        <v>25.661228289817203</v>
      </c>
      <c r="C428">
        <v>6032</v>
      </c>
      <c r="D428" t="s">
        <v>3182</v>
      </c>
      <c r="E428">
        <v>30808</v>
      </c>
      <c r="F428" t="s">
        <v>552</v>
      </c>
      <c r="G428">
        <v>308</v>
      </c>
      <c r="H428" t="s">
        <v>57</v>
      </c>
      <c r="I428">
        <v>3</v>
      </c>
      <c r="J428" t="s">
        <v>50</v>
      </c>
    </row>
    <row r="429" spans="1:10" x14ac:dyDescent="0.25">
      <c r="A429" t="s">
        <v>7355</v>
      </c>
      <c r="B429">
        <f>3380.06320719477*(1/100/100)</f>
        <v>0.338006320719477</v>
      </c>
      <c r="C429">
        <v>6033</v>
      </c>
      <c r="D429" t="s">
        <v>3183</v>
      </c>
      <c r="E429">
        <v>30808</v>
      </c>
      <c r="F429" t="s">
        <v>552</v>
      </c>
      <c r="G429">
        <v>308</v>
      </c>
      <c r="H429" t="s">
        <v>57</v>
      </c>
      <c r="I429">
        <v>3</v>
      </c>
      <c r="J429" t="s">
        <v>50</v>
      </c>
    </row>
    <row r="430" spans="1:10" x14ac:dyDescent="0.25">
      <c r="A430" t="s">
        <v>7355</v>
      </c>
      <c r="B430">
        <f>120159.205315741*(1/100/100)</f>
        <v>12.0159205315741</v>
      </c>
      <c r="C430">
        <v>6101</v>
      </c>
      <c r="D430" t="s">
        <v>3219</v>
      </c>
      <c r="E430">
        <v>30850</v>
      </c>
      <c r="F430" t="s">
        <v>580</v>
      </c>
      <c r="G430">
        <v>308</v>
      </c>
      <c r="H430" t="s">
        <v>57</v>
      </c>
      <c r="I430">
        <v>3</v>
      </c>
      <c r="J430" t="s">
        <v>50</v>
      </c>
    </row>
    <row r="431" spans="1:10" x14ac:dyDescent="0.25">
      <c r="A431" t="s">
        <v>7355</v>
      </c>
      <c r="B431">
        <f>49586.5711412279*(1/100/100)</f>
        <v>4.95865711412279</v>
      </c>
      <c r="C431">
        <v>6102</v>
      </c>
      <c r="D431" t="s">
        <v>3233</v>
      </c>
      <c r="E431">
        <v>30863</v>
      </c>
      <c r="F431" t="s">
        <v>588</v>
      </c>
      <c r="G431">
        <v>308</v>
      </c>
      <c r="H431" t="s">
        <v>57</v>
      </c>
      <c r="I431">
        <v>3</v>
      </c>
      <c r="J431" t="s">
        <v>50</v>
      </c>
    </row>
    <row r="432" spans="1:10" x14ac:dyDescent="0.25">
      <c r="A432" t="s">
        <v>7355</v>
      </c>
      <c r="B432">
        <f>35537.3073574919*(1/100/100)</f>
        <v>3.5537307357491907</v>
      </c>
      <c r="C432">
        <v>6103</v>
      </c>
      <c r="D432" t="s">
        <v>3234</v>
      </c>
      <c r="E432">
        <v>30863</v>
      </c>
      <c r="F432" t="s">
        <v>588</v>
      </c>
      <c r="G432">
        <v>308</v>
      </c>
      <c r="H432" t="s">
        <v>57</v>
      </c>
      <c r="I432">
        <v>3</v>
      </c>
      <c r="J432" t="s">
        <v>50</v>
      </c>
    </row>
    <row r="433" spans="1:10" x14ac:dyDescent="0.25">
      <c r="A433" t="s">
        <v>7355</v>
      </c>
      <c r="B433">
        <f>136725.360229952*(1/100/100)</f>
        <v>13.672536022995201</v>
      </c>
      <c r="C433">
        <v>6104</v>
      </c>
      <c r="D433" t="s">
        <v>3216</v>
      </c>
      <c r="E433">
        <v>30845</v>
      </c>
      <c r="F433" t="s">
        <v>576</v>
      </c>
      <c r="G433">
        <v>308</v>
      </c>
      <c r="H433" t="s">
        <v>57</v>
      </c>
      <c r="I433">
        <v>3</v>
      </c>
      <c r="J433" t="s">
        <v>50</v>
      </c>
    </row>
    <row r="434" spans="1:10" x14ac:dyDescent="0.25">
      <c r="A434" t="s">
        <v>7355</v>
      </c>
      <c r="B434">
        <f>154652.393331936*(1/100/100)</f>
        <v>15.465239333193601</v>
      </c>
      <c r="C434">
        <v>6105</v>
      </c>
      <c r="D434" t="s">
        <v>553</v>
      </c>
      <c r="E434">
        <v>30810</v>
      </c>
      <c r="F434" t="s">
        <v>553</v>
      </c>
      <c r="G434">
        <v>308</v>
      </c>
      <c r="H434" t="s">
        <v>57</v>
      </c>
      <c r="I434">
        <v>3</v>
      </c>
      <c r="J434" t="s">
        <v>50</v>
      </c>
    </row>
    <row r="435" spans="1:10" x14ac:dyDescent="0.25">
      <c r="A435" t="s">
        <v>7355</v>
      </c>
      <c r="B435">
        <f>202635.794694882*(1/100/100)</f>
        <v>20.263579469488203</v>
      </c>
      <c r="C435">
        <v>6106</v>
      </c>
      <c r="D435" t="s">
        <v>554</v>
      </c>
      <c r="E435">
        <v>30811</v>
      </c>
      <c r="F435" t="s">
        <v>554</v>
      </c>
      <c r="G435">
        <v>308</v>
      </c>
      <c r="H435" t="s">
        <v>57</v>
      </c>
      <c r="I435">
        <v>3</v>
      </c>
      <c r="J435" t="s">
        <v>50</v>
      </c>
    </row>
    <row r="436" spans="1:10" x14ac:dyDescent="0.25">
      <c r="A436" t="s">
        <v>7355</v>
      </c>
      <c r="B436">
        <f>60857.6028440164*(1/100/100)</f>
        <v>6.0857602844016405</v>
      </c>
      <c r="C436">
        <v>6107</v>
      </c>
      <c r="D436" t="s">
        <v>3235</v>
      </c>
      <c r="E436">
        <v>30863</v>
      </c>
      <c r="F436" t="s">
        <v>588</v>
      </c>
      <c r="G436">
        <v>308</v>
      </c>
      <c r="H436" t="s">
        <v>57</v>
      </c>
      <c r="I436">
        <v>3</v>
      </c>
      <c r="J436" t="s">
        <v>50</v>
      </c>
    </row>
    <row r="437" spans="1:10" x14ac:dyDescent="0.25">
      <c r="A437" t="s">
        <v>7355</v>
      </c>
      <c r="B437">
        <f>42916.0008956615*(1/100/100)</f>
        <v>4.2916000895661499</v>
      </c>
      <c r="C437">
        <v>6108</v>
      </c>
      <c r="D437" t="s">
        <v>3224</v>
      </c>
      <c r="E437">
        <v>30857</v>
      </c>
      <c r="F437" t="s">
        <v>584</v>
      </c>
      <c r="G437">
        <v>308</v>
      </c>
      <c r="H437" t="s">
        <v>57</v>
      </c>
      <c r="I437">
        <v>3</v>
      </c>
      <c r="J437" t="s">
        <v>50</v>
      </c>
    </row>
    <row r="438" spans="1:10" x14ac:dyDescent="0.25">
      <c r="A438" t="s">
        <v>7355</v>
      </c>
      <c r="B438">
        <f>48912.1997172067*(1/100/100)</f>
        <v>4.8912199717206697</v>
      </c>
      <c r="C438">
        <v>6109</v>
      </c>
      <c r="D438" t="s">
        <v>3236</v>
      </c>
      <c r="E438">
        <v>30863</v>
      </c>
      <c r="F438" t="s">
        <v>588</v>
      </c>
      <c r="G438">
        <v>308</v>
      </c>
      <c r="H438" t="s">
        <v>57</v>
      </c>
      <c r="I438">
        <v>3</v>
      </c>
      <c r="J438" t="s">
        <v>50</v>
      </c>
    </row>
    <row r="439" spans="1:10" x14ac:dyDescent="0.25">
      <c r="A439" t="s">
        <v>7355</v>
      </c>
      <c r="B439">
        <f>54256.8025017532*(1/100/100)</f>
        <v>5.4256802501753203</v>
      </c>
      <c r="C439">
        <v>6110</v>
      </c>
      <c r="D439" t="s">
        <v>3237</v>
      </c>
      <c r="E439">
        <v>30863</v>
      </c>
      <c r="F439" t="s">
        <v>588</v>
      </c>
      <c r="G439">
        <v>308</v>
      </c>
      <c r="H439" t="s">
        <v>57</v>
      </c>
      <c r="I439">
        <v>3</v>
      </c>
      <c r="J439" t="s">
        <v>50</v>
      </c>
    </row>
    <row r="440" spans="1:10" x14ac:dyDescent="0.25">
      <c r="A440" t="s">
        <v>7355</v>
      </c>
      <c r="B440">
        <f>91200.3177811658*(1/100/100)</f>
        <v>9.1200317781165801</v>
      </c>
      <c r="C440">
        <v>6111</v>
      </c>
      <c r="D440" t="s">
        <v>563</v>
      </c>
      <c r="E440">
        <v>30826</v>
      </c>
      <c r="F440" t="s">
        <v>563</v>
      </c>
      <c r="G440">
        <v>308</v>
      </c>
      <c r="H440" t="s">
        <v>57</v>
      </c>
      <c r="I440">
        <v>3</v>
      </c>
      <c r="J440" t="s">
        <v>50</v>
      </c>
    </row>
    <row r="441" spans="1:10" x14ac:dyDescent="0.25">
      <c r="A441" t="s">
        <v>7355</v>
      </c>
      <c r="B441">
        <f>321303.006623181*(1/100/100)</f>
        <v>32.130300662318099</v>
      </c>
      <c r="C441">
        <v>6112</v>
      </c>
      <c r="D441" t="s">
        <v>3207</v>
      </c>
      <c r="E441">
        <v>30827</v>
      </c>
      <c r="F441" t="s">
        <v>564</v>
      </c>
      <c r="G441">
        <v>308</v>
      </c>
      <c r="H441" t="s">
        <v>57</v>
      </c>
      <c r="I441">
        <v>3</v>
      </c>
      <c r="J441" t="s">
        <v>50</v>
      </c>
    </row>
    <row r="442" spans="1:10" x14ac:dyDescent="0.25">
      <c r="A442" t="s">
        <v>7355</v>
      </c>
      <c r="B442">
        <f>129662.037279237*(1/100/100)</f>
        <v>12.9662037279237</v>
      </c>
      <c r="C442">
        <v>6113</v>
      </c>
      <c r="D442" t="s">
        <v>3238</v>
      </c>
      <c r="E442">
        <v>30863</v>
      </c>
      <c r="F442" t="s">
        <v>588</v>
      </c>
      <c r="G442">
        <v>308</v>
      </c>
      <c r="H442" t="s">
        <v>57</v>
      </c>
      <c r="I442">
        <v>3</v>
      </c>
      <c r="J442" t="s">
        <v>50</v>
      </c>
    </row>
    <row r="443" spans="1:10" x14ac:dyDescent="0.25">
      <c r="A443" t="s">
        <v>7355</v>
      </c>
      <c r="B443">
        <f>128184.170960462*(1/100/100)</f>
        <v>12.8184170960462</v>
      </c>
      <c r="C443">
        <v>6114</v>
      </c>
      <c r="D443" t="s">
        <v>566</v>
      </c>
      <c r="E443">
        <v>30829</v>
      </c>
      <c r="F443" t="s">
        <v>566</v>
      </c>
      <c r="G443">
        <v>308</v>
      </c>
      <c r="H443" t="s">
        <v>57</v>
      </c>
      <c r="I443">
        <v>3</v>
      </c>
      <c r="J443" t="s">
        <v>50</v>
      </c>
    </row>
    <row r="444" spans="1:10" x14ac:dyDescent="0.25">
      <c r="A444" t="s">
        <v>7355</v>
      </c>
      <c r="B444">
        <f>122929.956065905*(1/100/100)</f>
        <v>12.292995606590502</v>
      </c>
      <c r="C444">
        <v>6115</v>
      </c>
      <c r="D444" t="s">
        <v>3239</v>
      </c>
      <c r="E444">
        <v>30863</v>
      </c>
      <c r="F444" t="s">
        <v>588</v>
      </c>
      <c r="G444">
        <v>308</v>
      </c>
      <c r="H444" t="s">
        <v>57</v>
      </c>
      <c r="I444">
        <v>3</v>
      </c>
      <c r="J444" t="s">
        <v>50</v>
      </c>
    </row>
    <row r="445" spans="1:10" x14ac:dyDescent="0.25">
      <c r="A445" t="s">
        <v>7355</v>
      </c>
      <c r="B445">
        <f>87096.9473743366*(1/100/100)</f>
        <v>8.7096947374336597</v>
      </c>
      <c r="C445">
        <v>6116</v>
      </c>
      <c r="D445" t="s">
        <v>3240</v>
      </c>
      <c r="E445">
        <v>30863</v>
      </c>
      <c r="F445" t="s">
        <v>588</v>
      </c>
      <c r="G445">
        <v>308</v>
      </c>
      <c r="H445" t="s">
        <v>57</v>
      </c>
      <c r="I445">
        <v>3</v>
      </c>
      <c r="J445" t="s">
        <v>50</v>
      </c>
    </row>
    <row r="446" spans="1:10" x14ac:dyDescent="0.25">
      <c r="A446" t="s">
        <v>7355</v>
      </c>
      <c r="B446">
        <f>198924.062530522*(1/100/100)</f>
        <v>19.892406253052201</v>
      </c>
      <c r="C446">
        <v>6117</v>
      </c>
      <c r="D446" t="s">
        <v>573</v>
      </c>
      <c r="E446">
        <v>30841</v>
      </c>
      <c r="F446" t="s">
        <v>573</v>
      </c>
      <c r="G446">
        <v>308</v>
      </c>
      <c r="H446" t="s">
        <v>57</v>
      </c>
      <c r="I446">
        <v>3</v>
      </c>
      <c r="J446" t="s">
        <v>50</v>
      </c>
    </row>
    <row r="447" spans="1:10" x14ac:dyDescent="0.25">
      <c r="A447" t="s">
        <v>7355</v>
      </c>
      <c r="B447">
        <f>13489.4190051528*(1/100/100)</f>
        <v>1.3489419005152801</v>
      </c>
      <c r="C447">
        <v>6118</v>
      </c>
      <c r="D447" t="s">
        <v>3225</v>
      </c>
      <c r="E447">
        <v>30857</v>
      </c>
      <c r="F447" t="s">
        <v>584</v>
      </c>
      <c r="G447">
        <v>308</v>
      </c>
      <c r="H447" t="s">
        <v>57</v>
      </c>
      <c r="I447">
        <v>3</v>
      </c>
      <c r="J447" t="s">
        <v>50</v>
      </c>
    </row>
    <row r="448" spans="1:10" x14ac:dyDescent="0.25">
      <c r="A448" t="s">
        <v>7355</v>
      </c>
      <c r="B448">
        <f>135032.443882495*(1/100/100)</f>
        <v>13.503244388249499</v>
      </c>
      <c r="C448">
        <v>6119</v>
      </c>
      <c r="D448" t="s">
        <v>3217</v>
      </c>
      <c r="E448">
        <v>30845</v>
      </c>
      <c r="F448" t="s">
        <v>576</v>
      </c>
      <c r="G448">
        <v>308</v>
      </c>
      <c r="H448" t="s">
        <v>57</v>
      </c>
      <c r="I448">
        <v>3</v>
      </c>
      <c r="J448" t="s">
        <v>50</v>
      </c>
    </row>
    <row r="449" spans="1:10" x14ac:dyDescent="0.25">
      <c r="A449" t="s">
        <v>7355</v>
      </c>
      <c r="B449">
        <f>86258.0090472791*(1/100/100)</f>
        <v>8.6258009047279103</v>
      </c>
      <c r="C449">
        <v>6120</v>
      </c>
      <c r="D449" t="s">
        <v>3206</v>
      </c>
      <c r="E449">
        <v>30826</v>
      </c>
      <c r="F449" t="s">
        <v>563</v>
      </c>
      <c r="G449">
        <v>308</v>
      </c>
      <c r="H449" t="s">
        <v>57</v>
      </c>
      <c r="I449">
        <v>3</v>
      </c>
      <c r="J449" t="s">
        <v>50</v>
      </c>
    </row>
    <row r="450" spans="1:10" x14ac:dyDescent="0.25">
      <c r="A450" t="s">
        <v>7355</v>
      </c>
      <c r="B450">
        <f>31391.3510729772*(1/100/100)</f>
        <v>3.1391351072977201</v>
      </c>
      <c r="C450">
        <v>6121</v>
      </c>
      <c r="D450" t="s">
        <v>3175</v>
      </c>
      <c r="E450">
        <v>30826</v>
      </c>
      <c r="F450" t="s">
        <v>563</v>
      </c>
      <c r="G450">
        <v>308</v>
      </c>
      <c r="H450" t="s">
        <v>57</v>
      </c>
      <c r="I450">
        <v>3</v>
      </c>
      <c r="J450" t="s">
        <v>50</v>
      </c>
    </row>
    <row r="451" spans="1:10" x14ac:dyDescent="0.25">
      <c r="A451" t="s">
        <v>7355</v>
      </c>
      <c r="B451">
        <f>118118.373082878*(1/100/100)</f>
        <v>11.811837308287799</v>
      </c>
      <c r="C451">
        <v>6122</v>
      </c>
      <c r="D451" t="s">
        <v>3220</v>
      </c>
      <c r="E451">
        <v>30850</v>
      </c>
      <c r="F451" t="s">
        <v>580</v>
      </c>
      <c r="G451">
        <v>308</v>
      </c>
      <c r="H451" t="s">
        <v>57</v>
      </c>
      <c r="I451">
        <v>3</v>
      </c>
      <c r="J451" t="s">
        <v>50</v>
      </c>
    </row>
    <row r="452" spans="1:10" x14ac:dyDescent="0.25">
      <c r="A452" t="s">
        <v>7355</v>
      </c>
      <c r="B452">
        <f>67433.0666195265*(1/100/100)</f>
        <v>6.7433066619526496</v>
      </c>
      <c r="C452">
        <v>6123</v>
      </c>
      <c r="D452" t="s">
        <v>3208</v>
      </c>
      <c r="E452">
        <v>30829</v>
      </c>
      <c r="F452" t="s">
        <v>566</v>
      </c>
      <c r="G452">
        <v>308</v>
      </c>
      <c r="H452" t="s">
        <v>57</v>
      </c>
      <c r="I452">
        <v>3</v>
      </c>
      <c r="J452" t="s">
        <v>50</v>
      </c>
    </row>
    <row r="453" spans="1:10" x14ac:dyDescent="0.25">
      <c r="A453" t="s">
        <v>7355</v>
      </c>
      <c r="B453">
        <f>90854.2917186127*(1/100/100)</f>
        <v>9.0854291718612714</v>
      </c>
      <c r="C453">
        <v>6124</v>
      </c>
      <c r="D453" t="s">
        <v>3226</v>
      </c>
      <c r="E453">
        <v>30857</v>
      </c>
      <c r="F453" t="s">
        <v>584</v>
      </c>
      <c r="G453">
        <v>308</v>
      </c>
      <c r="H453" t="s">
        <v>57</v>
      </c>
      <c r="I453">
        <v>3</v>
      </c>
      <c r="J453" t="s">
        <v>50</v>
      </c>
    </row>
    <row r="454" spans="1:10" x14ac:dyDescent="0.25">
      <c r="A454" t="s">
        <v>7355</v>
      </c>
      <c r="B454">
        <f>120827.011004854*(1/100/100)</f>
        <v>12.0827011004854</v>
      </c>
      <c r="C454">
        <v>6125</v>
      </c>
      <c r="D454" t="s">
        <v>3227</v>
      </c>
      <c r="E454">
        <v>30857</v>
      </c>
      <c r="F454" t="s">
        <v>584</v>
      </c>
      <c r="G454">
        <v>308</v>
      </c>
      <c r="H454" t="s">
        <v>57</v>
      </c>
      <c r="I454">
        <v>3</v>
      </c>
      <c r="J454" t="s">
        <v>50</v>
      </c>
    </row>
    <row r="455" spans="1:10" x14ac:dyDescent="0.25">
      <c r="A455" t="s">
        <v>7355</v>
      </c>
      <c r="B455">
        <f>28946.7671387358*(1/100/100)</f>
        <v>2.8946767138735798</v>
      </c>
      <c r="C455">
        <v>6126</v>
      </c>
      <c r="D455" t="s">
        <v>2882</v>
      </c>
      <c r="E455">
        <v>30841</v>
      </c>
      <c r="F455" t="s">
        <v>573</v>
      </c>
      <c r="G455">
        <v>308</v>
      </c>
      <c r="H455" t="s">
        <v>57</v>
      </c>
      <c r="I455">
        <v>3</v>
      </c>
      <c r="J455" t="s">
        <v>50</v>
      </c>
    </row>
    <row r="456" spans="1:10" x14ac:dyDescent="0.25">
      <c r="A456" t="s">
        <v>7355</v>
      </c>
      <c r="B456">
        <f>39817.2939659614*(1/100/100)</f>
        <v>3.98172939659614</v>
      </c>
      <c r="C456">
        <v>6127</v>
      </c>
      <c r="D456" t="s">
        <v>3184</v>
      </c>
      <c r="E456">
        <v>30810</v>
      </c>
      <c r="F456" t="s">
        <v>553</v>
      </c>
      <c r="G456">
        <v>308</v>
      </c>
      <c r="H456" t="s">
        <v>57</v>
      </c>
      <c r="I456">
        <v>3</v>
      </c>
      <c r="J456" t="s">
        <v>50</v>
      </c>
    </row>
    <row r="457" spans="1:10" x14ac:dyDescent="0.25">
      <c r="A457" t="s">
        <v>7355</v>
      </c>
      <c r="B457">
        <f>336096.596797692*(1/100/100)</f>
        <v>33.609659679769202</v>
      </c>
      <c r="C457">
        <v>6128</v>
      </c>
      <c r="D457" t="s">
        <v>588</v>
      </c>
      <c r="E457">
        <v>30863</v>
      </c>
      <c r="F457" t="s">
        <v>588</v>
      </c>
      <c r="G457">
        <v>308</v>
      </c>
      <c r="H457" t="s">
        <v>57</v>
      </c>
      <c r="I457">
        <v>3</v>
      </c>
      <c r="J457" t="s">
        <v>50</v>
      </c>
    </row>
    <row r="458" spans="1:10" x14ac:dyDescent="0.25">
      <c r="A458" t="s">
        <v>7355</v>
      </c>
      <c r="B458">
        <f>105082.016759582*(1/100/100)</f>
        <v>10.508201675958199</v>
      </c>
      <c r="C458">
        <v>6129</v>
      </c>
      <c r="D458" t="s">
        <v>3185</v>
      </c>
      <c r="E458">
        <v>30811</v>
      </c>
      <c r="F458" t="s">
        <v>554</v>
      </c>
      <c r="G458">
        <v>308</v>
      </c>
      <c r="H458" t="s">
        <v>57</v>
      </c>
      <c r="I458">
        <v>3</v>
      </c>
      <c r="J458" t="s">
        <v>50</v>
      </c>
    </row>
    <row r="459" spans="1:10" x14ac:dyDescent="0.25">
      <c r="A459" t="s">
        <v>7355</v>
      </c>
      <c r="B459">
        <f>35633.7384574117*(1/100/100)</f>
        <v>3.5633738457411703</v>
      </c>
      <c r="C459">
        <v>6201</v>
      </c>
      <c r="D459" t="s">
        <v>548</v>
      </c>
      <c r="E459">
        <v>30802</v>
      </c>
      <c r="F459" t="s">
        <v>548</v>
      </c>
      <c r="G459">
        <v>308</v>
      </c>
      <c r="H459" t="s">
        <v>57</v>
      </c>
      <c r="I459">
        <v>3</v>
      </c>
      <c r="J459" t="s">
        <v>50</v>
      </c>
    </row>
    <row r="460" spans="1:10" x14ac:dyDescent="0.25">
      <c r="A460" t="s">
        <v>7355</v>
      </c>
      <c r="B460">
        <f>106447.128579114*(1/100/100)</f>
        <v>10.644712857911401</v>
      </c>
      <c r="C460">
        <v>6202</v>
      </c>
      <c r="D460" t="s">
        <v>3210</v>
      </c>
      <c r="E460">
        <v>30831</v>
      </c>
      <c r="F460" t="s">
        <v>568</v>
      </c>
      <c r="G460">
        <v>308</v>
      </c>
      <c r="H460" t="s">
        <v>57</v>
      </c>
      <c r="I460">
        <v>3</v>
      </c>
      <c r="J460" t="s">
        <v>50</v>
      </c>
    </row>
    <row r="461" spans="1:10" x14ac:dyDescent="0.25">
      <c r="A461" t="s">
        <v>7355</v>
      </c>
      <c r="B461">
        <f>68788.8107559104*(1/100/100)</f>
        <v>6.8788810755910399</v>
      </c>
      <c r="C461">
        <v>6203</v>
      </c>
      <c r="D461" t="s">
        <v>556</v>
      </c>
      <c r="E461">
        <v>30813</v>
      </c>
      <c r="F461" t="s">
        <v>556</v>
      </c>
      <c r="G461">
        <v>308</v>
      </c>
      <c r="H461" t="s">
        <v>57</v>
      </c>
      <c r="I461">
        <v>3</v>
      </c>
      <c r="J461" t="s">
        <v>50</v>
      </c>
    </row>
    <row r="462" spans="1:10" x14ac:dyDescent="0.25">
      <c r="A462" t="s">
        <v>7355</v>
      </c>
      <c r="B462">
        <f>68057.9620062973*(1/100/100)</f>
        <v>6.8057962006297297</v>
      </c>
      <c r="C462">
        <v>6204</v>
      </c>
      <c r="D462" t="s">
        <v>3194</v>
      </c>
      <c r="E462">
        <v>30821</v>
      </c>
      <c r="F462" t="s">
        <v>559</v>
      </c>
      <c r="G462">
        <v>308</v>
      </c>
      <c r="H462" t="s">
        <v>57</v>
      </c>
      <c r="I462">
        <v>3</v>
      </c>
      <c r="J462" t="s">
        <v>50</v>
      </c>
    </row>
    <row r="463" spans="1:10" x14ac:dyDescent="0.25">
      <c r="A463" t="s">
        <v>7355</v>
      </c>
      <c r="B463">
        <f>44190.5053463919*(1/100/100)</f>
        <v>4.4190505346391902</v>
      </c>
      <c r="C463">
        <v>6205</v>
      </c>
      <c r="D463" t="s">
        <v>3204</v>
      </c>
      <c r="E463">
        <v>30825</v>
      </c>
      <c r="F463" t="s">
        <v>562</v>
      </c>
      <c r="G463">
        <v>308</v>
      </c>
      <c r="H463" t="s">
        <v>57</v>
      </c>
      <c r="I463">
        <v>3</v>
      </c>
      <c r="J463" t="s">
        <v>50</v>
      </c>
    </row>
    <row r="464" spans="1:10" x14ac:dyDescent="0.25">
      <c r="A464" t="s">
        <v>7355</v>
      </c>
      <c r="B464">
        <f>86792.6240891962*(1/100/100)</f>
        <v>8.6792624089196195</v>
      </c>
      <c r="C464">
        <v>6206</v>
      </c>
      <c r="D464" t="s">
        <v>558</v>
      </c>
      <c r="E464">
        <v>30819</v>
      </c>
      <c r="F464" t="s">
        <v>558</v>
      </c>
      <c r="G464">
        <v>308</v>
      </c>
      <c r="H464" t="s">
        <v>57</v>
      </c>
      <c r="I464">
        <v>3</v>
      </c>
      <c r="J464" t="s">
        <v>50</v>
      </c>
    </row>
    <row r="465" spans="1:10" x14ac:dyDescent="0.25">
      <c r="A465" t="s">
        <v>7355</v>
      </c>
      <c r="B465">
        <f>584888.899499207*(1/100/100)</f>
        <v>58.488889949920704</v>
      </c>
      <c r="C465">
        <v>6207</v>
      </c>
      <c r="D465" t="s">
        <v>3195</v>
      </c>
      <c r="E465">
        <v>30821</v>
      </c>
      <c r="F465" t="s">
        <v>559</v>
      </c>
      <c r="G465">
        <v>308</v>
      </c>
      <c r="H465" t="s">
        <v>57</v>
      </c>
      <c r="I465">
        <v>3</v>
      </c>
      <c r="J465" t="s">
        <v>50</v>
      </c>
    </row>
    <row r="466" spans="1:10" x14ac:dyDescent="0.25">
      <c r="A466" t="s">
        <v>7355</v>
      </c>
      <c r="B466">
        <f>23565.2671320346*(1/100/100)</f>
        <v>2.3565267132034604</v>
      </c>
      <c r="C466">
        <v>6208</v>
      </c>
      <c r="D466" t="s">
        <v>560</v>
      </c>
      <c r="E466">
        <v>30822</v>
      </c>
      <c r="F466" t="s">
        <v>560</v>
      </c>
      <c r="G466">
        <v>308</v>
      </c>
      <c r="H466" t="s">
        <v>57</v>
      </c>
      <c r="I466">
        <v>3</v>
      </c>
      <c r="J466" t="s">
        <v>50</v>
      </c>
    </row>
    <row r="467" spans="1:10" x14ac:dyDescent="0.25">
      <c r="A467" t="s">
        <v>7355</v>
      </c>
      <c r="B467">
        <f>169677.2844642*(1/100/100)</f>
        <v>16.967728446420001</v>
      </c>
      <c r="C467">
        <v>6209</v>
      </c>
      <c r="D467" t="s">
        <v>562</v>
      </c>
      <c r="E467">
        <v>30825</v>
      </c>
      <c r="F467" t="s">
        <v>562</v>
      </c>
      <c r="G467">
        <v>308</v>
      </c>
      <c r="H467" t="s">
        <v>57</v>
      </c>
      <c r="I467">
        <v>3</v>
      </c>
      <c r="J467" t="s">
        <v>50</v>
      </c>
    </row>
    <row r="468" spans="1:10" x14ac:dyDescent="0.25">
      <c r="A468" t="s">
        <v>7355</v>
      </c>
      <c r="B468">
        <f>41388.268014667*(1/100/100)</f>
        <v>4.1388268014667009</v>
      </c>
      <c r="C468">
        <v>6210</v>
      </c>
      <c r="D468" t="s">
        <v>3186</v>
      </c>
      <c r="E468">
        <v>30813</v>
      </c>
      <c r="F468" t="s">
        <v>556</v>
      </c>
      <c r="G468">
        <v>308</v>
      </c>
      <c r="H468" t="s">
        <v>57</v>
      </c>
      <c r="I468">
        <v>3</v>
      </c>
      <c r="J468" t="s">
        <v>50</v>
      </c>
    </row>
    <row r="469" spans="1:10" x14ac:dyDescent="0.25">
      <c r="A469" t="s">
        <v>7355</v>
      </c>
      <c r="B469">
        <f>277760.746979795*(1/100/100)</f>
        <v>27.776074697979499</v>
      </c>
      <c r="C469">
        <v>6211</v>
      </c>
      <c r="D469" t="s">
        <v>568</v>
      </c>
      <c r="E469">
        <v>30831</v>
      </c>
      <c r="F469" t="s">
        <v>568</v>
      </c>
      <c r="G469">
        <v>308</v>
      </c>
      <c r="H469" t="s">
        <v>57</v>
      </c>
      <c r="I469">
        <v>3</v>
      </c>
      <c r="J469" t="s">
        <v>50</v>
      </c>
    </row>
    <row r="470" spans="1:10" x14ac:dyDescent="0.25">
      <c r="A470" t="s">
        <v>7355</v>
      </c>
      <c r="B470">
        <f>66126.0261076183*(1/100/100)</f>
        <v>6.6126026107618294</v>
      </c>
      <c r="C470">
        <v>6212</v>
      </c>
      <c r="D470" t="s">
        <v>3211</v>
      </c>
      <c r="E470">
        <v>30834</v>
      </c>
      <c r="F470" t="s">
        <v>569</v>
      </c>
      <c r="G470">
        <v>308</v>
      </c>
      <c r="H470" t="s">
        <v>57</v>
      </c>
      <c r="I470">
        <v>3</v>
      </c>
      <c r="J470" t="s">
        <v>50</v>
      </c>
    </row>
    <row r="471" spans="1:10" x14ac:dyDescent="0.25">
      <c r="A471" t="s">
        <v>7355</v>
      </c>
      <c r="B471">
        <f>166460.416983485*(1/100/100)</f>
        <v>16.646041698348501</v>
      </c>
      <c r="C471">
        <v>6213</v>
      </c>
      <c r="D471" t="s">
        <v>571</v>
      </c>
      <c r="E471">
        <v>30836</v>
      </c>
      <c r="F471" t="s">
        <v>571</v>
      </c>
      <c r="G471">
        <v>308</v>
      </c>
      <c r="H471" t="s">
        <v>57</v>
      </c>
      <c r="I471">
        <v>3</v>
      </c>
      <c r="J471" t="s">
        <v>50</v>
      </c>
    </row>
    <row r="472" spans="1:10" x14ac:dyDescent="0.25">
      <c r="A472" t="s">
        <v>7355</v>
      </c>
      <c r="B472">
        <f>25691.0638479444*(1/100/100)</f>
        <v>2.56910638479444</v>
      </c>
      <c r="C472">
        <v>6214</v>
      </c>
      <c r="D472" t="s">
        <v>3196</v>
      </c>
      <c r="E472">
        <v>30821</v>
      </c>
      <c r="F472" t="s">
        <v>559</v>
      </c>
      <c r="G472">
        <v>308</v>
      </c>
      <c r="H472" t="s">
        <v>57</v>
      </c>
      <c r="I472">
        <v>3</v>
      </c>
      <c r="J472" t="s">
        <v>50</v>
      </c>
    </row>
    <row r="473" spans="1:10" x14ac:dyDescent="0.25">
      <c r="A473" t="s">
        <v>7355</v>
      </c>
      <c r="B473">
        <f>33478.6154718109*(1/100/100)</f>
        <v>3.3478615471810906</v>
      </c>
      <c r="C473">
        <v>6215</v>
      </c>
      <c r="D473" t="s">
        <v>3197</v>
      </c>
      <c r="E473">
        <v>30821</v>
      </c>
      <c r="F473" t="s">
        <v>559</v>
      </c>
      <c r="G473">
        <v>308</v>
      </c>
      <c r="H473" t="s">
        <v>57</v>
      </c>
      <c r="I473">
        <v>3</v>
      </c>
      <c r="J473" t="s">
        <v>50</v>
      </c>
    </row>
    <row r="474" spans="1:10" x14ac:dyDescent="0.25">
      <c r="A474" t="s">
        <v>7355</v>
      </c>
      <c r="B474">
        <f>173675.480711969*(1/100/100)</f>
        <v>17.3675480711969</v>
      </c>
      <c r="C474">
        <v>6216</v>
      </c>
      <c r="D474" t="s">
        <v>3198</v>
      </c>
      <c r="E474">
        <v>30821</v>
      </c>
      <c r="F474" t="s">
        <v>559</v>
      </c>
      <c r="G474">
        <v>308</v>
      </c>
      <c r="H474" t="s">
        <v>57</v>
      </c>
      <c r="I474">
        <v>3</v>
      </c>
      <c r="J474" t="s">
        <v>50</v>
      </c>
    </row>
    <row r="475" spans="1:10" x14ac:dyDescent="0.25">
      <c r="A475" t="s">
        <v>7355</v>
      </c>
      <c r="B475">
        <f>225093.815286795*(1/100/100)</f>
        <v>22.509381528679501</v>
      </c>
      <c r="C475">
        <v>6217</v>
      </c>
      <c r="D475" t="s">
        <v>574</v>
      </c>
      <c r="E475">
        <v>30842</v>
      </c>
      <c r="F475" t="s">
        <v>574</v>
      </c>
      <c r="G475">
        <v>308</v>
      </c>
      <c r="H475" t="s">
        <v>57</v>
      </c>
      <c r="I475">
        <v>3</v>
      </c>
      <c r="J475" t="s">
        <v>50</v>
      </c>
    </row>
    <row r="476" spans="1:10" x14ac:dyDescent="0.25">
      <c r="A476" t="s">
        <v>7355</v>
      </c>
      <c r="B476">
        <f>281526.318157977*(1/100/100)</f>
        <v>28.152631815797704</v>
      </c>
      <c r="C476">
        <v>6218</v>
      </c>
      <c r="D476" t="s">
        <v>575</v>
      </c>
      <c r="E476">
        <v>30844</v>
      </c>
      <c r="F476" t="s">
        <v>575</v>
      </c>
      <c r="G476">
        <v>308</v>
      </c>
      <c r="H476" t="s">
        <v>57</v>
      </c>
      <c r="I476">
        <v>3</v>
      </c>
      <c r="J476" t="s">
        <v>50</v>
      </c>
    </row>
    <row r="477" spans="1:10" x14ac:dyDescent="0.25">
      <c r="A477" t="s">
        <v>7355</v>
      </c>
      <c r="B477">
        <f>40092.1573888346*(1/100/100)</f>
        <v>4.0092157388834604</v>
      </c>
      <c r="C477">
        <v>6219</v>
      </c>
      <c r="D477" t="s">
        <v>577</v>
      </c>
      <c r="E477">
        <v>30846</v>
      </c>
      <c r="F477" t="s">
        <v>577</v>
      </c>
      <c r="G477">
        <v>308</v>
      </c>
      <c r="H477" t="s">
        <v>57</v>
      </c>
      <c r="I477">
        <v>3</v>
      </c>
      <c r="J477" t="s">
        <v>50</v>
      </c>
    </row>
    <row r="478" spans="1:10" x14ac:dyDescent="0.25">
      <c r="A478" t="s">
        <v>7355</v>
      </c>
      <c r="B478">
        <f>38332.2625982969*(1/100/100)</f>
        <v>3.83322625982969</v>
      </c>
      <c r="C478">
        <v>6220</v>
      </c>
      <c r="D478" t="s">
        <v>3187</v>
      </c>
      <c r="E478">
        <v>30813</v>
      </c>
      <c r="F478" t="s">
        <v>556</v>
      </c>
      <c r="G478">
        <v>308</v>
      </c>
      <c r="H478" t="s">
        <v>57</v>
      </c>
      <c r="I478">
        <v>3</v>
      </c>
      <c r="J478" t="s">
        <v>50</v>
      </c>
    </row>
    <row r="479" spans="1:10" x14ac:dyDescent="0.25">
      <c r="A479" t="s">
        <v>7355</v>
      </c>
      <c r="B479">
        <f>106743.335014824*(1/100/100)</f>
        <v>10.674333501482401</v>
      </c>
      <c r="C479">
        <v>6221</v>
      </c>
      <c r="D479" t="s">
        <v>3199</v>
      </c>
      <c r="E479">
        <v>30821</v>
      </c>
      <c r="F479" t="s">
        <v>559</v>
      </c>
      <c r="G479">
        <v>308</v>
      </c>
      <c r="H479" t="s">
        <v>57</v>
      </c>
      <c r="I479">
        <v>3</v>
      </c>
      <c r="J479" t="s">
        <v>50</v>
      </c>
    </row>
    <row r="480" spans="1:10" x14ac:dyDescent="0.25">
      <c r="A480" t="s">
        <v>7355</v>
      </c>
      <c r="B480">
        <f>47046.186258585*(1/100/100)</f>
        <v>4.7046186258585001</v>
      </c>
      <c r="C480">
        <v>6222</v>
      </c>
      <c r="D480" t="s">
        <v>3218</v>
      </c>
      <c r="E480">
        <v>30849</v>
      </c>
      <c r="F480" t="s">
        <v>579</v>
      </c>
      <c r="G480">
        <v>308</v>
      </c>
      <c r="H480" t="s">
        <v>57</v>
      </c>
      <c r="I480">
        <v>3</v>
      </c>
      <c r="J480" t="s">
        <v>50</v>
      </c>
    </row>
    <row r="481" spans="1:10" x14ac:dyDescent="0.25">
      <c r="A481" t="s">
        <v>7355</v>
      </c>
      <c r="B481">
        <f>118225.566385682*(1/100/100)</f>
        <v>11.822556638568201</v>
      </c>
      <c r="C481">
        <v>6223</v>
      </c>
      <c r="D481" t="s">
        <v>579</v>
      </c>
      <c r="E481">
        <v>30849</v>
      </c>
      <c r="F481" t="s">
        <v>579</v>
      </c>
      <c r="G481">
        <v>308</v>
      </c>
      <c r="H481" t="s">
        <v>57</v>
      </c>
      <c r="I481">
        <v>3</v>
      </c>
      <c r="J481" t="s">
        <v>50</v>
      </c>
    </row>
    <row r="482" spans="1:10" x14ac:dyDescent="0.25">
      <c r="A482" t="s">
        <v>7355</v>
      </c>
      <c r="B482">
        <f>42240.9116807176*(1/100/100)</f>
        <v>4.2240911680717605</v>
      </c>
      <c r="C482">
        <v>6224</v>
      </c>
      <c r="D482" t="s">
        <v>3200</v>
      </c>
      <c r="E482">
        <v>30821</v>
      </c>
      <c r="F482" t="s">
        <v>559</v>
      </c>
      <c r="G482">
        <v>308</v>
      </c>
      <c r="H482" t="s">
        <v>57</v>
      </c>
      <c r="I482">
        <v>3</v>
      </c>
      <c r="J482" t="s">
        <v>50</v>
      </c>
    </row>
    <row r="483" spans="1:10" x14ac:dyDescent="0.25">
      <c r="A483" t="s">
        <v>7355</v>
      </c>
      <c r="B483">
        <f>50525.5510760127*(1/100/100)</f>
        <v>5.05255510760127</v>
      </c>
      <c r="C483">
        <v>6225</v>
      </c>
      <c r="D483" t="s">
        <v>3201</v>
      </c>
      <c r="E483">
        <v>30821</v>
      </c>
      <c r="F483" t="s">
        <v>559</v>
      </c>
      <c r="G483">
        <v>308</v>
      </c>
      <c r="H483" t="s">
        <v>57</v>
      </c>
      <c r="I483">
        <v>3</v>
      </c>
      <c r="J483" t="s">
        <v>50</v>
      </c>
    </row>
    <row r="484" spans="1:10" x14ac:dyDescent="0.25">
      <c r="A484" t="s">
        <v>7355</v>
      </c>
      <c r="B484">
        <f>42042.3292336493*(1/100/100)</f>
        <v>4.2042329233649305</v>
      </c>
      <c r="C484">
        <v>6226</v>
      </c>
      <c r="D484" t="s">
        <v>3205</v>
      </c>
      <c r="E484">
        <v>30825</v>
      </c>
      <c r="F484" t="s">
        <v>562</v>
      </c>
      <c r="G484">
        <v>308</v>
      </c>
      <c r="H484" t="s">
        <v>57</v>
      </c>
      <c r="I484">
        <v>3</v>
      </c>
      <c r="J484" t="s">
        <v>50</v>
      </c>
    </row>
    <row r="485" spans="1:10" x14ac:dyDescent="0.25">
      <c r="A485" t="s">
        <v>7355</v>
      </c>
      <c r="B485">
        <f>30620.6294324943*(1/100/100)</f>
        <v>3.0620629432494302</v>
      </c>
      <c r="C485">
        <v>6227</v>
      </c>
      <c r="D485" t="s">
        <v>3188</v>
      </c>
      <c r="E485">
        <v>30813</v>
      </c>
      <c r="F485" t="s">
        <v>556</v>
      </c>
      <c r="G485">
        <v>308</v>
      </c>
      <c r="H485" t="s">
        <v>57</v>
      </c>
      <c r="I485">
        <v>3</v>
      </c>
      <c r="J485" t="s">
        <v>50</v>
      </c>
    </row>
    <row r="486" spans="1:10" x14ac:dyDescent="0.25">
      <c r="A486" t="s">
        <v>7355</v>
      </c>
      <c r="B486">
        <f>111878.090532169*(1/100/100)</f>
        <v>11.187809053216899</v>
      </c>
      <c r="C486">
        <v>6228</v>
      </c>
      <c r="D486" t="s">
        <v>3202</v>
      </c>
      <c r="E486">
        <v>30821</v>
      </c>
      <c r="F486" t="s">
        <v>559</v>
      </c>
      <c r="G486">
        <v>308</v>
      </c>
      <c r="H486" t="s">
        <v>57</v>
      </c>
      <c r="I486">
        <v>3</v>
      </c>
      <c r="J486" t="s">
        <v>50</v>
      </c>
    </row>
    <row r="487" spans="1:10" x14ac:dyDescent="0.25">
      <c r="A487" t="s">
        <v>7355</v>
      </c>
      <c r="B487">
        <f>38966.966693244*(1/100/100)</f>
        <v>3.8966966693244003</v>
      </c>
      <c r="C487">
        <v>6229</v>
      </c>
      <c r="D487" t="s">
        <v>3189</v>
      </c>
      <c r="E487">
        <v>30813</v>
      </c>
      <c r="F487" t="s">
        <v>556</v>
      </c>
      <c r="G487">
        <v>308</v>
      </c>
      <c r="H487" t="s">
        <v>57</v>
      </c>
      <c r="I487">
        <v>3</v>
      </c>
      <c r="J487" t="s">
        <v>50</v>
      </c>
    </row>
    <row r="488" spans="1:10" x14ac:dyDescent="0.25">
      <c r="A488" t="s">
        <v>7355</v>
      </c>
      <c r="B488">
        <f>73309.8684692251*(1/100/100)</f>
        <v>7.3309868469225101</v>
      </c>
      <c r="C488">
        <v>6301</v>
      </c>
      <c r="D488" t="s">
        <v>3241</v>
      </c>
      <c r="E488">
        <v>30865</v>
      </c>
      <c r="F488" t="s">
        <v>589</v>
      </c>
      <c r="G488">
        <v>308</v>
      </c>
      <c r="H488" t="s">
        <v>57</v>
      </c>
      <c r="I488">
        <v>3</v>
      </c>
      <c r="J488" t="s">
        <v>50</v>
      </c>
    </row>
    <row r="489" spans="1:10" x14ac:dyDescent="0.25">
      <c r="A489" t="s">
        <v>7355</v>
      </c>
      <c r="B489">
        <f>129240.377856647*(1/100/100)</f>
        <v>12.9240377856647</v>
      </c>
      <c r="C489">
        <v>6302</v>
      </c>
      <c r="D489" t="s">
        <v>3212</v>
      </c>
      <c r="E489">
        <v>30835</v>
      </c>
      <c r="F489" t="s">
        <v>570</v>
      </c>
      <c r="G489">
        <v>308</v>
      </c>
      <c r="H489" t="s">
        <v>57</v>
      </c>
      <c r="I489">
        <v>3</v>
      </c>
      <c r="J489" t="s">
        <v>50</v>
      </c>
    </row>
    <row r="490" spans="1:10" x14ac:dyDescent="0.25">
      <c r="A490" t="s">
        <v>7355</v>
      </c>
      <c r="B490">
        <f>132772.253824712*(1/100/100)</f>
        <v>13.277225382471201</v>
      </c>
      <c r="C490">
        <v>6303</v>
      </c>
      <c r="D490" t="s">
        <v>557</v>
      </c>
      <c r="E490">
        <v>30814</v>
      </c>
      <c r="F490" t="s">
        <v>557</v>
      </c>
      <c r="G490">
        <v>308</v>
      </c>
      <c r="H490" t="s">
        <v>57</v>
      </c>
      <c r="I490">
        <v>3</v>
      </c>
      <c r="J490" t="s">
        <v>50</v>
      </c>
    </row>
    <row r="491" spans="1:10" x14ac:dyDescent="0.25">
      <c r="A491" t="s">
        <v>7355</v>
      </c>
      <c r="B491">
        <f>50720.0711357645*(1/100/100)</f>
        <v>5.0720071135764497</v>
      </c>
      <c r="C491">
        <v>6304</v>
      </c>
      <c r="D491" t="s">
        <v>3190</v>
      </c>
      <c r="E491">
        <v>30814</v>
      </c>
      <c r="F491" t="s">
        <v>557</v>
      </c>
      <c r="G491">
        <v>308</v>
      </c>
      <c r="H491" t="s">
        <v>57</v>
      </c>
      <c r="I491">
        <v>3</v>
      </c>
      <c r="J491" t="s">
        <v>50</v>
      </c>
    </row>
    <row r="492" spans="1:10" x14ac:dyDescent="0.25">
      <c r="A492" t="s">
        <v>7355</v>
      </c>
      <c r="B492">
        <f>363849.376455141*(1/100/100)</f>
        <v>36.3849376455141</v>
      </c>
      <c r="C492">
        <v>6305</v>
      </c>
      <c r="D492" t="s">
        <v>567</v>
      </c>
      <c r="E492">
        <v>30830</v>
      </c>
      <c r="F492" t="s">
        <v>567</v>
      </c>
      <c r="G492">
        <v>308</v>
      </c>
      <c r="H492" t="s">
        <v>57</v>
      </c>
      <c r="I492">
        <v>3</v>
      </c>
      <c r="J492" t="s">
        <v>50</v>
      </c>
    </row>
    <row r="493" spans="1:10" x14ac:dyDescent="0.25">
      <c r="A493" t="s">
        <v>7355</v>
      </c>
      <c r="B493">
        <f>74156.639134731*(1/100/100)</f>
        <v>7.4156639134731002</v>
      </c>
      <c r="C493">
        <v>6306</v>
      </c>
      <c r="D493" t="s">
        <v>3191</v>
      </c>
      <c r="E493">
        <v>30814</v>
      </c>
      <c r="F493" t="s">
        <v>557</v>
      </c>
      <c r="G493">
        <v>308</v>
      </c>
      <c r="H493" t="s">
        <v>57</v>
      </c>
      <c r="I493">
        <v>3</v>
      </c>
      <c r="J493" t="s">
        <v>50</v>
      </c>
    </row>
    <row r="494" spans="1:10" x14ac:dyDescent="0.25">
      <c r="A494" t="s">
        <v>7355</v>
      </c>
      <c r="B494">
        <f>241318.470073512*(1/100/100)</f>
        <v>24.131847007351201</v>
      </c>
      <c r="C494">
        <v>6307</v>
      </c>
      <c r="D494" t="s">
        <v>570</v>
      </c>
      <c r="E494">
        <v>30835</v>
      </c>
      <c r="F494" t="s">
        <v>570</v>
      </c>
      <c r="G494">
        <v>308</v>
      </c>
      <c r="H494" t="s">
        <v>57</v>
      </c>
      <c r="I494">
        <v>3</v>
      </c>
      <c r="J494" t="s">
        <v>50</v>
      </c>
    </row>
    <row r="495" spans="1:10" x14ac:dyDescent="0.25">
      <c r="A495" t="s">
        <v>7355</v>
      </c>
      <c r="B495">
        <f>71937.5606495047*(1/100/100)</f>
        <v>7.1937560649504704</v>
      </c>
      <c r="C495">
        <v>6308</v>
      </c>
      <c r="D495" t="s">
        <v>3192</v>
      </c>
      <c r="E495">
        <v>30814</v>
      </c>
      <c r="F495" t="s">
        <v>557</v>
      </c>
      <c r="G495">
        <v>308</v>
      </c>
      <c r="H495" t="s">
        <v>57</v>
      </c>
      <c r="I495">
        <v>3</v>
      </c>
      <c r="J495" t="s">
        <v>50</v>
      </c>
    </row>
    <row r="496" spans="1:10" x14ac:dyDescent="0.25">
      <c r="A496" t="s">
        <v>7355</v>
      </c>
      <c r="B496">
        <f>4786.28093800029*(1/100/100)</f>
        <v>0.47862809380002902</v>
      </c>
      <c r="C496">
        <v>6309</v>
      </c>
      <c r="D496" t="s">
        <v>3228</v>
      </c>
      <c r="E496">
        <v>30858</v>
      </c>
      <c r="F496" t="s">
        <v>585</v>
      </c>
      <c r="G496">
        <v>308</v>
      </c>
      <c r="H496" t="s">
        <v>57</v>
      </c>
      <c r="I496">
        <v>3</v>
      </c>
      <c r="J496" t="s">
        <v>50</v>
      </c>
    </row>
    <row r="497" spans="1:10" x14ac:dyDescent="0.25">
      <c r="A497" t="s">
        <v>7355</v>
      </c>
      <c r="B497">
        <f>88779.0097237505*(1/100/100)</f>
        <v>8.8779009723750502</v>
      </c>
      <c r="C497">
        <v>6310</v>
      </c>
      <c r="D497" t="s">
        <v>3242</v>
      </c>
      <c r="E497">
        <v>30865</v>
      </c>
      <c r="F497" t="s">
        <v>589</v>
      </c>
      <c r="G497">
        <v>308</v>
      </c>
      <c r="H497" t="s">
        <v>57</v>
      </c>
      <c r="I497">
        <v>3</v>
      </c>
      <c r="J497" t="s">
        <v>50</v>
      </c>
    </row>
    <row r="498" spans="1:10" x14ac:dyDescent="0.25">
      <c r="A498" t="s">
        <v>7355</v>
      </c>
      <c r="B498">
        <f>80598.2170057793*(1/100/100)</f>
        <v>8.0598217005779293</v>
      </c>
      <c r="C498">
        <v>6311</v>
      </c>
      <c r="D498" t="s">
        <v>3209</v>
      </c>
      <c r="E498">
        <v>30830</v>
      </c>
      <c r="F498" t="s">
        <v>567</v>
      </c>
      <c r="G498">
        <v>308</v>
      </c>
      <c r="H498" t="s">
        <v>57</v>
      </c>
      <c r="I498">
        <v>3</v>
      </c>
      <c r="J498" t="s">
        <v>50</v>
      </c>
    </row>
    <row r="499" spans="1:10" x14ac:dyDescent="0.25">
      <c r="A499" t="s">
        <v>7355</v>
      </c>
      <c r="B499">
        <f>33550.3180955693*(1/100/100)</f>
        <v>3.3550318095569303</v>
      </c>
      <c r="C499">
        <v>6312</v>
      </c>
      <c r="D499" t="s">
        <v>3193</v>
      </c>
      <c r="E499">
        <v>30814</v>
      </c>
      <c r="F499" t="s">
        <v>557</v>
      </c>
      <c r="G499">
        <v>308</v>
      </c>
      <c r="H499" t="s">
        <v>57</v>
      </c>
      <c r="I499">
        <v>3</v>
      </c>
      <c r="J499" t="s">
        <v>50</v>
      </c>
    </row>
    <row r="500" spans="1:10" x14ac:dyDescent="0.25">
      <c r="A500" t="s">
        <v>7355</v>
      </c>
      <c r="B500">
        <f>194882.054249441*(1/100/100)</f>
        <v>19.488205424944098</v>
      </c>
      <c r="C500">
        <v>6313</v>
      </c>
      <c r="D500" t="s">
        <v>585</v>
      </c>
      <c r="E500">
        <v>30858</v>
      </c>
      <c r="F500" t="s">
        <v>585</v>
      </c>
      <c r="G500">
        <v>308</v>
      </c>
      <c r="H500" t="s">
        <v>57</v>
      </c>
      <c r="I500">
        <v>3</v>
      </c>
      <c r="J500" t="s">
        <v>50</v>
      </c>
    </row>
    <row r="501" spans="1:10" x14ac:dyDescent="0.25">
      <c r="A501" t="s">
        <v>7355</v>
      </c>
      <c r="B501">
        <f>72509.2453984734*(1/100/100)</f>
        <v>7.2509245398473405</v>
      </c>
      <c r="C501">
        <v>6315</v>
      </c>
      <c r="D501" t="s">
        <v>2955</v>
      </c>
      <c r="E501">
        <v>30865</v>
      </c>
      <c r="F501" t="s">
        <v>589</v>
      </c>
      <c r="G501">
        <v>308</v>
      </c>
      <c r="H501" t="s">
        <v>57</v>
      </c>
      <c r="I501">
        <v>3</v>
      </c>
      <c r="J501" t="s">
        <v>50</v>
      </c>
    </row>
    <row r="502" spans="1:10" x14ac:dyDescent="0.25">
      <c r="A502" t="s">
        <v>7355</v>
      </c>
      <c r="B502">
        <f>41842.9591441655*(1/100/100)</f>
        <v>4.1842959144165501</v>
      </c>
      <c r="C502">
        <v>7001</v>
      </c>
      <c r="D502" t="s">
        <v>3332</v>
      </c>
      <c r="E502">
        <v>30940</v>
      </c>
      <c r="F502" t="s">
        <v>607</v>
      </c>
      <c r="G502">
        <v>309</v>
      </c>
      <c r="H502" t="s">
        <v>58</v>
      </c>
      <c r="I502">
        <v>3</v>
      </c>
      <c r="J502" t="s">
        <v>50</v>
      </c>
    </row>
    <row r="503" spans="1:10" x14ac:dyDescent="0.25">
      <c r="A503" t="s">
        <v>7355</v>
      </c>
      <c r="B503">
        <f>76189.196478628*(1/100/100)</f>
        <v>7.6189196478628007</v>
      </c>
      <c r="C503">
        <v>7002</v>
      </c>
      <c r="D503" t="s">
        <v>3253</v>
      </c>
      <c r="E503">
        <v>30908</v>
      </c>
      <c r="F503" t="s">
        <v>58</v>
      </c>
      <c r="G503">
        <v>309</v>
      </c>
      <c r="H503" t="s">
        <v>58</v>
      </c>
      <c r="I503">
        <v>3</v>
      </c>
      <c r="J503" t="s">
        <v>50</v>
      </c>
    </row>
    <row r="504" spans="1:10" x14ac:dyDescent="0.25">
      <c r="A504" t="s">
        <v>7355</v>
      </c>
      <c r="B504">
        <f>38546.0673717608*(1/100/100)</f>
        <v>3.8546067371760802</v>
      </c>
      <c r="C504">
        <v>7003</v>
      </c>
      <c r="D504" t="s">
        <v>3212</v>
      </c>
      <c r="E504">
        <v>30908</v>
      </c>
      <c r="F504" t="s">
        <v>58</v>
      </c>
      <c r="G504">
        <v>309</v>
      </c>
      <c r="H504" t="s">
        <v>58</v>
      </c>
      <c r="I504">
        <v>3</v>
      </c>
      <c r="J504" t="s">
        <v>50</v>
      </c>
    </row>
    <row r="505" spans="1:10" x14ac:dyDescent="0.25">
      <c r="A505" t="s">
        <v>7355</v>
      </c>
      <c r="B505">
        <f>107965.391403789*(1/100/100)</f>
        <v>10.796539140378901</v>
      </c>
      <c r="C505">
        <v>7004</v>
      </c>
      <c r="D505" t="s">
        <v>916</v>
      </c>
      <c r="E505">
        <v>30909</v>
      </c>
      <c r="F505" t="s">
        <v>594</v>
      </c>
      <c r="G505">
        <v>309</v>
      </c>
      <c r="H505" t="s">
        <v>58</v>
      </c>
      <c r="I505">
        <v>3</v>
      </c>
      <c r="J505" t="s">
        <v>50</v>
      </c>
    </row>
    <row r="506" spans="1:10" x14ac:dyDescent="0.25">
      <c r="A506" t="s">
        <v>7355</v>
      </c>
      <c r="B506">
        <f>35045.5526623657*(1/100/100)</f>
        <v>3.50455526623657</v>
      </c>
      <c r="C506">
        <v>7005</v>
      </c>
      <c r="D506" t="s">
        <v>3256</v>
      </c>
      <c r="E506">
        <v>30909</v>
      </c>
      <c r="F506" t="s">
        <v>594</v>
      </c>
      <c r="G506">
        <v>309</v>
      </c>
      <c r="H506" t="s">
        <v>58</v>
      </c>
      <c r="I506">
        <v>3</v>
      </c>
      <c r="J506" t="s">
        <v>50</v>
      </c>
    </row>
    <row r="507" spans="1:10" x14ac:dyDescent="0.25">
      <c r="A507" t="s">
        <v>7355</v>
      </c>
      <c r="B507">
        <f>52502.5470362503*(1/100/100)</f>
        <v>5.2502547036250302</v>
      </c>
      <c r="C507">
        <v>7006</v>
      </c>
      <c r="D507" t="s">
        <v>3254</v>
      </c>
      <c r="E507">
        <v>30908</v>
      </c>
      <c r="F507" t="s">
        <v>58</v>
      </c>
      <c r="G507">
        <v>309</v>
      </c>
      <c r="H507" t="s">
        <v>58</v>
      </c>
      <c r="I507">
        <v>3</v>
      </c>
      <c r="J507" t="s">
        <v>50</v>
      </c>
    </row>
    <row r="508" spans="1:10" x14ac:dyDescent="0.25">
      <c r="A508" t="s">
        <v>7355</v>
      </c>
      <c r="B508">
        <f>478303.79663659*(1/100/100)</f>
        <v>47.830379663659002</v>
      </c>
      <c r="C508">
        <v>7007</v>
      </c>
      <c r="D508" t="s">
        <v>58</v>
      </c>
      <c r="E508">
        <v>30908</v>
      </c>
      <c r="F508" t="s">
        <v>58</v>
      </c>
      <c r="G508">
        <v>309</v>
      </c>
      <c r="H508" t="s">
        <v>58</v>
      </c>
      <c r="I508">
        <v>3</v>
      </c>
      <c r="J508" t="s">
        <v>50</v>
      </c>
    </row>
    <row r="509" spans="1:10" x14ac:dyDescent="0.25">
      <c r="A509" t="s">
        <v>7355</v>
      </c>
      <c r="B509">
        <f>21786.8657680707*(1/100/100)</f>
        <v>2.17868657680707</v>
      </c>
      <c r="C509">
        <v>7009</v>
      </c>
      <c r="D509" t="s">
        <v>3255</v>
      </c>
      <c r="E509">
        <v>30908</v>
      </c>
      <c r="F509" t="s">
        <v>58</v>
      </c>
      <c r="G509">
        <v>309</v>
      </c>
      <c r="H509" t="s">
        <v>58</v>
      </c>
      <c r="I509">
        <v>3</v>
      </c>
      <c r="J509" t="s">
        <v>50</v>
      </c>
    </row>
    <row r="510" spans="1:10" x14ac:dyDescent="0.25">
      <c r="A510" t="s">
        <v>7355</v>
      </c>
      <c r="B510">
        <f>29504.1936361122*(1/100/100)</f>
        <v>2.9504193636112199</v>
      </c>
      <c r="C510">
        <v>7010</v>
      </c>
      <c r="D510" t="s">
        <v>3333</v>
      </c>
      <c r="E510">
        <v>30940</v>
      </c>
      <c r="F510" t="s">
        <v>607</v>
      </c>
      <c r="G510">
        <v>309</v>
      </c>
      <c r="H510" t="s">
        <v>58</v>
      </c>
      <c r="I510">
        <v>3</v>
      </c>
      <c r="J510" t="s">
        <v>50</v>
      </c>
    </row>
    <row r="511" spans="1:10" x14ac:dyDescent="0.25">
      <c r="A511" t="s">
        <v>7355</v>
      </c>
      <c r="B511">
        <f>132967.020907987*(1/100/100)</f>
        <v>13.2967020907987</v>
      </c>
      <c r="C511">
        <v>7011</v>
      </c>
      <c r="D511" t="s">
        <v>601</v>
      </c>
      <c r="E511">
        <v>30920</v>
      </c>
      <c r="F511" t="s">
        <v>601</v>
      </c>
      <c r="G511">
        <v>309</v>
      </c>
      <c r="H511" t="s">
        <v>58</v>
      </c>
      <c r="I511">
        <v>3</v>
      </c>
      <c r="J511" t="s">
        <v>50</v>
      </c>
    </row>
    <row r="512" spans="1:10" x14ac:dyDescent="0.25">
      <c r="A512" t="s">
        <v>7355</v>
      </c>
      <c r="B512">
        <f>43355.4419424851*(1/100/100)</f>
        <v>4.3355441942485102</v>
      </c>
      <c r="C512">
        <v>7012</v>
      </c>
      <c r="D512" t="s">
        <v>3334</v>
      </c>
      <c r="E512">
        <v>30940</v>
      </c>
      <c r="F512" t="s">
        <v>607</v>
      </c>
      <c r="G512">
        <v>309</v>
      </c>
      <c r="H512" t="s">
        <v>58</v>
      </c>
      <c r="I512">
        <v>3</v>
      </c>
      <c r="J512" t="s">
        <v>50</v>
      </c>
    </row>
    <row r="513" spans="1:10" x14ac:dyDescent="0.25">
      <c r="A513" t="s">
        <v>7355</v>
      </c>
      <c r="B513">
        <f>54923.6249985438*(1/100/100)</f>
        <v>5.4923624998543801</v>
      </c>
      <c r="C513">
        <v>7013</v>
      </c>
      <c r="D513" t="s">
        <v>3298</v>
      </c>
      <c r="E513">
        <v>30920</v>
      </c>
      <c r="F513" t="s">
        <v>601</v>
      </c>
      <c r="G513">
        <v>309</v>
      </c>
      <c r="H513" t="s">
        <v>58</v>
      </c>
      <c r="I513">
        <v>3</v>
      </c>
      <c r="J513" t="s">
        <v>50</v>
      </c>
    </row>
    <row r="514" spans="1:10" x14ac:dyDescent="0.25">
      <c r="A514" t="s">
        <v>7355</v>
      </c>
      <c r="B514">
        <f>20624.5053672225*(1/100/100)</f>
        <v>2.0624505367222503</v>
      </c>
      <c r="C514">
        <v>7014</v>
      </c>
      <c r="D514" t="s">
        <v>3335</v>
      </c>
      <c r="E514">
        <v>30940</v>
      </c>
      <c r="F514" t="s">
        <v>607</v>
      </c>
      <c r="G514">
        <v>309</v>
      </c>
      <c r="H514" t="s">
        <v>58</v>
      </c>
      <c r="I514">
        <v>3</v>
      </c>
      <c r="J514" t="s">
        <v>50</v>
      </c>
    </row>
    <row r="515" spans="1:10" x14ac:dyDescent="0.25">
      <c r="A515" t="s">
        <v>7355</v>
      </c>
      <c r="B515">
        <f>58500.1257231816*(1/100/100)</f>
        <v>5.8500125723181604</v>
      </c>
      <c r="C515">
        <v>7015</v>
      </c>
      <c r="D515" t="s">
        <v>607</v>
      </c>
      <c r="E515">
        <v>30940</v>
      </c>
      <c r="F515" t="s">
        <v>607</v>
      </c>
      <c r="G515">
        <v>309</v>
      </c>
      <c r="H515" t="s">
        <v>58</v>
      </c>
      <c r="I515">
        <v>3</v>
      </c>
      <c r="J515" t="s">
        <v>50</v>
      </c>
    </row>
    <row r="516" spans="1:10" x14ac:dyDescent="0.25">
      <c r="A516" t="s">
        <v>7355</v>
      </c>
      <c r="B516">
        <f>56980.6036652863*(1/100/100)</f>
        <v>5.6980603665286296</v>
      </c>
      <c r="C516">
        <v>7016</v>
      </c>
      <c r="D516" t="s">
        <v>3257</v>
      </c>
      <c r="E516">
        <v>30909</v>
      </c>
      <c r="F516" t="s">
        <v>594</v>
      </c>
      <c r="G516">
        <v>309</v>
      </c>
      <c r="H516" t="s">
        <v>58</v>
      </c>
      <c r="I516">
        <v>3</v>
      </c>
      <c r="J516" t="s">
        <v>50</v>
      </c>
    </row>
    <row r="517" spans="1:10" x14ac:dyDescent="0.25">
      <c r="A517" t="s">
        <v>7355</v>
      </c>
      <c r="B517">
        <f>62458.0632549433*(1/100/100)</f>
        <v>6.2458063254943301</v>
      </c>
      <c r="C517">
        <v>7017</v>
      </c>
      <c r="D517" t="s">
        <v>3258</v>
      </c>
      <c r="E517">
        <v>30909</v>
      </c>
      <c r="F517" t="s">
        <v>594</v>
      </c>
      <c r="G517">
        <v>309</v>
      </c>
      <c r="H517" t="s">
        <v>58</v>
      </c>
      <c r="I517">
        <v>3</v>
      </c>
      <c r="J517" t="s">
        <v>50</v>
      </c>
    </row>
    <row r="518" spans="1:10" x14ac:dyDescent="0.25">
      <c r="A518" t="s">
        <v>7355</v>
      </c>
      <c r="B518">
        <f>49604.6880455429*(1/100/100)</f>
        <v>4.9604688045542904</v>
      </c>
      <c r="C518">
        <v>7018</v>
      </c>
      <c r="D518" t="s">
        <v>3259</v>
      </c>
      <c r="E518">
        <v>30909</v>
      </c>
      <c r="F518" t="s">
        <v>594</v>
      </c>
      <c r="G518">
        <v>309</v>
      </c>
      <c r="H518" t="s">
        <v>58</v>
      </c>
      <c r="I518">
        <v>3</v>
      </c>
      <c r="J518" t="s">
        <v>50</v>
      </c>
    </row>
    <row r="519" spans="1:10" x14ac:dyDescent="0.25">
      <c r="A519" t="s">
        <v>7355</v>
      </c>
      <c r="B519">
        <f>27442.1340266944*(1/100/100)</f>
        <v>2.7442134026694398</v>
      </c>
      <c r="C519">
        <v>7019</v>
      </c>
      <c r="D519" t="s">
        <v>1042</v>
      </c>
      <c r="E519">
        <v>30940</v>
      </c>
      <c r="F519" t="s">
        <v>607</v>
      </c>
      <c r="G519">
        <v>309</v>
      </c>
      <c r="H519" t="s">
        <v>58</v>
      </c>
      <c r="I519">
        <v>3</v>
      </c>
      <c r="J519" t="s">
        <v>50</v>
      </c>
    </row>
    <row r="520" spans="1:10" x14ac:dyDescent="0.25">
      <c r="A520" t="s">
        <v>7355</v>
      </c>
      <c r="B520">
        <f>13061.0333031337*(1/100/100)</f>
        <v>1.30610333031337</v>
      </c>
      <c r="C520">
        <v>7020</v>
      </c>
      <c r="D520" t="s">
        <v>3336</v>
      </c>
      <c r="E520">
        <v>30940</v>
      </c>
      <c r="F520" t="s">
        <v>607</v>
      </c>
      <c r="G520">
        <v>309</v>
      </c>
      <c r="H520" t="s">
        <v>58</v>
      </c>
      <c r="I520">
        <v>3</v>
      </c>
      <c r="J520" t="s">
        <v>50</v>
      </c>
    </row>
    <row r="521" spans="1:10" x14ac:dyDescent="0.25">
      <c r="A521" t="s">
        <v>7355</v>
      </c>
      <c r="B521">
        <f>30863.1634102115*(1/100/100)</f>
        <v>3.08631634102115</v>
      </c>
      <c r="C521">
        <v>7021</v>
      </c>
      <c r="D521" t="s">
        <v>3260</v>
      </c>
      <c r="E521">
        <v>30909</v>
      </c>
      <c r="F521" t="s">
        <v>594</v>
      </c>
      <c r="G521">
        <v>309</v>
      </c>
      <c r="H521" t="s">
        <v>58</v>
      </c>
      <c r="I521">
        <v>3</v>
      </c>
      <c r="J521" t="s">
        <v>50</v>
      </c>
    </row>
    <row r="522" spans="1:10" x14ac:dyDescent="0.25">
      <c r="A522" t="s">
        <v>7355</v>
      </c>
      <c r="B522">
        <f>20462.5380334706*(1/100/100)</f>
        <v>2.0462538033470601</v>
      </c>
      <c r="C522">
        <v>7022</v>
      </c>
      <c r="D522" t="s">
        <v>3261</v>
      </c>
      <c r="E522">
        <v>30909</v>
      </c>
      <c r="F522" t="s">
        <v>594</v>
      </c>
      <c r="G522">
        <v>309</v>
      </c>
      <c r="H522" t="s">
        <v>58</v>
      </c>
      <c r="I522">
        <v>3</v>
      </c>
      <c r="J522" t="s">
        <v>50</v>
      </c>
    </row>
    <row r="523" spans="1:10" x14ac:dyDescent="0.25">
      <c r="A523" t="s">
        <v>7355</v>
      </c>
      <c r="B523">
        <f>38405.4465791947*(1/100/100)</f>
        <v>3.8405446579194704</v>
      </c>
      <c r="C523">
        <v>7023</v>
      </c>
      <c r="D523" t="s">
        <v>3262</v>
      </c>
      <c r="E523">
        <v>30909</v>
      </c>
      <c r="F523" t="s">
        <v>594</v>
      </c>
      <c r="G523">
        <v>309</v>
      </c>
      <c r="H523" t="s">
        <v>58</v>
      </c>
      <c r="I523">
        <v>3</v>
      </c>
      <c r="J523" t="s">
        <v>50</v>
      </c>
    </row>
    <row r="524" spans="1:10" x14ac:dyDescent="0.25">
      <c r="A524" t="s">
        <v>7355</v>
      </c>
      <c r="B524">
        <f>46019.3253875045*(1/100/100)</f>
        <v>4.6019325387504502</v>
      </c>
      <c r="C524">
        <v>7101</v>
      </c>
      <c r="D524" t="s">
        <v>3287</v>
      </c>
      <c r="E524">
        <v>30916</v>
      </c>
      <c r="F524" t="s">
        <v>599</v>
      </c>
      <c r="G524">
        <v>309</v>
      </c>
      <c r="H524" t="s">
        <v>58</v>
      </c>
      <c r="I524">
        <v>3</v>
      </c>
      <c r="J524" t="s">
        <v>50</v>
      </c>
    </row>
    <row r="525" spans="1:10" x14ac:dyDescent="0.25">
      <c r="A525" t="s">
        <v>7355</v>
      </c>
      <c r="B525">
        <f>35768.4172815416*(1/100/100)</f>
        <v>3.5768417281541605</v>
      </c>
      <c r="C525">
        <v>7102</v>
      </c>
      <c r="D525" t="s">
        <v>3288</v>
      </c>
      <c r="E525">
        <v>30916</v>
      </c>
      <c r="F525" t="s">
        <v>599</v>
      </c>
      <c r="G525">
        <v>309</v>
      </c>
      <c r="H525" t="s">
        <v>58</v>
      </c>
      <c r="I525">
        <v>3</v>
      </c>
      <c r="J525" t="s">
        <v>50</v>
      </c>
    </row>
    <row r="526" spans="1:10" x14ac:dyDescent="0.25">
      <c r="A526" t="s">
        <v>7355</v>
      </c>
      <c r="B526">
        <f>38560.0472804375*(1/100/100)</f>
        <v>3.8560047280437506</v>
      </c>
      <c r="C526">
        <v>7103</v>
      </c>
      <c r="D526" t="s">
        <v>3289</v>
      </c>
      <c r="E526">
        <v>30916</v>
      </c>
      <c r="F526" t="s">
        <v>599</v>
      </c>
      <c r="G526">
        <v>309</v>
      </c>
      <c r="H526" t="s">
        <v>58</v>
      </c>
      <c r="I526">
        <v>3</v>
      </c>
      <c r="J526" t="s">
        <v>50</v>
      </c>
    </row>
    <row r="527" spans="1:10" x14ac:dyDescent="0.25">
      <c r="A527" t="s">
        <v>7355</v>
      </c>
      <c r="B527">
        <f>84988.0448344827*(1/100/100)</f>
        <v>8.4988044834482714</v>
      </c>
      <c r="C527">
        <v>7104</v>
      </c>
      <c r="D527" t="s">
        <v>592</v>
      </c>
      <c r="E527">
        <v>30904</v>
      </c>
      <c r="F527" t="s">
        <v>592</v>
      </c>
      <c r="G527">
        <v>309</v>
      </c>
      <c r="H527" t="s">
        <v>58</v>
      </c>
      <c r="I527">
        <v>3</v>
      </c>
      <c r="J527" t="s">
        <v>50</v>
      </c>
    </row>
    <row r="528" spans="1:10" x14ac:dyDescent="0.25">
      <c r="A528" t="s">
        <v>7355</v>
      </c>
      <c r="B528">
        <f>64814.6683680423*(1/100/100)</f>
        <v>6.4814668368042305</v>
      </c>
      <c r="C528">
        <v>7105</v>
      </c>
      <c r="D528" t="s">
        <v>593</v>
      </c>
      <c r="E528">
        <v>30906</v>
      </c>
      <c r="F528" t="s">
        <v>593</v>
      </c>
      <c r="G528">
        <v>309</v>
      </c>
      <c r="H528" t="s">
        <v>58</v>
      </c>
      <c r="I528">
        <v>3</v>
      </c>
      <c r="J528" t="s">
        <v>50</v>
      </c>
    </row>
    <row r="529" spans="1:10" x14ac:dyDescent="0.25">
      <c r="A529" t="s">
        <v>7355</v>
      </c>
      <c r="B529">
        <f>40849.0974026129*(1/100/100)</f>
        <v>4.0849097402612902</v>
      </c>
      <c r="C529">
        <v>7107</v>
      </c>
      <c r="D529" t="s">
        <v>3304</v>
      </c>
      <c r="E529">
        <v>30925</v>
      </c>
      <c r="F529" t="s">
        <v>603</v>
      </c>
      <c r="G529">
        <v>309</v>
      </c>
      <c r="H529" t="s">
        <v>58</v>
      </c>
      <c r="I529">
        <v>3</v>
      </c>
      <c r="J529" t="s">
        <v>50</v>
      </c>
    </row>
    <row r="530" spans="1:10" x14ac:dyDescent="0.25">
      <c r="A530" t="s">
        <v>7355</v>
      </c>
      <c r="B530">
        <f>15212.1159105799*(1/100/100)</f>
        <v>1.52121159105799</v>
      </c>
      <c r="C530">
        <v>7108</v>
      </c>
      <c r="D530" t="s">
        <v>3312</v>
      </c>
      <c r="E530">
        <v>30929</v>
      </c>
      <c r="F530" t="s">
        <v>604</v>
      </c>
      <c r="G530">
        <v>309</v>
      </c>
      <c r="H530" t="s">
        <v>58</v>
      </c>
      <c r="I530">
        <v>3</v>
      </c>
      <c r="J530" t="s">
        <v>50</v>
      </c>
    </row>
    <row r="531" spans="1:10" x14ac:dyDescent="0.25">
      <c r="A531" t="s">
        <v>7355</v>
      </c>
      <c r="B531">
        <f>20739.7031666555*(1/100/100)</f>
        <v>2.0739703166655503</v>
      </c>
      <c r="C531">
        <v>7109</v>
      </c>
      <c r="D531" t="s">
        <v>3284</v>
      </c>
      <c r="E531">
        <v>30915</v>
      </c>
      <c r="F531" t="s">
        <v>598</v>
      </c>
      <c r="G531">
        <v>309</v>
      </c>
      <c r="H531" t="s">
        <v>58</v>
      </c>
      <c r="I531">
        <v>3</v>
      </c>
      <c r="J531" t="s">
        <v>50</v>
      </c>
    </row>
    <row r="532" spans="1:10" x14ac:dyDescent="0.25">
      <c r="A532" t="s">
        <v>7355</v>
      </c>
      <c r="B532">
        <f>53028.541285257*(1/100/100)</f>
        <v>5.3028541285257003</v>
      </c>
      <c r="C532">
        <v>7110</v>
      </c>
      <c r="D532" t="s">
        <v>598</v>
      </c>
      <c r="E532">
        <v>30915</v>
      </c>
      <c r="F532" t="s">
        <v>598</v>
      </c>
      <c r="G532">
        <v>309</v>
      </c>
      <c r="H532" t="s">
        <v>58</v>
      </c>
      <c r="I532">
        <v>3</v>
      </c>
      <c r="J532" t="s">
        <v>50</v>
      </c>
    </row>
    <row r="533" spans="1:10" x14ac:dyDescent="0.25">
      <c r="A533" t="s">
        <v>7355</v>
      </c>
      <c r="B533">
        <f>317017.38117368*(1/100/100)</f>
        <v>31.701738117368002</v>
      </c>
      <c r="C533">
        <v>7111</v>
      </c>
      <c r="D533" t="s">
        <v>599</v>
      </c>
      <c r="E533">
        <v>30916</v>
      </c>
      <c r="F533" t="s">
        <v>599</v>
      </c>
      <c r="G533">
        <v>309</v>
      </c>
      <c r="H533" t="s">
        <v>58</v>
      </c>
      <c r="I533">
        <v>3</v>
      </c>
      <c r="J533" t="s">
        <v>50</v>
      </c>
    </row>
    <row r="534" spans="1:10" x14ac:dyDescent="0.25">
      <c r="A534" t="s">
        <v>7355</v>
      </c>
      <c r="B534">
        <f>34120.7878949634*(1/100/100)</f>
        <v>3.4120787894963405</v>
      </c>
      <c r="C534">
        <v>7112</v>
      </c>
      <c r="D534" t="s">
        <v>3313</v>
      </c>
      <c r="E534">
        <v>30929</v>
      </c>
      <c r="F534" t="s">
        <v>604</v>
      </c>
      <c r="G534">
        <v>309</v>
      </c>
      <c r="H534" t="s">
        <v>58</v>
      </c>
      <c r="I534">
        <v>3</v>
      </c>
      <c r="J534" t="s">
        <v>50</v>
      </c>
    </row>
    <row r="535" spans="1:10" x14ac:dyDescent="0.25">
      <c r="A535" t="s">
        <v>7355</v>
      </c>
      <c r="B535">
        <f>35833.8399438674*(1/100/100)</f>
        <v>3.5833839943867405</v>
      </c>
      <c r="C535">
        <v>7113</v>
      </c>
      <c r="D535" t="s">
        <v>3259</v>
      </c>
      <c r="E535">
        <v>30925</v>
      </c>
      <c r="F535" t="s">
        <v>603</v>
      </c>
      <c r="G535">
        <v>309</v>
      </c>
      <c r="H535" t="s">
        <v>58</v>
      </c>
      <c r="I535">
        <v>3</v>
      </c>
      <c r="J535" t="s">
        <v>50</v>
      </c>
    </row>
    <row r="536" spans="1:10" x14ac:dyDescent="0.25">
      <c r="A536" t="s">
        <v>7355</v>
      </c>
      <c r="B536">
        <f>20719.0909979809*(1/100/100)</f>
        <v>2.07190909979809</v>
      </c>
      <c r="C536">
        <v>7114</v>
      </c>
      <c r="D536" t="s">
        <v>3314</v>
      </c>
      <c r="E536">
        <v>30929</v>
      </c>
      <c r="F536" t="s">
        <v>604</v>
      </c>
      <c r="G536">
        <v>309</v>
      </c>
      <c r="H536" t="s">
        <v>58</v>
      </c>
      <c r="I536">
        <v>3</v>
      </c>
      <c r="J536" t="s">
        <v>50</v>
      </c>
    </row>
    <row r="537" spans="1:10" x14ac:dyDescent="0.25">
      <c r="A537" t="s">
        <v>7355</v>
      </c>
      <c r="B537">
        <f>53688.6013715519*(1/100/100)</f>
        <v>5.3688601371551901</v>
      </c>
      <c r="C537">
        <v>7115</v>
      </c>
      <c r="D537" t="s">
        <v>540</v>
      </c>
      <c r="E537">
        <v>30929</v>
      </c>
      <c r="F537" t="s">
        <v>604</v>
      </c>
      <c r="G537">
        <v>309</v>
      </c>
      <c r="H537" t="s">
        <v>58</v>
      </c>
      <c r="I537">
        <v>3</v>
      </c>
      <c r="J537" t="s">
        <v>50</v>
      </c>
    </row>
    <row r="538" spans="1:10" x14ac:dyDescent="0.25">
      <c r="A538" t="s">
        <v>7355</v>
      </c>
      <c r="B538">
        <f>192992.737501774*(1/100/100)</f>
        <v>19.299273750177402</v>
      </c>
      <c r="C538">
        <v>7117</v>
      </c>
      <c r="D538" t="s">
        <v>603</v>
      </c>
      <c r="E538">
        <v>30925</v>
      </c>
      <c r="F538" t="s">
        <v>603</v>
      </c>
      <c r="G538">
        <v>309</v>
      </c>
      <c r="H538" t="s">
        <v>58</v>
      </c>
      <c r="I538">
        <v>3</v>
      </c>
      <c r="J538" t="s">
        <v>50</v>
      </c>
    </row>
    <row r="539" spans="1:10" x14ac:dyDescent="0.25">
      <c r="A539" t="s">
        <v>7355</v>
      </c>
      <c r="B539">
        <f>38475.4523611442*(1/100/100)</f>
        <v>3.8475452361144198</v>
      </c>
      <c r="C539">
        <v>7118</v>
      </c>
      <c r="D539" t="s">
        <v>3305</v>
      </c>
      <c r="E539">
        <v>30925</v>
      </c>
      <c r="F539" t="s">
        <v>603</v>
      </c>
      <c r="G539">
        <v>309</v>
      </c>
      <c r="H539" t="s">
        <v>58</v>
      </c>
      <c r="I539">
        <v>3</v>
      </c>
      <c r="J539" t="s">
        <v>50</v>
      </c>
    </row>
    <row r="540" spans="1:10" x14ac:dyDescent="0.25">
      <c r="A540" t="s">
        <v>7355</v>
      </c>
      <c r="B540">
        <f>32519.6494701934*(1/100/100)</f>
        <v>3.2519649470193399</v>
      </c>
      <c r="C540">
        <v>7119</v>
      </c>
      <c r="D540" t="s">
        <v>3290</v>
      </c>
      <c r="E540">
        <v>30916</v>
      </c>
      <c r="F540" t="s">
        <v>599</v>
      </c>
      <c r="G540">
        <v>309</v>
      </c>
      <c r="H540" t="s">
        <v>58</v>
      </c>
      <c r="I540">
        <v>3</v>
      </c>
      <c r="J540" t="s">
        <v>50</v>
      </c>
    </row>
    <row r="541" spans="1:10" x14ac:dyDescent="0.25">
      <c r="A541" t="s">
        <v>7355</v>
      </c>
      <c r="B541">
        <f>82032.6745781861*(1/100/100)</f>
        <v>8.20326745781861</v>
      </c>
      <c r="C541">
        <v>7120</v>
      </c>
      <c r="D541" t="s">
        <v>3291</v>
      </c>
      <c r="E541">
        <v>30916</v>
      </c>
      <c r="F541" t="s">
        <v>599</v>
      </c>
      <c r="G541">
        <v>309</v>
      </c>
      <c r="H541" t="s">
        <v>58</v>
      </c>
      <c r="I541">
        <v>3</v>
      </c>
      <c r="J541" t="s">
        <v>50</v>
      </c>
    </row>
    <row r="542" spans="1:10" x14ac:dyDescent="0.25">
      <c r="A542" t="s">
        <v>7355</v>
      </c>
      <c r="B542">
        <f>51159.6701466469*(1/100/100)</f>
        <v>5.1159670146646903</v>
      </c>
      <c r="C542">
        <v>7121</v>
      </c>
      <c r="D542" t="s">
        <v>3250</v>
      </c>
      <c r="E542">
        <v>30906</v>
      </c>
      <c r="F542" t="s">
        <v>593</v>
      </c>
      <c r="G542">
        <v>309</v>
      </c>
      <c r="H542" t="s">
        <v>58</v>
      </c>
      <c r="I542">
        <v>3</v>
      </c>
      <c r="J542" t="s">
        <v>50</v>
      </c>
    </row>
    <row r="543" spans="1:10" x14ac:dyDescent="0.25">
      <c r="A543" t="s">
        <v>7355</v>
      </c>
      <c r="B543">
        <f>21817.1309504498*(1/100/100)</f>
        <v>2.1817130950449801</v>
      </c>
      <c r="C543">
        <v>7122</v>
      </c>
      <c r="D543" t="s">
        <v>3251</v>
      </c>
      <c r="E543">
        <v>30906</v>
      </c>
      <c r="F543" t="s">
        <v>593</v>
      </c>
      <c r="G543">
        <v>309</v>
      </c>
      <c r="H543" t="s">
        <v>58</v>
      </c>
      <c r="I543">
        <v>3</v>
      </c>
      <c r="J543" t="s">
        <v>50</v>
      </c>
    </row>
    <row r="544" spans="1:10" x14ac:dyDescent="0.25">
      <c r="A544" t="s">
        <v>7355</v>
      </c>
      <c r="B544">
        <f>11838.5705808704*(1/100/100)</f>
        <v>1.1838570580870402</v>
      </c>
      <c r="C544">
        <v>7123</v>
      </c>
      <c r="D544" t="s">
        <v>3306</v>
      </c>
      <c r="E544">
        <v>30925</v>
      </c>
      <c r="F544" t="s">
        <v>603</v>
      </c>
      <c r="G544">
        <v>309</v>
      </c>
      <c r="H544" t="s">
        <v>58</v>
      </c>
      <c r="I544">
        <v>3</v>
      </c>
      <c r="J544" t="s">
        <v>50</v>
      </c>
    </row>
    <row r="545" spans="1:10" x14ac:dyDescent="0.25">
      <c r="A545" t="s">
        <v>7355</v>
      </c>
      <c r="B545">
        <f>34644.91029813*(1/100/100)</f>
        <v>3.4644910298130003</v>
      </c>
      <c r="C545">
        <v>7124</v>
      </c>
      <c r="D545" t="s">
        <v>3248</v>
      </c>
      <c r="E545">
        <v>30904</v>
      </c>
      <c r="F545" t="s">
        <v>592</v>
      </c>
      <c r="G545">
        <v>309</v>
      </c>
      <c r="H545" t="s">
        <v>58</v>
      </c>
      <c r="I545">
        <v>3</v>
      </c>
      <c r="J545" t="s">
        <v>50</v>
      </c>
    </row>
    <row r="546" spans="1:10" x14ac:dyDescent="0.25">
      <c r="A546" t="s">
        <v>7355</v>
      </c>
      <c r="B546">
        <f>44166.2519243376*(1/100/100)</f>
        <v>4.4166251924337603</v>
      </c>
      <c r="C546">
        <v>7125</v>
      </c>
      <c r="D546" t="s">
        <v>3249</v>
      </c>
      <c r="E546">
        <v>30904</v>
      </c>
      <c r="F546" t="s">
        <v>592</v>
      </c>
      <c r="G546">
        <v>309</v>
      </c>
      <c r="H546" t="s">
        <v>58</v>
      </c>
      <c r="I546">
        <v>3</v>
      </c>
      <c r="J546" t="s">
        <v>50</v>
      </c>
    </row>
    <row r="547" spans="1:10" x14ac:dyDescent="0.25">
      <c r="A547" t="s">
        <v>7355</v>
      </c>
      <c r="B547">
        <f>44410.7653363775*(1/100/100)</f>
        <v>4.4410765336377507</v>
      </c>
      <c r="C547">
        <v>7126</v>
      </c>
      <c r="D547" t="s">
        <v>604</v>
      </c>
      <c r="E547">
        <v>30929</v>
      </c>
      <c r="F547" t="s">
        <v>604</v>
      </c>
      <c r="G547">
        <v>309</v>
      </c>
      <c r="H547" t="s">
        <v>58</v>
      </c>
      <c r="I547">
        <v>3</v>
      </c>
      <c r="J547" t="s">
        <v>50</v>
      </c>
    </row>
    <row r="548" spans="1:10" x14ac:dyDescent="0.25">
      <c r="A548" t="s">
        <v>7355</v>
      </c>
      <c r="B548">
        <f>34390.6947648249*(1/100/100)</f>
        <v>3.4390694764824898</v>
      </c>
      <c r="C548">
        <v>7127</v>
      </c>
      <c r="D548" t="s">
        <v>3307</v>
      </c>
      <c r="E548">
        <v>30925</v>
      </c>
      <c r="F548" t="s">
        <v>603</v>
      </c>
      <c r="G548">
        <v>309</v>
      </c>
      <c r="H548" t="s">
        <v>58</v>
      </c>
      <c r="I548">
        <v>3</v>
      </c>
      <c r="J548" t="s">
        <v>50</v>
      </c>
    </row>
    <row r="549" spans="1:10" x14ac:dyDescent="0.25">
      <c r="A549" t="s">
        <v>7355</v>
      </c>
      <c r="B549">
        <f>24814.7081439955*(1/100/100)</f>
        <v>2.4814708143995503</v>
      </c>
      <c r="C549">
        <v>7129</v>
      </c>
      <c r="D549" t="s">
        <v>3285</v>
      </c>
      <c r="E549">
        <v>30915</v>
      </c>
      <c r="F549" t="s">
        <v>598</v>
      </c>
      <c r="G549">
        <v>309</v>
      </c>
      <c r="H549" t="s">
        <v>58</v>
      </c>
      <c r="I549">
        <v>3</v>
      </c>
      <c r="J549" t="s">
        <v>50</v>
      </c>
    </row>
    <row r="550" spans="1:10" x14ac:dyDescent="0.25">
      <c r="A550" t="s">
        <v>7355</v>
      </c>
      <c r="B550">
        <f>24938.2327860563*(1/100/100)</f>
        <v>2.49382327860563</v>
      </c>
      <c r="C550">
        <v>7130</v>
      </c>
      <c r="D550" t="s">
        <v>3308</v>
      </c>
      <c r="E550">
        <v>30925</v>
      </c>
      <c r="F550" t="s">
        <v>603</v>
      </c>
      <c r="G550">
        <v>309</v>
      </c>
      <c r="H550" t="s">
        <v>58</v>
      </c>
      <c r="I550">
        <v>3</v>
      </c>
      <c r="J550" t="s">
        <v>50</v>
      </c>
    </row>
    <row r="551" spans="1:10" x14ac:dyDescent="0.25">
      <c r="A551" t="s">
        <v>7355</v>
      </c>
      <c r="B551">
        <f>35455.3894227629*(1/100/100)</f>
        <v>3.54553894227629</v>
      </c>
      <c r="C551">
        <v>7131</v>
      </c>
      <c r="D551" t="s">
        <v>3309</v>
      </c>
      <c r="E551">
        <v>30925</v>
      </c>
      <c r="F551" t="s">
        <v>603</v>
      </c>
      <c r="G551">
        <v>309</v>
      </c>
      <c r="H551" t="s">
        <v>58</v>
      </c>
      <c r="I551">
        <v>3</v>
      </c>
      <c r="J551" t="s">
        <v>50</v>
      </c>
    </row>
    <row r="552" spans="1:10" x14ac:dyDescent="0.25">
      <c r="A552" t="s">
        <v>7355</v>
      </c>
      <c r="B552">
        <f>26778.1037897968*(1/100/100)</f>
        <v>2.6778103789796801</v>
      </c>
      <c r="C552">
        <v>7132</v>
      </c>
      <c r="D552" t="s">
        <v>3310</v>
      </c>
      <c r="E552">
        <v>30925</v>
      </c>
      <c r="F552" t="s">
        <v>603</v>
      </c>
      <c r="G552">
        <v>309</v>
      </c>
      <c r="H552" t="s">
        <v>58</v>
      </c>
      <c r="I552">
        <v>3</v>
      </c>
      <c r="J552" t="s">
        <v>50</v>
      </c>
    </row>
    <row r="553" spans="1:10" x14ac:dyDescent="0.25">
      <c r="A553" t="s">
        <v>7355</v>
      </c>
      <c r="B553">
        <f>27887.3663319875*(1/100/100)</f>
        <v>2.7887366331987504</v>
      </c>
      <c r="C553">
        <v>7133</v>
      </c>
      <c r="D553" t="s">
        <v>3311</v>
      </c>
      <c r="E553">
        <v>30925</v>
      </c>
      <c r="F553" t="s">
        <v>603</v>
      </c>
      <c r="G553">
        <v>309</v>
      </c>
      <c r="H553" t="s">
        <v>58</v>
      </c>
      <c r="I553">
        <v>3</v>
      </c>
      <c r="J553" t="s">
        <v>50</v>
      </c>
    </row>
    <row r="554" spans="1:10" x14ac:dyDescent="0.25">
      <c r="A554" t="s">
        <v>7355</v>
      </c>
      <c r="B554">
        <f>32456.7727737877*(1/100/100)</f>
        <v>3.2456772773787699</v>
      </c>
      <c r="C554">
        <v>7134</v>
      </c>
      <c r="D554" t="s">
        <v>3276</v>
      </c>
      <c r="E554">
        <v>30916</v>
      </c>
      <c r="F554" t="s">
        <v>599</v>
      </c>
      <c r="G554">
        <v>309</v>
      </c>
      <c r="H554" t="s">
        <v>58</v>
      </c>
      <c r="I554">
        <v>3</v>
      </c>
      <c r="J554" t="s">
        <v>50</v>
      </c>
    </row>
    <row r="555" spans="1:10" x14ac:dyDescent="0.25">
      <c r="A555" t="s">
        <v>7355</v>
      </c>
      <c r="B555">
        <f>17186.4149950849*(1/100/100)</f>
        <v>1.71864149950849</v>
      </c>
      <c r="C555">
        <v>7135</v>
      </c>
      <c r="D555" t="s">
        <v>3286</v>
      </c>
      <c r="E555">
        <v>30915</v>
      </c>
      <c r="F555" t="s">
        <v>598</v>
      </c>
      <c r="G555">
        <v>309</v>
      </c>
      <c r="H555" t="s">
        <v>58</v>
      </c>
      <c r="I555">
        <v>3</v>
      </c>
      <c r="J555" t="s">
        <v>50</v>
      </c>
    </row>
    <row r="556" spans="1:10" x14ac:dyDescent="0.25">
      <c r="A556" t="s">
        <v>7355</v>
      </c>
      <c r="B556">
        <f>9992.13346475454*(1/100/100)</f>
        <v>0.99921334647545412</v>
      </c>
      <c r="C556">
        <v>7136</v>
      </c>
      <c r="D556" t="s">
        <v>3292</v>
      </c>
      <c r="E556">
        <v>30916</v>
      </c>
      <c r="F556" t="s">
        <v>599</v>
      </c>
      <c r="G556">
        <v>309</v>
      </c>
      <c r="H556" t="s">
        <v>58</v>
      </c>
      <c r="I556">
        <v>3</v>
      </c>
      <c r="J556" t="s">
        <v>50</v>
      </c>
    </row>
    <row r="557" spans="1:10" x14ac:dyDescent="0.25">
      <c r="A557" t="s">
        <v>7355</v>
      </c>
      <c r="B557">
        <f>23029.6397998314*(1/100/100)</f>
        <v>2.3029639799831401</v>
      </c>
      <c r="C557">
        <v>7137</v>
      </c>
      <c r="D557" t="s">
        <v>3252</v>
      </c>
      <c r="E557">
        <v>30906</v>
      </c>
      <c r="F557" t="s">
        <v>593</v>
      </c>
      <c r="G557">
        <v>309</v>
      </c>
      <c r="H557" t="s">
        <v>58</v>
      </c>
      <c r="I557">
        <v>3</v>
      </c>
      <c r="J557" t="s">
        <v>50</v>
      </c>
    </row>
    <row r="558" spans="1:10" x14ac:dyDescent="0.25">
      <c r="A558" t="s">
        <v>7355</v>
      </c>
      <c r="B558">
        <f>13211.6242741737*(1/100/100)</f>
        <v>1.3211624274173701</v>
      </c>
      <c r="C558">
        <v>7138</v>
      </c>
      <c r="D558" t="s">
        <v>3293</v>
      </c>
      <c r="E558">
        <v>30916</v>
      </c>
      <c r="F558" t="s">
        <v>599</v>
      </c>
      <c r="G558">
        <v>309</v>
      </c>
      <c r="H558" t="s">
        <v>58</v>
      </c>
      <c r="I558">
        <v>3</v>
      </c>
      <c r="J558" t="s">
        <v>50</v>
      </c>
    </row>
    <row r="559" spans="1:10" x14ac:dyDescent="0.25">
      <c r="A559" t="s">
        <v>7355</v>
      </c>
      <c r="B559">
        <f>23474.1685062948*(1/100/100)</f>
        <v>2.3474168506294801</v>
      </c>
      <c r="C559">
        <v>7139</v>
      </c>
      <c r="D559" t="s">
        <v>3294</v>
      </c>
      <c r="E559">
        <v>30916</v>
      </c>
      <c r="F559" t="s">
        <v>599</v>
      </c>
      <c r="G559">
        <v>309</v>
      </c>
      <c r="H559" t="s">
        <v>58</v>
      </c>
      <c r="I559">
        <v>3</v>
      </c>
      <c r="J559" t="s">
        <v>50</v>
      </c>
    </row>
    <row r="560" spans="1:10" x14ac:dyDescent="0.25">
      <c r="A560" t="s">
        <v>7355</v>
      </c>
      <c r="B560">
        <f>50919.8316204647*(1/100/100)</f>
        <v>5.0919831620464704</v>
      </c>
      <c r="C560">
        <v>7140</v>
      </c>
      <c r="D560" t="s">
        <v>3295</v>
      </c>
      <c r="E560">
        <v>30916</v>
      </c>
      <c r="F560" t="s">
        <v>599</v>
      </c>
      <c r="G560">
        <v>309</v>
      </c>
      <c r="H560" t="s">
        <v>58</v>
      </c>
      <c r="I560">
        <v>3</v>
      </c>
      <c r="J560" t="s">
        <v>50</v>
      </c>
    </row>
    <row r="561" spans="1:10" x14ac:dyDescent="0.25">
      <c r="A561" t="s">
        <v>7355</v>
      </c>
      <c r="B561">
        <f>29260.8967262632*(1/100/100)</f>
        <v>2.9260896726263201</v>
      </c>
      <c r="C561">
        <v>7141</v>
      </c>
      <c r="D561" t="s">
        <v>3296</v>
      </c>
      <c r="E561">
        <v>30916</v>
      </c>
      <c r="F561" t="s">
        <v>599</v>
      </c>
      <c r="G561">
        <v>309</v>
      </c>
      <c r="H561" t="s">
        <v>58</v>
      </c>
      <c r="I561">
        <v>3</v>
      </c>
      <c r="J561" t="s">
        <v>50</v>
      </c>
    </row>
    <row r="562" spans="1:10" x14ac:dyDescent="0.25">
      <c r="A562" t="s">
        <v>7355</v>
      </c>
      <c r="B562">
        <f>59181.6319010345*(1/100/100)</f>
        <v>5.918163190103451</v>
      </c>
      <c r="C562">
        <v>7201</v>
      </c>
      <c r="D562" t="s">
        <v>3243</v>
      </c>
      <c r="E562">
        <v>30902</v>
      </c>
      <c r="F562" t="s">
        <v>590</v>
      </c>
      <c r="G562">
        <v>309</v>
      </c>
      <c r="H562" t="s">
        <v>58</v>
      </c>
      <c r="I562">
        <v>3</v>
      </c>
      <c r="J562" t="s">
        <v>50</v>
      </c>
    </row>
    <row r="563" spans="1:10" x14ac:dyDescent="0.25">
      <c r="A563" t="s">
        <v>7355</v>
      </c>
      <c r="B563">
        <f>94742.3136031669*(1/100/100)</f>
        <v>9.4742313603166899</v>
      </c>
      <c r="C563">
        <v>7202</v>
      </c>
      <c r="D563" t="s">
        <v>3244</v>
      </c>
      <c r="E563">
        <v>30902</v>
      </c>
      <c r="F563" t="s">
        <v>590</v>
      </c>
      <c r="G563">
        <v>309</v>
      </c>
      <c r="H563" t="s">
        <v>58</v>
      </c>
      <c r="I563">
        <v>3</v>
      </c>
      <c r="J563" t="s">
        <v>50</v>
      </c>
    </row>
    <row r="564" spans="1:10" x14ac:dyDescent="0.25">
      <c r="A564" t="s">
        <v>7355</v>
      </c>
      <c r="B564">
        <f>85999.4372115701*(1/100/100)</f>
        <v>8.5999437211570093</v>
      </c>
      <c r="C564">
        <v>7203</v>
      </c>
      <c r="D564" t="s">
        <v>2032</v>
      </c>
      <c r="E564">
        <v>30903</v>
      </c>
      <c r="F564" t="s">
        <v>591</v>
      </c>
      <c r="G564">
        <v>309</v>
      </c>
      <c r="H564" t="s">
        <v>58</v>
      </c>
      <c r="I564">
        <v>3</v>
      </c>
      <c r="J564" t="s">
        <v>50</v>
      </c>
    </row>
    <row r="565" spans="1:10" x14ac:dyDescent="0.25">
      <c r="A565" t="s">
        <v>7355</v>
      </c>
      <c r="B565">
        <f>12809.6484896288*(1/100/100)</f>
        <v>1.28096484896288</v>
      </c>
      <c r="C565">
        <v>7204</v>
      </c>
      <c r="D565" t="s">
        <v>3317</v>
      </c>
      <c r="E565">
        <v>30935</v>
      </c>
      <c r="F565" t="s">
        <v>605</v>
      </c>
      <c r="G565">
        <v>309</v>
      </c>
      <c r="H565" t="s">
        <v>58</v>
      </c>
      <c r="I565">
        <v>3</v>
      </c>
      <c r="J565" t="s">
        <v>50</v>
      </c>
    </row>
    <row r="566" spans="1:10" x14ac:dyDescent="0.25">
      <c r="A566" t="s">
        <v>7355</v>
      </c>
      <c r="B566">
        <f>5649.96969543329*(1/100/100)</f>
        <v>0.56499696954332901</v>
      </c>
      <c r="C566">
        <v>7206</v>
      </c>
      <c r="D566" t="s">
        <v>3245</v>
      </c>
      <c r="E566">
        <v>30902</v>
      </c>
      <c r="F566" t="s">
        <v>590</v>
      </c>
      <c r="G566">
        <v>309</v>
      </c>
      <c r="H566" t="s">
        <v>58</v>
      </c>
      <c r="I566">
        <v>3</v>
      </c>
      <c r="J566" t="s">
        <v>50</v>
      </c>
    </row>
    <row r="567" spans="1:10" x14ac:dyDescent="0.25">
      <c r="A567" t="s">
        <v>7355</v>
      </c>
      <c r="B567">
        <f>29731.4711628385*(1/100/100)</f>
        <v>2.9731471162838501</v>
      </c>
      <c r="C567">
        <v>7208</v>
      </c>
      <c r="D567" t="s">
        <v>3299</v>
      </c>
      <c r="E567">
        <v>30921</v>
      </c>
      <c r="F567" t="s">
        <v>602</v>
      </c>
      <c r="G567">
        <v>309</v>
      </c>
      <c r="H567" t="s">
        <v>58</v>
      </c>
      <c r="I567">
        <v>3</v>
      </c>
      <c r="J567" t="s">
        <v>50</v>
      </c>
    </row>
    <row r="568" spans="1:10" x14ac:dyDescent="0.25">
      <c r="A568" t="s">
        <v>7355</v>
      </c>
      <c r="B568">
        <f>36704.9798949336*(1/100/100)</f>
        <v>3.6704979894933598</v>
      </c>
      <c r="C568">
        <v>7209</v>
      </c>
      <c r="D568" t="s">
        <v>3318</v>
      </c>
      <c r="E568">
        <v>30935</v>
      </c>
      <c r="F568" t="s">
        <v>605</v>
      </c>
      <c r="G568">
        <v>309</v>
      </c>
      <c r="H568" t="s">
        <v>58</v>
      </c>
      <c r="I568">
        <v>3</v>
      </c>
      <c r="J568" t="s">
        <v>50</v>
      </c>
    </row>
    <row r="569" spans="1:10" x14ac:dyDescent="0.25">
      <c r="A569" t="s">
        <v>7355</v>
      </c>
      <c r="B569">
        <f>72760.5754468865*(1/100/100)</f>
        <v>7.2760575446886513</v>
      </c>
      <c r="C569">
        <v>7215</v>
      </c>
      <c r="D569" t="s">
        <v>600</v>
      </c>
      <c r="E569">
        <v>30917</v>
      </c>
      <c r="F569" t="s">
        <v>600</v>
      </c>
      <c r="G569">
        <v>309</v>
      </c>
      <c r="H569" t="s">
        <v>58</v>
      </c>
      <c r="I569">
        <v>3</v>
      </c>
      <c r="J569" t="s">
        <v>50</v>
      </c>
    </row>
    <row r="570" spans="1:10" x14ac:dyDescent="0.25">
      <c r="A570" t="s">
        <v>7355</v>
      </c>
      <c r="B570">
        <f>45327.3954961986*(1/100/100)</f>
        <v>4.5327395496198601</v>
      </c>
      <c r="C570">
        <v>7216</v>
      </c>
      <c r="D570" t="s">
        <v>3300</v>
      </c>
      <c r="E570">
        <v>30921</v>
      </c>
      <c r="F570" t="s">
        <v>602</v>
      </c>
      <c r="G570">
        <v>309</v>
      </c>
      <c r="H570" t="s">
        <v>58</v>
      </c>
      <c r="I570">
        <v>3</v>
      </c>
      <c r="J570" t="s">
        <v>50</v>
      </c>
    </row>
    <row r="571" spans="1:10" x14ac:dyDescent="0.25">
      <c r="A571" t="s">
        <v>7355</v>
      </c>
      <c r="B571">
        <f>12471.5613862524*(1/100/100)</f>
        <v>1.2471561386252401</v>
      </c>
      <c r="C571">
        <v>7217</v>
      </c>
      <c r="D571" t="s">
        <v>3319</v>
      </c>
      <c r="E571">
        <v>30935</v>
      </c>
      <c r="F571" t="s">
        <v>605</v>
      </c>
      <c r="G571">
        <v>309</v>
      </c>
      <c r="H571" t="s">
        <v>58</v>
      </c>
      <c r="I571">
        <v>3</v>
      </c>
      <c r="J571" t="s">
        <v>50</v>
      </c>
    </row>
    <row r="572" spans="1:10" x14ac:dyDescent="0.25">
      <c r="A572" t="s">
        <v>7355</v>
      </c>
      <c r="B572">
        <f>86715.4164191559*(1/100/100)</f>
        <v>8.6715416419155904</v>
      </c>
      <c r="C572">
        <v>7218</v>
      </c>
      <c r="D572" t="s">
        <v>602</v>
      </c>
      <c r="E572">
        <v>30921</v>
      </c>
      <c r="F572" t="s">
        <v>602</v>
      </c>
      <c r="G572">
        <v>309</v>
      </c>
      <c r="H572" t="s">
        <v>58</v>
      </c>
      <c r="I572">
        <v>3</v>
      </c>
      <c r="J572" t="s">
        <v>50</v>
      </c>
    </row>
    <row r="573" spans="1:10" x14ac:dyDescent="0.25">
      <c r="A573" t="s">
        <v>7355</v>
      </c>
      <c r="B573">
        <f>95947.3899898041*(1/100/100)</f>
        <v>9.5947389989804108</v>
      </c>
      <c r="C573">
        <v>7219</v>
      </c>
      <c r="D573" t="s">
        <v>3320</v>
      </c>
      <c r="E573">
        <v>30935</v>
      </c>
      <c r="F573" t="s">
        <v>605</v>
      </c>
      <c r="G573">
        <v>309</v>
      </c>
      <c r="H573" t="s">
        <v>58</v>
      </c>
      <c r="I573">
        <v>3</v>
      </c>
      <c r="J573" t="s">
        <v>50</v>
      </c>
    </row>
    <row r="574" spans="1:10" x14ac:dyDescent="0.25">
      <c r="A574" t="s">
        <v>7355</v>
      </c>
      <c r="B574">
        <f>53641.9453012934*(1/100/100)</f>
        <v>5.3641945301293408</v>
      </c>
      <c r="C574">
        <v>7220</v>
      </c>
      <c r="D574" t="s">
        <v>2821</v>
      </c>
      <c r="E574">
        <v>30935</v>
      </c>
      <c r="F574" t="s">
        <v>605</v>
      </c>
      <c r="G574">
        <v>309</v>
      </c>
      <c r="H574" t="s">
        <v>58</v>
      </c>
      <c r="I574">
        <v>3</v>
      </c>
      <c r="J574" t="s">
        <v>50</v>
      </c>
    </row>
    <row r="575" spans="1:10" x14ac:dyDescent="0.25">
      <c r="A575" t="s">
        <v>7355</v>
      </c>
      <c r="B575">
        <f>89170.504593364*(1/100/100)</f>
        <v>8.9170504593364015</v>
      </c>
      <c r="C575">
        <v>7221</v>
      </c>
      <c r="D575" t="s">
        <v>3246</v>
      </c>
      <c r="E575">
        <v>30903</v>
      </c>
      <c r="F575" t="s">
        <v>591</v>
      </c>
      <c r="G575">
        <v>309</v>
      </c>
      <c r="H575" t="s">
        <v>58</v>
      </c>
      <c r="I575">
        <v>3</v>
      </c>
      <c r="J575" t="s">
        <v>50</v>
      </c>
    </row>
    <row r="576" spans="1:10" x14ac:dyDescent="0.25">
      <c r="A576" t="s">
        <v>7355</v>
      </c>
      <c r="B576">
        <f>50948.5279606627*(1/100/100)</f>
        <v>5.0948527960662702</v>
      </c>
      <c r="C576">
        <v>7223</v>
      </c>
      <c r="D576" t="s">
        <v>3321</v>
      </c>
      <c r="E576">
        <v>30935</v>
      </c>
      <c r="F576" t="s">
        <v>605</v>
      </c>
      <c r="G576">
        <v>309</v>
      </c>
      <c r="H576" t="s">
        <v>58</v>
      </c>
      <c r="I576">
        <v>3</v>
      </c>
      <c r="J576" t="s">
        <v>50</v>
      </c>
    </row>
    <row r="577" spans="1:10" x14ac:dyDescent="0.25">
      <c r="A577" t="s">
        <v>7355</v>
      </c>
      <c r="B577">
        <f>366481.271347683*(1/100/100)</f>
        <v>36.648127134768302</v>
      </c>
      <c r="C577">
        <v>7226</v>
      </c>
      <c r="D577" t="s">
        <v>605</v>
      </c>
      <c r="E577">
        <v>30935</v>
      </c>
      <c r="F577" t="s">
        <v>605</v>
      </c>
      <c r="G577">
        <v>309</v>
      </c>
      <c r="H577" t="s">
        <v>58</v>
      </c>
      <c r="I577">
        <v>3</v>
      </c>
      <c r="J577" t="s">
        <v>50</v>
      </c>
    </row>
    <row r="578" spans="1:10" x14ac:dyDescent="0.25">
      <c r="A578" t="s">
        <v>7355</v>
      </c>
      <c r="B578">
        <f>89801.8335505406*(1/100/100)</f>
        <v>8.9801833550540611</v>
      </c>
      <c r="C578">
        <v>7227</v>
      </c>
      <c r="D578" t="s">
        <v>3322</v>
      </c>
      <c r="E578">
        <v>30935</v>
      </c>
      <c r="F578" t="s">
        <v>605</v>
      </c>
      <c r="G578">
        <v>309</v>
      </c>
      <c r="H578" t="s">
        <v>58</v>
      </c>
      <c r="I578">
        <v>3</v>
      </c>
      <c r="J578" t="s">
        <v>50</v>
      </c>
    </row>
    <row r="579" spans="1:10" x14ac:dyDescent="0.25">
      <c r="A579" t="s">
        <v>7355</v>
      </c>
      <c r="B579">
        <f>55983.5466850147*(1/100/100)</f>
        <v>5.5983546685014698</v>
      </c>
      <c r="C579">
        <v>7228</v>
      </c>
      <c r="D579" t="s">
        <v>3323</v>
      </c>
      <c r="E579">
        <v>30935</v>
      </c>
      <c r="F579" t="s">
        <v>605</v>
      </c>
      <c r="G579">
        <v>309</v>
      </c>
      <c r="H579" t="s">
        <v>58</v>
      </c>
      <c r="I579">
        <v>3</v>
      </c>
      <c r="J579" t="s">
        <v>50</v>
      </c>
    </row>
    <row r="580" spans="1:10" x14ac:dyDescent="0.25">
      <c r="A580" t="s">
        <v>7355</v>
      </c>
      <c r="B580">
        <f>21824.3820126664*(1/100/100)</f>
        <v>2.1824382012666401</v>
      </c>
      <c r="C580">
        <v>7229</v>
      </c>
      <c r="D580" t="s">
        <v>3324</v>
      </c>
      <c r="E580">
        <v>30935</v>
      </c>
      <c r="F580" t="s">
        <v>605</v>
      </c>
      <c r="G580">
        <v>309</v>
      </c>
      <c r="H580" t="s">
        <v>58</v>
      </c>
      <c r="I580">
        <v>3</v>
      </c>
      <c r="J580" t="s">
        <v>50</v>
      </c>
    </row>
    <row r="581" spans="1:10" x14ac:dyDescent="0.25">
      <c r="A581" t="s">
        <v>7355</v>
      </c>
      <c r="B581">
        <f>54699.5003252633*(1/100/100)</f>
        <v>5.4699500325263308</v>
      </c>
      <c r="C581">
        <v>7231</v>
      </c>
      <c r="D581" t="s">
        <v>2228</v>
      </c>
      <c r="E581">
        <v>30903</v>
      </c>
      <c r="F581" t="s">
        <v>591</v>
      </c>
      <c r="G581">
        <v>309</v>
      </c>
      <c r="H581" t="s">
        <v>58</v>
      </c>
      <c r="I581">
        <v>3</v>
      </c>
      <c r="J581" t="s">
        <v>50</v>
      </c>
    </row>
    <row r="582" spans="1:10" x14ac:dyDescent="0.25">
      <c r="A582" t="s">
        <v>7355</v>
      </c>
      <c r="B582">
        <f>25230.7114416828*(1/100/100)</f>
        <v>2.5230711441682803</v>
      </c>
      <c r="C582">
        <v>7232</v>
      </c>
      <c r="D582" t="s">
        <v>3297</v>
      </c>
      <c r="E582">
        <v>30917</v>
      </c>
      <c r="F582" t="s">
        <v>600</v>
      </c>
      <c r="G582">
        <v>309</v>
      </c>
      <c r="H582" t="s">
        <v>58</v>
      </c>
      <c r="I582">
        <v>3</v>
      </c>
      <c r="J582" t="s">
        <v>50</v>
      </c>
    </row>
    <row r="583" spans="1:10" x14ac:dyDescent="0.25">
      <c r="A583" t="s">
        <v>7355</v>
      </c>
      <c r="B583">
        <f>54080.2847066781*(1/100/100)</f>
        <v>5.4080284706678103</v>
      </c>
      <c r="C583">
        <v>7233</v>
      </c>
      <c r="D583" t="s">
        <v>3301</v>
      </c>
      <c r="E583">
        <v>30921</v>
      </c>
      <c r="F583" t="s">
        <v>602</v>
      </c>
      <c r="G583">
        <v>309</v>
      </c>
      <c r="H583" t="s">
        <v>58</v>
      </c>
      <c r="I583">
        <v>3</v>
      </c>
      <c r="J583" t="s">
        <v>50</v>
      </c>
    </row>
    <row r="584" spans="1:10" x14ac:dyDescent="0.25">
      <c r="A584" t="s">
        <v>7355</v>
      </c>
      <c r="B584">
        <f>38841.8502080511*(1/100/100)</f>
        <v>3.8841850208051105</v>
      </c>
      <c r="C584">
        <v>7234</v>
      </c>
      <c r="D584" t="s">
        <v>3302</v>
      </c>
      <c r="E584">
        <v>30921</v>
      </c>
      <c r="F584" t="s">
        <v>602</v>
      </c>
      <c r="G584">
        <v>309</v>
      </c>
      <c r="H584" t="s">
        <v>58</v>
      </c>
      <c r="I584">
        <v>3</v>
      </c>
      <c r="J584" t="s">
        <v>50</v>
      </c>
    </row>
    <row r="585" spans="1:10" x14ac:dyDescent="0.25">
      <c r="A585" t="s">
        <v>7355</v>
      </c>
      <c r="B585">
        <f>57399.1067621124*(1/100/100)</f>
        <v>5.7399106762112408</v>
      </c>
      <c r="C585">
        <v>7236</v>
      </c>
      <c r="D585" t="s">
        <v>3303</v>
      </c>
      <c r="E585">
        <v>30921</v>
      </c>
      <c r="F585" t="s">
        <v>602</v>
      </c>
      <c r="G585">
        <v>309</v>
      </c>
      <c r="H585" t="s">
        <v>58</v>
      </c>
      <c r="I585">
        <v>3</v>
      </c>
      <c r="J585" t="s">
        <v>50</v>
      </c>
    </row>
    <row r="586" spans="1:10" x14ac:dyDescent="0.25">
      <c r="A586" t="s">
        <v>7355</v>
      </c>
      <c r="B586">
        <f>30028.8690606684*(1/100/100)</f>
        <v>3.0028869060668399</v>
      </c>
      <c r="C586">
        <v>7238</v>
      </c>
      <c r="D586" t="s">
        <v>3247</v>
      </c>
      <c r="E586">
        <v>30903</v>
      </c>
      <c r="F586" t="s">
        <v>591</v>
      </c>
      <c r="G586">
        <v>309</v>
      </c>
      <c r="H586" t="s">
        <v>58</v>
      </c>
      <c r="I586">
        <v>3</v>
      </c>
      <c r="J586" t="s">
        <v>50</v>
      </c>
    </row>
    <row r="587" spans="1:10" x14ac:dyDescent="0.25">
      <c r="A587" t="s">
        <v>7355</v>
      </c>
      <c r="B587">
        <f>16787.7573221992*(1/100/100)</f>
        <v>1.6787757322199199</v>
      </c>
      <c r="C587">
        <v>7301</v>
      </c>
      <c r="D587" t="s">
        <v>3263</v>
      </c>
      <c r="E587">
        <v>30910</v>
      </c>
      <c r="F587" t="s">
        <v>595</v>
      </c>
      <c r="G587">
        <v>309</v>
      </c>
      <c r="H587" t="s">
        <v>58</v>
      </c>
      <c r="I587">
        <v>3</v>
      </c>
      <c r="J587" t="s">
        <v>50</v>
      </c>
    </row>
    <row r="588" spans="1:10" x14ac:dyDescent="0.25">
      <c r="A588" t="s">
        <v>7355</v>
      </c>
      <c r="B588">
        <f>21906.5074502755*(1/100/100)</f>
        <v>2.1906507450275501</v>
      </c>
      <c r="C588">
        <v>7302</v>
      </c>
      <c r="D588" t="s">
        <v>3264</v>
      </c>
      <c r="E588">
        <v>30910</v>
      </c>
      <c r="F588" t="s">
        <v>595</v>
      </c>
      <c r="G588">
        <v>309</v>
      </c>
      <c r="H588" t="s">
        <v>58</v>
      </c>
      <c r="I588">
        <v>3</v>
      </c>
      <c r="J588" t="s">
        <v>50</v>
      </c>
    </row>
    <row r="589" spans="1:10" x14ac:dyDescent="0.25">
      <c r="A589" t="s">
        <v>7355</v>
      </c>
      <c r="B589">
        <f>28135.5921761792*(1/100/100)</f>
        <v>2.8135592176179203</v>
      </c>
      <c r="C589">
        <v>7304</v>
      </c>
      <c r="D589" t="s">
        <v>3337</v>
      </c>
      <c r="E589">
        <v>30942</v>
      </c>
      <c r="F589" t="s">
        <v>608</v>
      </c>
      <c r="G589">
        <v>309</v>
      </c>
      <c r="H589" t="s">
        <v>58</v>
      </c>
      <c r="I589">
        <v>3</v>
      </c>
      <c r="J589" t="s">
        <v>50</v>
      </c>
    </row>
    <row r="590" spans="1:10" x14ac:dyDescent="0.25">
      <c r="A590" t="s">
        <v>7355</v>
      </c>
      <c r="B590">
        <f>31962.5016339787*(1/100/100)</f>
        <v>3.1962501633978699</v>
      </c>
      <c r="C590">
        <v>7306</v>
      </c>
      <c r="D590" t="s">
        <v>3270</v>
      </c>
      <c r="E590">
        <v>30912</v>
      </c>
      <c r="F590" t="s">
        <v>596</v>
      </c>
      <c r="G590">
        <v>309</v>
      </c>
      <c r="H590" t="s">
        <v>58</v>
      </c>
      <c r="I590">
        <v>3</v>
      </c>
      <c r="J590" t="s">
        <v>50</v>
      </c>
    </row>
    <row r="591" spans="1:10" x14ac:dyDescent="0.25">
      <c r="A591" t="s">
        <v>7355</v>
      </c>
      <c r="B591">
        <f>23678.2789427239*(1/100/100)</f>
        <v>2.36782789427239</v>
      </c>
      <c r="C591">
        <v>7307</v>
      </c>
      <c r="D591" t="s">
        <v>3271</v>
      </c>
      <c r="E591">
        <v>30912</v>
      </c>
      <c r="F591" t="s">
        <v>596</v>
      </c>
      <c r="G591">
        <v>309</v>
      </c>
      <c r="H591" t="s">
        <v>58</v>
      </c>
      <c r="I591">
        <v>3</v>
      </c>
      <c r="J591" t="s">
        <v>50</v>
      </c>
    </row>
    <row r="592" spans="1:10" x14ac:dyDescent="0.25">
      <c r="A592" t="s">
        <v>7355</v>
      </c>
      <c r="B592">
        <f>33644.6338220812*(1/100/100)</f>
        <v>3.3644633822081205</v>
      </c>
      <c r="C592">
        <v>7308</v>
      </c>
      <c r="D592" t="s">
        <v>3280</v>
      </c>
      <c r="E592">
        <v>30913</v>
      </c>
      <c r="F592" t="s">
        <v>597</v>
      </c>
      <c r="G592">
        <v>309</v>
      </c>
      <c r="H592" t="s">
        <v>58</v>
      </c>
      <c r="I592">
        <v>3</v>
      </c>
      <c r="J592" t="s">
        <v>50</v>
      </c>
    </row>
    <row r="593" spans="1:10" x14ac:dyDescent="0.25">
      <c r="A593" t="s">
        <v>7355</v>
      </c>
      <c r="B593">
        <f>57074.1605663277*(1/100/100)</f>
        <v>5.7074160566327707</v>
      </c>
      <c r="C593">
        <v>7309</v>
      </c>
      <c r="D593" t="s">
        <v>3315</v>
      </c>
      <c r="E593">
        <v>30932</v>
      </c>
      <c r="F593" t="s">
        <v>2218</v>
      </c>
      <c r="G593">
        <v>309</v>
      </c>
      <c r="H593" t="s">
        <v>58</v>
      </c>
      <c r="I593">
        <v>3</v>
      </c>
      <c r="J593" t="s">
        <v>50</v>
      </c>
    </row>
    <row r="594" spans="1:10" x14ac:dyDescent="0.25">
      <c r="A594" t="s">
        <v>7355</v>
      </c>
      <c r="B594">
        <f>27062.4751975326*(1/100/100)</f>
        <v>2.7062475197532603</v>
      </c>
      <c r="C594">
        <v>7310</v>
      </c>
      <c r="D594" t="s">
        <v>3272</v>
      </c>
      <c r="E594">
        <v>30912</v>
      </c>
      <c r="F594" t="s">
        <v>596</v>
      </c>
      <c r="G594">
        <v>309</v>
      </c>
      <c r="H594" t="s">
        <v>58</v>
      </c>
      <c r="I594">
        <v>3</v>
      </c>
      <c r="J594" t="s">
        <v>50</v>
      </c>
    </row>
    <row r="595" spans="1:10" x14ac:dyDescent="0.25">
      <c r="A595" t="s">
        <v>7355</v>
      </c>
      <c r="B595">
        <f>48313.7242048079*(1/100/100)</f>
        <v>4.8313724204807897</v>
      </c>
      <c r="C595">
        <v>7311</v>
      </c>
      <c r="D595" t="s">
        <v>3325</v>
      </c>
      <c r="E595">
        <v>30939</v>
      </c>
      <c r="F595" t="s">
        <v>606</v>
      </c>
      <c r="G595">
        <v>309</v>
      </c>
      <c r="H595" t="s">
        <v>58</v>
      </c>
      <c r="I595">
        <v>3</v>
      </c>
      <c r="J595" t="s">
        <v>50</v>
      </c>
    </row>
    <row r="596" spans="1:10" x14ac:dyDescent="0.25">
      <c r="A596" t="s">
        <v>7355</v>
      </c>
      <c r="B596">
        <f>43765.7162925533*(1/100/100)</f>
        <v>4.3765716292553298</v>
      </c>
      <c r="C596">
        <v>7312</v>
      </c>
      <c r="D596" t="s">
        <v>3281</v>
      </c>
      <c r="E596">
        <v>30913</v>
      </c>
      <c r="F596" t="s">
        <v>597</v>
      </c>
      <c r="G596">
        <v>309</v>
      </c>
      <c r="H596" t="s">
        <v>58</v>
      </c>
      <c r="I596">
        <v>3</v>
      </c>
      <c r="J596" t="s">
        <v>50</v>
      </c>
    </row>
    <row r="597" spans="1:10" x14ac:dyDescent="0.25">
      <c r="A597" t="s">
        <v>7355</v>
      </c>
      <c r="B597">
        <f>37342.9080295553*(1/100/100)</f>
        <v>3.7342908029555302</v>
      </c>
      <c r="C597">
        <v>7315</v>
      </c>
      <c r="D597" t="s">
        <v>3265</v>
      </c>
      <c r="E597">
        <v>30910</v>
      </c>
      <c r="F597" t="s">
        <v>595</v>
      </c>
      <c r="G597">
        <v>309</v>
      </c>
      <c r="H597" t="s">
        <v>58</v>
      </c>
      <c r="I597">
        <v>3</v>
      </c>
      <c r="J597" t="s">
        <v>50</v>
      </c>
    </row>
    <row r="598" spans="1:10" x14ac:dyDescent="0.25">
      <c r="A598" t="s">
        <v>7355</v>
      </c>
      <c r="B598">
        <f>63063.6687219062*(1/100/100)</f>
        <v>6.3063668721906208</v>
      </c>
      <c r="C598">
        <v>7316</v>
      </c>
      <c r="D598" t="s">
        <v>3316</v>
      </c>
      <c r="E598">
        <v>30932</v>
      </c>
      <c r="F598" t="s">
        <v>2218</v>
      </c>
      <c r="G598">
        <v>309</v>
      </c>
      <c r="H598" t="s">
        <v>58</v>
      </c>
      <c r="I598">
        <v>3</v>
      </c>
      <c r="J598" t="s">
        <v>50</v>
      </c>
    </row>
    <row r="599" spans="1:10" x14ac:dyDescent="0.25">
      <c r="A599" t="s">
        <v>7355</v>
      </c>
      <c r="B599">
        <f>48380.6887035694*(1/100/100)</f>
        <v>4.8380688703569401</v>
      </c>
      <c r="C599">
        <v>7317</v>
      </c>
      <c r="D599" t="s">
        <v>3282</v>
      </c>
      <c r="E599">
        <v>30913</v>
      </c>
      <c r="F599" t="s">
        <v>597</v>
      </c>
      <c r="G599">
        <v>309</v>
      </c>
      <c r="H599" t="s">
        <v>58</v>
      </c>
      <c r="I599">
        <v>3</v>
      </c>
      <c r="J599" t="s">
        <v>50</v>
      </c>
    </row>
    <row r="600" spans="1:10" x14ac:dyDescent="0.25">
      <c r="A600" t="s">
        <v>7355</v>
      </c>
      <c r="B600">
        <f>32551.7879496162*(1/100/100)</f>
        <v>3.25517879496162</v>
      </c>
      <c r="C600">
        <v>7318</v>
      </c>
      <c r="D600" t="s">
        <v>3326</v>
      </c>
      <c r="E600">
        <v>30939</v>
      </c>
      <c r="F600" t="s">
        <v>606</v>
      </c>
      <c r="G600">
        <v>309</v>
      </c>
      <c r="H600" t="s">
        <v>58</v>
      </c>
      <c r="I600">
        <v>3</v>
      </c>
      <c r="J600" t="s">
        <v>50</v>
      </c>
    </row>
    <row r="601" spans="1:10" x14ac:dyDescent="0.25">
      <c r="A601" t="s">
        <v>7355</v>
      </c>
      <c r="B601">
        <f>123218.276199818*(1/100/100)</f>
        <v>12.321827619981802</v>
      </c>
      <c r="C601">
        <v>7320</v>
      </c>
      <c r="D601" t="s">
        <v>2218</v>
      </c>
      <c r="E601">
        <v>30932</v>
      </c>
      <c r="F601" t="s">
        <v>2218</v>
      </c>
      <c r="G601">
        <v>309</v>
      </c>
      <c r="H601" t="s">
        <v>58</v>
      </c>
      <c r="I601">
        <v>3</v>
      </c>
      <c r="J601" t="s">
        <v>50</v>
      </c>
    </row>
    <row r="602" spans="1:10" x14ac:dyDescent="0.25">
      <c r="A602" t="s">
        <v>7355</v>
      </c>
      <c r="B602">
        <f>15608.8305557876*(1/100/100)</f>
        <v>1.5608830555787601</v>
      </c>
      <c r="C602">
        <v>7321</v>
      </c>
      <c r="D602" t="s">
        <v>65</v>
      </c>
      <c r="E602">
        <v>30912</v>
      </c>
      <c r="F602" t="s">
        <v>596</v>
      </c>
      <c r="G602">
        <v>309</v>
      </c>
      <c r="H602" t="s">
        <v>58</v>
      </c>
      <c r="I602">
        <v>3</v>
      </c>
      <c r="J602" t="s">
        <v>50</v>
      </c>
    </row>
    <row r="603" spans="1:10" x14ac:dyDescent="0.25">
      <c r="A603" t="s">
        <v>7355</v>
      </c>
      <c r="B603">
        <f>22959.5461913878*(1/100/100)</f>
        <v>2.2959546191387799</v>
      </c>
      <c r="C603">
        <v>7322</v>
      </c>
      <c r="D603" t="s">
        <v>2662</v>
      </c>
      <c r="E603">
        <v>30910</v>
      </c>
      <c r="F603" t="s">
        <v>595</v>
      </c>
      <c r="G603">
        <v>309</v>
      </c>
      <c r="H603" t="s">
        <v>58</v>
      </c>
      <c r="I603">
        <v>3</v>
      </c>
      <c r="J603" t="s">
        <v>50</v>
      </c>
    </row>
    <row r="604" spans="1:10" x14ac:dyDescent="0.25">
      <c r="A604" t="s">
        <v>7355</v>
      </c>
      <c r="B604">
        <f>30795.8140406808*(1/100/100)</f>
        <v>3.0795814040680805</v>
      </c>
      <c r="C604">
        <v>7323</v>
      </c>
      <c r="D604" t="s">
        <v>3273</v>
      </c>
      <c r="E604">
        <v>30912</v>
      </c>
      <c r="F604" t="s">
        <v>596</v>
      </c>
      <c r="G604">
        <v>309</v>
      </c>
      <c r="H604" t="s">
        <v>58</v>
      </c>
      <c r="I604">
        <v>3</v>
      </c>
      <c r="J604" t="s">
        <v>50</v>
      </c>
    </row>
    <row r="605" spans="1:10" x14ac:dyDescent="0.25">
      <c r="A605" t="s">
        <v>7355</v>
      </c>
      <c r="B605">
        <f>106385.288021732*(1/100/100)</f>
        <v>10.638528802173202</v>
      </c>
      <c r="C605">
        <v>7324</v>
      </c>
      <c r="D605" t="s">
        <v>3266</v>
      </c>
      <c r="E605">
        <v>30910</v>
      </c>
      <c r="F605" t="s">
        <v>595</v>
      </c>
      <c r="G605">
        <v>309</v>
      </c>
      <c r="H605" t="s">
        <v>58</v>
      </c>
      <c r="I605">
        <v>3</v>
      </c>
      <c r="J605" t="s">
        <v>50</v>
      </c>
    </row>
    <row r="606" spans="1:10" x14ac:dyDescent="0.25">
      <c r="A606" t="s">
        <v>7355</v>
      </c>
      <c r="B606">
        <f>20793.5033670433*(1/100/100)</f>
        <v>2.07935033670433</v>
      </c>
      <c r="C606">
        <v>7325</v>
      </c>
      <c r="D606" t="s">
        <v>3327</v>
      </c>
      <c r="E606">
        <v>30939</v>
      </c>
      <c r="F606" t="s">
        <v>606</v>
      </c>
      <c r="G606">
        <v>309</v>
      </c>
      <c r="H606" t="s">
        <v>58</v>
      </c>
      <c r="I606">
        <v>3</v>
      </c>
      <c r="J606" t="s">
        <v>50</v>
      </c>
    </row>
    <row r="607" spans="1:10" x14ac:dyDescent="0.25">
      <c r="A607" t="s">
        <v>7355</v>
      </c>
      <c r="B607">
        <f>19760.8822995073*(1/100/100)</f>
        <v>1.9760882299507299</v>
      </c>
      <c r="C607">
        <v>7326</v>
      </c>
      <c r="D607" t="s">
        <v>453</v>
      </c>
      <c r="E607">
        <v>30910</v>
      </c>
      <c r="F607" t="s">
        <v>595</v>
      </c>
      <c r="G607">
        <v>309</v>
      </c>
      <c r="H607" t="s">
        <v>58</v>
      </c>
      <c r="I607">
        <v>3</v>
      </c>
      <c r="J607" t="s">
        <v>50</v>
      </c>
    </row>
    <row r="608" spans="1:10" x14ac:dyDescent="0.25">
      <c r="A608" t="s">
        <v>7355</v>
      </c>
      <c r="B608">
        <f>41948.0652383241*(1/100/100)</f>
        <v>4.1948065238324102</v>
      </c>
      <c r="C608">
        <v>7330</v>
      </c>
      <c r="D608" t="s">
        <v>3338</v>
      </c>
      <c r="E608">
        <v>30942</v>
      </c>
      <c r="F608" t="s">
        <v>608</v>
      </c>
      <c r="G608">
        <v>309</v>
      </c>
      <c r="H608" t="s">
        <v>58</v>
      </c>
      <c r="I608">
        <v>3</v>
      </c>
      <c r="J608" t="s">
        <v>50</v>
      </c>
    </row>
    <row r="609" spans="1:10" x14ac:dyDescent="0.25">
      <c r="A609" t="s">
        <v>7355</v>
      </c>
      <c r="B609">
        <f>25138.812293296*(1/100/100)</f>
        <v>2.5138812293296002</v>
      </c>
      <c r="C609">
        <v>7331</v>
      </c>
      <c r="D609" t="s">
        <v>3274</v>
      </c>
      <c r="E609">
        <v>30912</v>
      </c>
      <c r="F609" t="s">
        <v>596</v>
      </c>
      <c r="G609">
        <v>309</v>
      </c>
      <c r="H609" t="s">
        <v>58</v>
      </c>
      <c r="I609">
        <v>3</v>
      </c>
      <c r="J609" t="s">
        <v>50</v>
      </c>
    </row>
    <row r="610" spans="1:10" x14ac:dyDescent="0.25">
      <c r="A610" t="s">
        <v>7355</v>
      </c>
      <c r="B610">
        <f>29535.8934254044*(1/100/100)</f>
        <v>2.95358934254044</v>
      </c>
      <c r="C610">
        <v>7332</v>
      </c>
      <c r="D610" t="s">
        <v>3328</v>
      </c>
      <c r="E610">
        <v>30939</v>
      </c>
      <c r="F610" t="s">
        <v>606</v>
      </c>
      <c r="G610">
        <v>309</v>
      </c>
      <c r="H610" t="s">
        <v>58</v>
      </c>
      <c r="I610">
        <v>3</v>
      </c>
      <c r="J610" t="s">
        <v>50</v>
      </c>
    </row>
    <row r="611" spans="1:10" x14ac:dyDescent="0.25">
      <c r="A611" t="s">
        <v>7355</v>
      </c>
      <c r="B611">
        <f>62695.0492195053*(1/100/100)</f>
        <v>6.2695049219505306</v>
      </c>
      <c r="C611">
        <v>7333</v>
      </c>
      <c r="D611" t="s">
        <v>596</v>
      </c>
      <c r="E611">
        <v>30912</v>
      </c>
      <c r="F611" t="s">
        <v>596</v>
      </c>
      <c r="G611">
        <v>309</v>
      </c>
      <c r="H611" t="s">
        <v>58</v>
      </c>
      <c r="I611">
        <v>3</v>
      </c>
      <c r="J611" t="s">
        <v>50</v>
      </c>
    </row>
    <row r="612" spans="1:10" x14ac:dyDescent="0.25">
      <c r="A612" t="s">
        <v>7355</v>
      </c>
      <c r="B612">
        <f>15012.7350476368*(1/100/100)</f>
        <v>1.50127350476368</v>
      </c>
      <c r="C612">
        <v>7334</v>
      </c>
      <c r="D612" t="s">
        <v>3275</v>
      </c>
      <c r="E612">
        <v>30912</v>
      </c>
      <c r="F612" t="s">
        <v>596</v>
      </c>
      <c r="G612">
        <v>309</v>
      </c>
      <c r="H612" t="s">
        <v>58</v>
      </c>
      <c r="I612">
        <v>3</v>
      </c>
      <c r="J612" t="s">
        <v>50</v>
      </c>
    </row>
    <row r="613" spans="1:10" x14ac:dyDescent="0.25">
      <c r="A613" t="s">
        <v>7355</v>
      </c>
      <c r="B613">
        <f>5956.98371735769*(1/100/100)</f>
        <v>0.59569837173576901</v>
      </c>
      <c r="C613">
        <v>7335</v>
      </c>
      <c r="D613" t="s">
        <v>3267</v>
      </c>
      <c r="E613">
        <v>30910</v>
      </c>
      <c r="F613" t="s">
        <v>595</v>
      </c>
      <c r="G613">
        <v>309</v>
      </c>
      <c r="H613" t="s">
        <v>58</v>
      </c>
      <c r="I613">
        <v>3</v>
      </c>
      <c r="J613" t="s">
        <v>50</v>
      </c>
    </row>
    <row r="614" spans="1:10" x14ac:dyDescent="0.25">
      <c r="A614" t="s">
        <v>7355</v>
      </c>
      <c r="B614">
        <f>40721.5172175557*(1/100/100)</f>
        <v>4.0721517217555707</v>
      </c>
      <c r="C614">
        <v>7337</v>
      </c>
      <c r="D614" t="s">
        <v>3339</v>
      </c>
      <c r="E614">
        <v>30942</v>
      </c>
      <c r="F614" t="s">
        <v>608</v>
      </c>
      <c r="G614">
        <v>309</v>
      </c>
      <c r="H614" t="s">
        <v>58</v>
      </c>
      <c r="I614">
        <v>3</v>
      </c>
      <c r="J614" t="s">
        <v>50</v>
      </c>
    </row>
    <row r="615" spans="1:10" x14ac:dyDescent="0.25">
      <c r="A615" t="s">
        <v>7355</v>
      </c>
      <c r="B615">
        <f>9846.78344469386*(1/100/100)</f>
        <v>0.98467834446938596</v>
      </c>
      <c r="C615">
        <v>7338</v>
      </c>
      <c r="D615" t="s">
        <v>2228</v>
      </c>
      <c r="E615">
        <v>30910</v>
      </c>
      <c r="F615" t="s">
        <v>595</v>
      </c>
      <c r="G615">
        <v>309</v>
      </c>
      <c r="H615" t="s">
        <v>58</v>
      </c>
      <c r="I615">
        <v>3</v>
      </c>
      <c r="J615" t="s">
        <v>50</v>
      </c>
    </row>
    <row r="616" spans="1:10" x14ac:dyDescent="0.25">
      <c r="A616" t="s">
        <v>7355</v>
      </c>
      <c r="B616">
        <f>14647.5716779098*(1/100/100)</f>
        <v>1.4647571677909801</v>
      </c>
      <c r="C616">
        <v>7339</v>
      </c>
      <c r="D616" t="s">
        <v>2111</v>
      </c>
      <c r="E616">
        <v>30942</v>
      </c>
      <c r="F616" t="s">
        <v>608</v>
      </c>
      <c r="G616">
        <v>309</v>
      </c>
      <c r="H616" t="s">
        <v>58</v>
      </c>
      <c r="I616">
        <v>3</v>
      </c>
      <c r="J616" t="s">
        <v>50</v>
      </c>
    </row>
    <row r="617" spans="1:10" x14ac:dyDescent="0.25">
      <c r="A617" t="s">
        <v>7355</v>
      </c>
      <c r="B617">
        <f>37418.8291077342*(1/100/100)</f>
        <v>3.7418829107734202</v>
      </c>
      <c r="C617">
        <v>7340</v>
      </c>
      <c r="D617" t="s">
        <v>3276</v>
      </c>
      <c r="E617">
        <v>30912</v>
      </c>
      <c r="F617" t="s">
        <v>596</v>
      </c>
      <c r="G617">
        <v>309</v>
      </c>
      <c r="H617" t="s">
        <v>58</v>
      </c>
      <c r="I617">
        <v>3</v>
      </c>
      <c r="J617" t="s">
        <v>50</v>
      </c>
    </row>
    <row r="618" spans="1:10" x14ac:dyDescent="0.25">
      <c r="A618" t="s">
        <v>7355</v>
      </c>
      <c r="B618">
        <f>20103.8458187786*(1/100/100)</f>
        <v>2.0103845818778598</v>
      </c>
      <c r="C618">
        <v>7341</v>
      </c>
      <c r="D618" t="s">
        <v>3329</v>
      </c>
      <c r="E618">
        <v>30939</v>
      </c>
      <c r="F618" t="s">
        <v>606</v>
      </c>
      <c r="G618">
        <v>309</v>
      </c>
      <c r="H618" t="s">
        <v>58</v>
      </c>
      <c r="I618">
        <v>3</v>
      </c>
      <c r="J618" t="s">
        <v>50</v>
      </c>
    </row>
    <row r="619" spans="1:10" x14ac:dyDescent="0.25">
      <c r="A619" t="s">
        <v>7355</v>
      </c>
      <c r="B619">
        <f>35129.5430877988*(1/100/100)</f>
        <v>3.51295430877988</v>
      </c>
      <c r="C619">
        <v>7342</v>
      </c>
      <c r="D619" t="s">
        <v>3330</v>
      </c>
      <c r="E619">
        <v>30939</v>
      </c>
      <c r="F619" t="s">
        <v>606</v>
      </c>
      <c r="G619">
        <v>309</v>
      </c>
      <c r="H619" t="s">
        <v>58</v>
      </c>
      <c r="I619">
        <v>3</v>
      </c>
      <c r="J619" t="s">
        <v>50</v>
      </c>
    </row>
    <row r="620" spans="1:10" x14ac:dyDescent="0.25">
      <c r="A620" t="s">
        <v>7355</v>
      </c>
      <c r="B620">
        <f>9873.30158582739*(1/100/100)</f>
        <v>0.98733015858273909</v>
      </c>
      <c r="C620">
        <v>7344</v>
      </c>
      <c r="D620" t="s">
        <v>3277</v>
      </c>
      <c r="E620">
        <v>30912</v>
      </c>
      <c r="F620" t="s">
        <v>596</v>
      </c>
      <c r="G620">
        <v>309</v>
      </c>
      <c r="H620" t="s">
        <v>58</v>
      </c>
      <c r="I620">
        <v>3</v>
      </c>
      <c r="J620" t="s">
        <v>50</v>
      </c>
    </row>
    <row r="621" spans="1:10" x14ac:dyDescent="0.25">
      <c r="A621" t="s">
        <v>7355</v>
      </c>
      <c r="B621">
        <f>15532.6514349174*(1/100/100)</f>
        <v>1.5532651434917399</v>
      </c>
      <c r="C621">
        <v>7345</v>
      </c>
      <c r="D621" t="s">
        <v>3340</v>
      </c>
      <c r="E621">
        <v>30942</v>
      </c>
      <c r="F621" t="s">
        <v>608</v>
      </c>
      <c r="G621">
        <v>309</v>
      </c>
      <c r="H621" t="s">
        <v>58</v>
      </c>
      <c r="I621">
        <v>3</v>
      </c>
      <c r="J621" t="s">
        <v>50</v>
      </c>
    </row>
    <row r="622" spans="1:10" x14ac:dyDescent="0.25">
      <c r="A622" t="s">
        <v>7355</v>
      </c>
      <c r="B622">
        <f>19570.9975632556*(1/100/100)</f>
        <v>1.9570997563255603</v>
      </c>
      <c r="C622">
        <v>7346</v>
      </c>
      <c r="D622" t="s">
        <v>3268</v>
      </c>
      <c r="E622">
        <v>30910</v>
      </c>
      <c r="F622" t="s">
        <v>595</v>
      </c>
      <c r="G622">
        <v>309</v>
      </c>
      <c r="H622" t="s">
        <v>58</v>
      </c>
      <c r="I622">
        <v>3</v>
      </c>
      <c r="J622" t="s">
        <v>50</v>
      </c>
    </row>
    <row r="623" spans="1:10" x14ac:dyDescent="0.25">
      <c r="A623" t="s">
        <v>7355</v>
      </c>
      <c r="B623">
        <f>19531.9525250652*(1/100/100)</f>
        <v>1.9531952525065202</v>
      </c>
      <c r="C623">
        <v>7347</v>
      </c>
      <c r="D623" t="s">
        <v>3269</v>
      </c>
      <c r="E623">
        <v>30910</v>
      </c>
      <c r="F623" t="s">
        <v>595</v>
      </c>
      <c r="G623">
        <v>309</v>
      </c>
      <c r="H623" t="s">
        <v>58</v>
      </c>
      <c r="I623">
        <v>3</v>
      </c>
      <c r="J623" t="s">
        <v>50</v>
      </c>
    </row>
    <row r="624" spans="1:10" x14ac:dyDescent="0.25">
      <c r="A624" t="s">
        <v>7355</v>
      </c>
      <c r="B624">
        <f>220376.037578276*(1/100/100)</f>
        <v>22.037603757827601</v>
      </c>
      <c r="C624">
        <v>7348</v>
      </c>
      <c r="D624" t="s">
        <v>608</v>
      </c>
      <c r="E624">
        <v>30942</v>
      </c>
      <c r="F624" t="s">
        <v>608</v>
      </c>
      <c r="G624">
        <v>309</v>
      </c>
      <c r="H624" t="s">
        <v>58</v>
      </c>
      <c r="I624">
        <v>3</v>
      </c>
      <c r="J624" t="s">
        <v>50</v>
      </c>
    </row>
    <row r="625" spans="1:10" x14ac:dyDescent="0.25">
      <c r="A625" t="s">
        <v>7355</v>
      </c>
      <c r="B625">
        <f>69037.435053988*(1/100/100)</f>
        <v>6.9037435053987997</v>
      </c>
      <c r="C625">
        <v>7349</v>
      </c>
      <c r="D625" t="s">
        <v>3331</v>
      </c>
      <c r="E625">
        <v>30939</v>
      </c>
      <c r="F625" t="s">
        <v>606</v>
      </c>
      <c r="G625">
        <v>309</v>
      </c>
      <c r="H625" t="s">
        <v>58</v>
      </c>
      <c r="I625">
        <v>3</v>
      </c>
      <c r="J625" t="s">
        <v>50</v>
      </c>
    </row>
    <row r="626" spans="1:10" x14ac:dyDescent="0.25">
      <c r="A626" t="s">
        <v>7355</v>
      </c>
      <c r="B626">
        <f>38429.7006396396*(1/100/100)</f>
        <v>3.8429700639639606</v>
      </c>
      <c r="C626">
        <v>7350</v>
      </c>
      <c r="D626" t="s">
        <v>3341</v>
      </c>
      <c r="E626">
        <v>30942</v>
      </c>
      <c r="F626" t="s">
        <v>608</v>
      </c>
      <c r="G626">
        <v>309</v>
      </c>
      <c r="H626" t="s">
        <v>58</v>
      </c>
      <c r="I626">
        <v>3</v>
      </c>
      <c r="J626" t="s">
        <v>50</v>
      </c>
    </row>
    <row r="627" spans="1:10" x14ac:dyDescent="0.25">
      <c r="A627" t="s">
        <v>7355</v>
      </c>
      <c r="B627">
        <f>14299.7617603122*(1/100/100)</f>
        <v>1.42997617603122</v>
      </c>
      <c r="C627">
        <v>7351</v>
      </c>
      <c r="D627" t="s">
        <v>3342</v>
      </c>
      <c r="E627">
        <v>30942</v>
      </c>
      <c r="F627" t="s">
        <v>608</v>
      </c>
      <c r="G627">
        <v>309</v>
      </c>
      <c r="H627" t="s">
        <v>58</v>
      </c>
      <c r="I627">
        <v>3</v>
      </c>
      <c r="J627" t="s">
        <v>50</v>
      </c>
    </row>
    <row r="628" spans="1:10" x14ac:dyDescent="0.25">
      <c r="A628" t="s">
        <v>7355</v>
      </c>
      <c r="B628">
        <f>27334.021198217*(1/100/100)</f>
        <v>2.7334021198217</v>
      </c>
      <c r="C628">
        <v>7352</v>
      </c>
      <c r="D628" t="s">
        <v>3343</v>
      </c>
      <c r="E628">
        <v>30942</v>
      </c>
      <c r="F628" t="s">
        <v>608</v>
      </c>
      <c r="G628">
        <v>309</v>
      </c>
      <c r="H628" t="s">
        <v>58</v>
      </c>
      <c r="I628">
        <v>3</v>
      </c>
      <c r="J628" t="s">
        <v>50</v>
      </c>
    </row>
    <row r="629" spans="1:10" x14ac:dyDescent="0.25">
      <c r="A629" t="s">
        <v>7355</v>
      </c>
      <c r="B629">
        <f>48264.4718837189*(1/100/100)</f>
        <v>4.8264471883718905</v>
      </c>
      <c r="C629">
        <v>7353</v>
      </c>
      <c r="D629" t="s">
        <v>3344</v>
      </c>
      <c r="E629">
        <v>30942</v>
      </c>
      <c r="F629" t="s">
        <v>608</v>
      </c>
      <c r="G629">
        <v>309</v>
      </c>
      <c r="H629" t="s">
        <v>58</v>
      </c>
      <c r="I629">
        <v>3</v>
      </c>
      <c r="J629" t="s">
        <v>50</v>
      </c>
    </row>
    <row r="630" spans="1:10" x14ac:dyDescent="0.25">
      <c r="A630" t="s">
        <v>7355</v>
      </c>
      <c r="B630">
        <f>22958.2784873784*(1/100/100)</f>
        <v>2.2958278487378401</v>
      </c>
      <c r="C630">
        <v>7354</v>
      </c>
      <c r="D630" t="s">
        <v>3278</v>
      </c>
      <c r="E630">
        <v>30912</v>
      </c>
      <c r="F630" t="s">
        <v>596</v>
      </c>
      <c r="G630">
        <v>309</v>
      </c>
      <c r="H630" t="s">
        <v>58</v>
      </c>
      <c r="I630">
        <v>3</v>
      </c>
      <c r="J630" t="s">
        <v>50</v>
      </c>
    </row>
    <row r="631" spans="1:10" x14ac:dyDescent="0.25">
      <c r="A631" t="s">
        <v>7355</v>
      </c>
      <c r="B631">
        <f>42157.5219009714*(1/100/100)</f>
        <v>4.21575219009714</v>
      </c>
      <c r="C631">
        <v>7355</v>
      </c>
      <c r="D631" t="s">
        <v>3283</v>
      </c>
      <c r="E631">
        <v>30913</v>
      </c>
      <c r="F631" t="s">
        <v>597</v>
      </c>
      <c r="G631">
        <v>309</v>
      </c>
      <c r="H631" t="s">
        <v>58</v>
      </c>
      <c r="I631">
        <v>3</v>
      </c>
      <c r="J631" t="s">
        <v>50</v>
      </c>
    </row>
    <row r="632" spans="1:10" x14ac:dyDescent="0.25">
      <c r="A632" t="s">
        <v>7355</v>
      </c>
      <c r="B632">
        <f>11945.7329235851*(1/100/100)</f>
        <v>1.19457329235851</v>
      </c>
      <c r="C632">
        <v>7357</v>
      </c>
      <c r="D632" t="s">
        <v>3279</v>
      </c>
      <c r="E632">
        <v>30912</v>
      </c>
      <c r="F632" t="s">
        <v>596</v>
      </c>
      <c r="G632">
        <v>309</v>
      </c>
      <c r="H632" t="s">
        <v>58</v>
      </c>
      <c r="I632">
        <v>3</v>
      </c>
      <c r="J632" t="s">
        <v>50</v>
      </c>
    </row>
    <row r="633" spans="1:10" x14ac:dyDescent="0.25">
      <c r="A633" t="s">
        <v>7355</v>
      </c>
      <c r="B633">
        <f>44793.1210563281*(1/100/100)</f>
        <v>4.4793121056328102</v>
      </c>
      <c r="C633">
        <v>9001</v>
      </c>
      <c r="D633" t="s">
        <v>3386</v>
      </c>
      <c r="E633">
        <v>31022</v>
      </c>
      <c r="F633" t="s">
        <v>59</v>
      </c>
      <c r="G633">
        <v>310</v>
      </c>
      <c r="H633" t="s">
        <v>59</v>
      </c>
      <c r="I633">
        <v>3</v>
      </c>
      <c r="J633" t="s">
        <v>50</v>
      </c>
    </row>
    <row r="634" spans="1:10" x14ac:dyDescent="0.25">
      <c r="A634" t="s">
        <v>7355</v>
      </c>
      <c r="B634">
        <f>15256.0953376584*(1/100/100)</f>
        <v>1.5256095337658402</v>
      </c>
      <c r="C634">
        <v>9002</v>
      </c>
      <c r="D634" t="s">
        <v>3454</v>
      </c>
      <c r="E634">
        <v>31051</v>
      </c>
      <c r="F634" t="s">
        <v>629</v>
      </c>
      <c r="G634">
        <v>310</v>
      </c>
      <c r="H634" t="s">
        <v>59</v>
      </c>
      <c r="I634">
        <v>3</v>
      </c>
      <c r="J634" t="s">
        <v>50</v>
      </c>
    </row>
    <row r="635" spans="1:10" x14ac:dyDescent="0.25">
      <c r="A635" t="s">
        <v>7355</v>
      </c>
      <c r="B635">
        <f>88967.6443800668*(1/100/100)</f>
        <v>8.8967644380066808</v>
      </c>
      <c r="C635">
        <v>9003</v>
      </c>
      <c r="D635" t="s">
        <v>3387</v>
      </c>
      <c r="E635">
        <v>31022</v>
      </c>
      <c r="F635" t="s">
        <v>59</v>
      </c>
      <c r="G635">
        <v>310</v>
      </c>
      <c r="H635" t="s">
        <v>59</v>
      </c>
      <c r="I635">
        <v>3</v>
      </c>
      <c r="J635" t="s">
        <v>50</v>
      </c>
    </row>
    <row r="636" spans="1:10" x14ac:dyDescent="0.25">
      <c r="A636" t="s">
        <v>7355</v>
      </c>
      <c r="B636">
        <f>49937.0047638154*(1/100/100)</f>
        <v>4.99370047638154</v>
      </c>
      <c r="C636">
        <v>9004</v>
      </c>
      <c r="D636" t="s">
        <v>3346</v>
      </c>
      <c r="E636">
        <v>31008</v>
      </c>
      <c r="F636" t="s">
        <v>610</v>
      </c>
      <c r="G636">
        <v>310</v>
      </c>
      <c r="H636" t="s">
        <v>59</v>
      </c>
      <c r="I636">
        <v>3</v>
      </c>
      <c r="J636" t="s">
        <v>50</v>
      </c>
    </row>
    <row r="637" spans="1:10" x14ac:dyDescent="0.25">
      <c r="A637" t="s">
        <v>7355</v>
      </c>
      <c r="B637">
        <f>57137.8109856017*(1/100/100)</f>
        <v>5.7137810985601707</v>
      </c>
      <c r="C637">
        <v>9005</v>
      </c>
      <c r="D637" t="s">
        <v>3445</v>
      </c>
      <c r="E637">
        <v>31043</v>
      </c>
      <c r="F637" t="s">
        <v>628</v>
      </c>
      <c r="G637">
        <v>310</v>
      </c>
      <c r="H637" t="s">
        <v>59</v>
      </c>
      <c r="I637">
        <v>3</v>
      </c>
      <c r="J637" t="s">
        <v>50</v>
      </c>
    </row>
    <row r="638" spans="1:10" x14ac:dyDescent="0.25">
      <c r="A638" t="s">
        <v>7355</v>
      </c>
      <c r="B638">
        <f>105811.327228175*(1/100/100)</f>
        <v>10.5811327228175</v>
      </c>
      <c r="C638">
        <v>9006</v>
      </c>
      <c r="D638" t="s">
        <v>3388</v>
      </c>
      <c r="E638">
        <v>31022</v>
      </c>
      <c r="F638" t="s">
        <v>59</v>
      </c>
      <c r="G638">
        <v>310</v>
      </c>
      <c r="H638" t="s">
        <v>59</v>
      </c>
      <c r="I638">
        <v>3</v>
      </c>
      <c r="J638" t="s">
        <v>50</v>
      </c>
    </row>
    <row r="639" spans="1:10" x14ac:dyDescent="0.25">
      <c r="A639" t="s">
        <v>7355</v>
      </c>
      <c r="B639">
        <f>39147.4862753081*(1/100/100)</f>
        <v>3.9147486275308103</v>
      </c>
      <c r="C639">
        <v>9007</v>
      </c>
      <c r="D639" t="s">
        <v>3389</v>
      </c>
      <c r="E639">
        <v>31022</v>
      </c>
      <c r="F639" t="s">
        <v>59</v>
      </c>
      <c r="G639">
        <v>310</v>
      </c>
      <c r="H639" t="s">
        <v>59</v>
      </c>
      <c r="I639">
        <v>3</v>
      </c>
      <c r="J639" t="s">
        <v>50</v>
      </c>
    </row>
    <row r="640" spans="1:10" x14ac:dyDescent="0.25">
      <c r="A640" t="s">
        <v>7355</v>
      </c>
      <c r="B640">
        <f>63248.1441983436*(1/100/100)</f>
        <v>6.3248144198343601</v>
      </c>
      <c r="C640">
        <v>9008</v>
      </c>
      <c r="D640" t="s">
        <v>3414</v>
      </c>
      <c r="E640">
        <v>31028</v>
      </c>
      <c r="F640" t="s">
        <v>620</v>
      </c>
      <c r="G640">
        <v>310</v>
      </c>
      <c r="H640" t="s">
        <v>59</v>
      </c>
      <c r="I640">
        <v>3</v>
      </c>
      <c r="J640" t="s">
        <v>50</v>
      </c>
    </row>
    <row r="641" spans="1:10" x14ac:dyDescent="0.25">
      <c r="A641" t="s">
        <v>7355</v>
      </c>
      <c r="B641">
        <f>38213.019330835*(1/100/100)</f>
        <v>3.8213019330835003</v>
      </c>
      <c r="C641">
        <v>9009</v>
      </c>
      <c r="D641" t="s">
        <v>3390</v>
      </c>
      <c r="E641">
        <v>31022</v>
      </c>
      <c r="F641" t="s">
        <v>59</v>
      </c>
      <c r="G641">
        <v>310</v>
      </c>
      <c r="H641" t="s">
        <v>59</v>
      </c>
      <c r="I641">
        <v>3</v>
      </c>
      <c r="J641" t="s">
        <v>50</v>
      </c>
    </row>
    <row r="642" spans="1:10" x14ac:dyDescent="0.25">
      <c r="A642" t="s">
        <v>7355</v>
      </c>
      <c r="B642">
        <f>36973.6056246211*(1/100/100)</f>
        <v>3.6973605624621104</v>
      </c>
      <c r="C642">
        <v>9010</v>
      </c>
      <c r="D642" t="s">
        <v>3347</v>
      </c>
      <c r="E642">
        <v>31008</v>
      </c>
      <c r="F642" t="s">
        <v>610</v>
      </c>
      <c r="G642">
        <v>310</v>
      </c>
      <c r="H642" t="s">
        <v>59</v>
      </c>
      <c r="I642">
        <v>3</v>
      </c>
      <c r="J642" t="s">
        <v>50</v>
      </c>
    </row>
    <row r="643" spans="1:10" x14ac:dyDescent="0.25">
      <c r="A643" t="s">
        <v>7355</v>
      </c>
      <c r="B643">
        <f>58611.3762844196*(1/100/100)</f>
        <v>5.861137628441961</v>
      </c>
      <c r="C643">
        <v>9011</v>
      </c>
      <c r="D643" t="s">
        <v>3391</v>
      </c>
      <c r="E643">
        <v>31022</v>
      </c>
      <c r="F643" t="s">
        <v>59</v>
      </c>
      <c r="G643">
        <v>310</v>
      </c>
      <c r="H643" t="s">
        <v>59</v>
      </c>
      <c r="I643">
        <v>3</v>
      </c>
      <c r="J643" t="s">
        <v>50</v>
      </c>
    </row>
    <row r="644" spans="1:10" x14ac:dyDescent="0.25">
      <c r="A644" t="s">
        <v>7355</v>
      </c>
      <c r="B644">
        <f>78593.7340993446*(1/100/100)</f>
        <v>7.8593734099344603</v>
      </c>
      <c r="C644">
        <v>9013</v>
      </c>
      <c r="D644" t="s">
        <v>3392</v>
      </c>
      <c r="E644">
        <v>31022</v>
      </c>
      <c r="F644" t="s">
        <v>59</v>
      </c>
      <c r="G644">
        <v>310</v>
      </c>
      <c r="H644" t="s">
        <v>59</v>
      </c>
      <c r="I644">
        <v>3</v>
      </c>
      <c r="J644" t="s">
        <v>50</v>
      </c>
    </row>
    <row r="645" spans="1:10" x14ac:dyDescent="0.25">
      <c r="A645" t="s">
        <v>7355</v>
      </c>
      <c r="B645">
        <f>18641.2229047043*(1/100/100)</f>
        <v>1.8641222904704302</v>
      </c>
      <c r="C645">
        <v>9014</v>
      </c>
      <c r="D645" t="s">
        <v>3112</v>
      </c>
      <c r="E645">
        <v>31008</v>
      </c>
      <c r="F645" t="s">
        <v>610</v>
      </c>
      <c r="G645">
        <v>310</v>
      </c>
      <c r="H645" t="s">
        <v>59</v>
      </c>
      <c r="I645">
        <v>3</v>
      </c>
      <c r="J645" t="s">
        <v>50</v>
      </c>
    </row>
    <row r="646" spans="1:10" x14ac:dyDescent="0.25">
      <c r="A646" t="s">
        <v>7355</v>
      </c>
      <c r="B646">
        <f>19.1032366030619*(1/100/100)</f>
        <v>1.9103236603061902E-3</v>
      </c>
      <c r="C646">
        <v>9015</v>
      </c>
      <c r="D646" t="s">
        <v>3393</v>
      </c>
      <c r="E646">
        <v>31022</v>
      </c>
      <c r="F646" t="s">
        <v>59</v>
      </c>
      <c r="G646">
        <v>310</v>
      </c>
      <c r="H646" t="s">
        <v>59</v>
      </c>
      <c r="I646">
        <v>3</v>
      </c>
      <c r="J646" t="s">
        <v>50</v>
      </c>
    </row>
    <row r="647" spans="1:10" x14ac:dyDescent="0.25">
      <c r="A647" t="s">
        <v>7355</v>
      </c>
      <c r="B647">
        <f>71101.403498648*(1/100/100)</f>
        <v>7.1101403498647997</v>
      </c>
      <c r="C647">
        <v>9016</v>
      </c>
      <c r="D647" t="s">
        <v>3446</v>
      </c>
      <c r="E647">
        <v>31043</v>
      </c>
      <c r="F647" t="s">
        <v>628</v>
      </c>
      <c r="G647">
        <v>310</v>
      </c>
      <c r="H647" t="s">
        <v>59</v>
      </c>
      <c r="I647">
        <v>3</v>
      </c>
      <c r="J647" t="s">
        <v>50</v>
      </c>
    </row>
    <row r="648" spans="1:10" x14ac:dyDescent="0.25">
      <c r="A648" t="s">
        <v>7355</v>
      </c>
      <c r="B648">
        <f>176042.785706942*(1/100/100)</f>
        <v>17.604278570694202</v>
      </c>
      <c r="C648">
        <v>9017</v>
      </c>
      <c r="D648" t="s">
        <v>610</v>
      </c>
      <c r="E648">
        <v>31008</v>
      </c>
      <c r="F648" t="s">
        <v>610</v>
      </c>
      <c r="G648">
        <v>310</v>
      </c>
      <c r="H648" t="s">
        <v>59</v>
      </c>
      <c r="I648">
        <v>3</v>
      </c>
      <c r="J648" t="s">
        <v>50</v>
      </c>
    </row>
    <row r="649" spans="1:10" x14ac:dyDescent="0.25">
      <c r="A649" t="s">
        <v>7355</v>
      </c>
      <c r="B649">
        <f>69170.5998846103*(1/100/100)</f>
        <v>6.9170599884610304</v>
      </c>
      <c r="C649">
        <v>9018</v>
      </c>
      <c r="D649" t="s">
        <v>3357</v>
      </c>
      <c r="E649">
        <v>31009</v>
      </c>
      <c r="F649" t="s">
        <v>611</v>
      </c>
      <c r="G649">
        <v>310</v>
      </c>
      <c r="H649" t="s">
        <v>59</v>
      </c>
      <c r="I649">
        <v>3</v>
      </c>
      <c r="J649" t="s">
        <v>50</v>
      </c>
    </row>
    <row r="650" spans="1:10" x14ac:dyDescent="0.25">
      <c r="A650" t="s">
        <v>7355</v>
      </c>
      <c r="B650">
        <f>37535.804476251*(1/100/100)</f>
        <v>3.7535804476251005</v>
      </c>
      <c r="C650">
        <v>9019</v>
      </c>
      <c r="D650" t="s">
        <v>3358</v>
      </c>
      <c r="E650">
        <v>31009</v>
      </c>
      <c r="F650" t="s">
        <v>611</v>
      </c>
      <c r="G650">
        <v>310</v>
      </c>
      <c r="H650" t="s">
        <v>59</v>
      </c>
      <c r="I650">
        <v>3</v>
      </c>
      <c r="J650" t="s">
        <v>50</v>
      </c>
    </row>
    <row r="651" spans="1:10" x14ac:dyDescent="0.25">
      <c r="A651" t="s">
        <v>7355</v>
      </c>
      <c r="B651">
        <f>37775.5236004915*(1/100/100)</f>
        <v>3.7775523600491501</v>
      </c>
      <c r="C651">
        <v>9020</v>
      </c>
      <c r="D651" t="s">
        <v>3394</v>
      </c>
      <c r="E651">
        <v>31022</v>
      </c>
      <c r="F651" t="s">
        <v>59</v>
      </c>
      <c r="G651">
        <v>310</v>
      </c>
      <c r="H651" t="s">
        <v>59</v>
      </c>
      <c r="I651">
        <v>3</v>
      </c>
      <c r="J651" t="s">
        <v>50</v>
      </c>
    </row>
    <row r="652" spans="1:10" x14ac:dyDescent="0.25">
      <c r="A652" t="s">
        <v>7355</v>
      </c>
      <c r="B652">
        <f>27920.7709634462*(1/100/100)</f>
        <v>2.7920770963446202</v>
      </c>
      <c r="C652">
        <v>9021</v>
      </c>
      <c r="D652" t="s">
        <v>3348</v>
      </c>
      <c r="E652">
        <v>31008</v>
      </c>
      <c r="F652" t="s">
        <v>610</v>
      </c>
      <c r="G652">
        <v>310</v>
      </c>
      <c r="H652" t="s">
        <v>59</v>
      </c>
      <c r="I652">
        <v>3</v>
      </c>
      <c r="J652" t="s">
        <v>50</v>
      </c>
    </row>
    <row r="653" spans="1:10" x14ac:dyDescent="0.25">
      <c r="A653" t="s">
        <v>7355</v>
      </c>
      <c r="B653">
        <f>35590.0573848464*(1/100/100)</f>
        <v>3.5590057384846401</v>
      </c>
      <c r="C653">
        <v>9022</v>
      </c>
      <c r="D653" t="s">
        <v>3349</v>
      </c>
      <c r="E653">
        <v>31008</v>
      </c>
      <c r="F653" t="s">
        <v>610</v>
      </c>
      <c r="G653">
        <v>310</v>
      </c>
      <c r="H653" t="s">
        <v>59</v>
      </c>
      <c r="I653">
        <v>3</v>
      </c>
      <c r="J653" t="s">
        <v>50</v>
      </c>
    </row>
    <row r="654" spans="1:10" x14ac:dyDescent="0.25">
      <c r="A654" t="s">
        <v>7355</v>
      </c>
      <c r="B654">
        <f>106858.563007531*(1/100/100)</f>
        <v>10.6858563007531</v>
      </c>
      <c r="C654">
        <v>9023</v>
      </c>
      <c r="D654" t="s">
        <v>3455</v>
      </c>
      <c r="E654">
        <v>31051</v>
      </c>
      <c r="F654" t="s">
        <v>629</v>
      </c>
      <c r="G654">
        <v>310</v>
      </c>
      <c r="H654" t="s">
        <v>59</v>
      </c>
      <c r="I654">
        <v>3</v>
      </c>
      <c r="J654" t="s">
        <v>50</v>
      </c>
    </row>
    <row r="655" spans="1:10" x14ac:dyDescent="0.25">
      <c r="A655" t="s">
        <v>7355</v>
      </c>
      <c r="B655">
        <f>159333.448459511*(1/100/100)</f>
        <v>15.933344845951101</v>
      </c>
      <c r="C655">
        <v>9024</v>
      </c>
      <c r="D655" t="s">
        <v>612</v>
      </c>
      <c r="E655">
        <v>31014</v>
      </c>
      <c r="F655" t="s">
        <v>612</v>
      </c>
      <c r="G655">
        <v>310</v>
      </c>
      <c r="H655" t="s">
        <v>59</v>
      </c>
      <c r="I655">
        <v>3</v>
      </c>
      <c r="J655" t="s">
        <v>50</v>
      </c>
    </row>
    <row r="656" spans="1:10" x14ac:dyDescent="0.25">
      <c r="A656" t="s">
        <v>7355</v>
      </c>
      <c r="B656">
        <f>23139.3332658656*(1/100/100)</f>
        <v>2.31393332658656</v>
      </c>
      <c r="C656">
        <v>9025</v>
      </c>
      <c r="D656" t="s">
        <v>2630</v>
      </c>
      <c r="E656">
        <v>31051</v>
      </c>
      <c r="F656" t="s">
        <v>629</v>
      </c>
      <c r="G656">
        <v>310</v>
      </c>
      <c r="H656" t="s">
        <v>59</v>
      </c>
      <c r="I656">
        <v>3</v>
      </c>
      <c r="J656" t="s">
        <v>50</v>
      </c>
    </row>
    <row r="657" spans="1:10" x14ac:dyDescent="0.25">
      <c r="A657" t="s">
        <v>7355</v>
      </c>
      <c r="B657">
        <f>35512.1606390223*(1/100/100)</f>
        <v>3.5512160639022303</v>
      </c>
      <c r="C657">
        <v>9026</v>
      </c>
      <c r="D657" t="s">
        <v>3415</v>
      </c>
      <c r="E657">
        <v>31028</v>
      </c>
      <c r="F657" t="s">
        <v>620</v>
      </c>
      <c r="G657">
        <v>310</v>
      </c>
      <c r="H657" t="s">
        <v>59</v>
      </c>
      <c r="I657">
        <v>3</v>
      </c>
      <c r="J657" t="s">
        <v>50</v>
      </c>
    </row>
    <row r="658" spans="1:10" x14ac:dyDescent="0.25">
      <c r="A658" t="s">
        <v>7355</v>
      </c>
      <c r="B658">
        <f>39571.7877616308*(1/100/100)</f>
        <v>3.9571787761630803</v>
      </c>
      <c r="C658">
        <v>9027</v>
      </c>
      <c r="D658" t="s">
        <v>3456</v>
      </c>
      <c r="E658">
        <v>31051</v>
      </c>
      <c r="F658" t="s">
        <v>629</v>
      </c>
      <c r="G658">
        <v>310</v>
      </c>
      <c r="H658" t="s">
        <v>59</v>
      </c>
      <c r="I658">
        <v>3</v>
      </c>
      <c r="J658" t="s">
        <v>50</v>
      </c>
    </row>
    <row r="659" spans="1:10" x14ac:dyDescent="0.25">
      <c r="A659" t="s">
        <v>7355</v>
      </c>
      <c r="B659">
        <f>721948.568302319*(1/100/100)</f>
        <v>72.194856830231913</v>
      </c>
      <c r="C659">
        <v>9028</v>
      </c>
      <c r="D659" t="s">
        <v>59</v>
      </c>
      <c r="E659">
        <v>31022</v>
      </c>
      <c r="F659" t="s">
        <v>59</v>
      </c>
      <c r="G659">
        <v>310</v>
      </c>
      <c r="H659" t="s">
        <v>59</v>
      </c>
      <c r="I659">
        <v>3</v>
      </c>
      <c r="J659" t="s">
        <v>50</v>
      </c>
    </row>
    <row r="660" spans="1:10" x14ac:dyDescent="0.25">
      <c r="A660" t="s">
        <v>7355</v>
      </c>
      <c r="B660">
        <f>100673.435612419*(1/100/100)</f>
        <v>10.0673435612419</v>
      </c>
      <c r="C660">
        <v>9029</v>
      </c>
      <c r="D660" t="s">
        <v>3457</v>
      </c>
      <c r="E660">
        <v>31051</v>
      </c>
      <c r="F660" t="s">
        <v>629</v>
      </c>
      <c r="G660">
        <v>310</v>
      </c>
      <c r="H660" t="s">
        <v>59</v>
      </c>
      <c r="I660">
        <v>3</v>
      </c>
      <c r="J660" t="s">
        <v>50</v>
      </c>
    </row>
    <row r="661" spans="1:10" x14ac:dyDescent="0.25">
      <c r="A661" t="s">
        <v>7355</v>
      </c>
      <c r="B661">
        <f>21577.7436192074*(1/100/100)</f>
        <v>2.1577743619207399</v>
      </c>
      <c r="C661">
        <v>9030</v>
      </c>
      <c r="D661" t="s">
        <v>3395</v>
      </c>
      <c r="E661">
        <v>31022</v>
      </c>
      <c r="F661" t="s">
        <v>59</v>
      </c>
      <c r="G661">
        <v>310</v>
      </c>
      <c r="H661" t="s">
        <v>59</v>
      </c>
      <c r="I661">
        <v>3</v>
      </c>
      <c r="J661" t="s">
        <v>50</v>
      </c>
    </row>
    <row r="662" spans="1:10" x14ac:dyDescent="0.25">
      <c r="A662" t="s">
        <v>7355</v>
      </c>
      <c r="B662">
        <f>63748.9226163094*(1/100/100)</f>
        <v>6.37489226163094</v>
      </c>
      <c r="C662">
        <v>9031</v>
      </c>
      <c r="D662" t="s">
        <v>3458</v>
      </c>
      <c r="E662">
        <v>31051</v>
      </c>
      <c r="F662" t="s">
        <v>629</v>
      </c>
      <c r="G662">
        <v>310</v>
      </c>
      <c r="H662" t="s">
        <v>59</v>
      </c>
      <c r="I662">
        <v>3</v>
      </c>
      <c r="J662" t="s">
        <v>50</v>
      </c>
    </row>
    <row r="663" spans="1:10" x14ac:dyDescent="0.25">
      <c r="A663" t="s">
        <v>7355</v>
      </c>
      <c r="B663">
        <f>90681.2354804943*(1/100/100)</f>
        <v>9.0681235480494315</v>
      </c>
      <c r="C663">
        <v>9032</v>
      </c>
      <c r="D663" t="s">
        <v>3416</v>
      </c>
      <c r="E663">
        <v>31028</v>
      </c>
      <c r="F663" t="s">
        <v>620</v>
      </c>
      <c r="G663">
        <v>310</v>
      </c>
      <c r="H663" t="s">
        <v>59</v>
      </c>
      <c r="I663">
        <v>3</v>
      </c>
      <c r="J663" t="s">
        <v>50</v>
      </c>
    </row>
    <row r="664" spans="1:10" x14ac:dyDescent="0.25">
      <c r="A664" t="s">
        <v>7355</v>
      </c>
      <c r="B664">
        <f>13208.2243563247*(1/100/100)</f>
        <v>1.32082243563247</v>
      </c>
      <c r="C664">
        <v>9033</v>
      </c>
      <c r="D664" t="s">
        <v>3447</v>
      </c>
      <c r="E664">
        <v>31043</v>
      </c>
      <c r="F664" t="s">
        <v>628</v>
      </c>
      <c r="G664">
        <v>310</v>
      </c>
      <c r="H664" t="s">
        <v>59</v>
      </c>
      <c r="I664">
        <v>3</v>
      </c>
      <c r="J664" t="s">
        <v>50</v>
      </c>
    </row>
    <row r="665" spans="1:10" x14ac:dyDescent="0.25">
      <c r="A665" t="s">
        <v>7355</v>
      </c>
      <c r="B665">
        <f>19809.5370412187*(1/100/100)</f>
        <v>1.9809537041218701</v>
      </c>
      <c r="C665">
        <v>9034</v>
      </c>
      <c r="D665" t="s">
        <v>3396</v>
      </c>
      <c r="E665">
        <v>31022</v>
      </c>
      <c r="F665" t="s">
        <v>59</v>
      </c>
      <c r="G665">
        <v>310</v>
      </c>
      <c r="H665" t="s">
        <v>59</v>
      </c>
      <c r="I665">
        <v>3</v>
      </c>
      <c r="J665" t="s">
        <v>50</v>
      </c>
    </row>
    <row r="666" spans="1:10" x14ac:dyDescent="0.25">
      <c r="A666" t="s">
        <v>7355</v>
      </c>
      <c r="B666">
        <f>50229.3092955859*(1/100/100)</f>
        <v>5.0229309295585907</v>
      </c>
      <c r="C666">
        <v>9035</v>
      </c>
      <c r="D666" t="s">
        <v>3397</v>
      </c>
      <c r="E666">
        <v>31022</v>
      </c>
      <c r="F666" t="s">
        <v>59</v>
      </c>
      <c r="G666">
        <v>310</v>
      </c>
      <c r="H666" t="s">
        <v>59</v>
      </c>
      <c r="I666">
        <v>3</v>
      </c>
      <c r="J666" t="s">
        <v>50</v>
      </c>
    </row>
    <row r="667" spans="1:10" x14ac:dyDescent="0.25">
      <c r="A667" t="s">
        <v>7355</v>
      </c>
      <c r="B667">
        <f>27607.3083781831*(1/100/100)</f>
        <v>2.7607308378183104</v>
      </c>
      <c r="C667">
        <v>9036</v>
      </c>
      <c r="D667" t="s">
        <v>3398</v>
      </c>
      <c r="E667">
        <v>31022</v>
      </c>
      <c r="F667" t="s">
        <v>59</v>
      </c>
      <c r="G667">
        <v>310</v>
      </c>
      <c r="H667" t="s">
        <v>59</v>
      </c>
      <c r="I667">
        <v>3</v>
      </c>
      <c r="J667" t="s">
        <v>50</v>
      </c>
    </row>
    <row r="668" spans="1:10" x14ac:dyDescent="0.25">
      <c r="A668" t="s">
        <v>7355</v>
      </c>
      <c r="B668">
        <f>78382.7482262993*(1/100/100)</f>
        <v>7.8382748226299306</v>
      </c>
      <c r="C668">
        <v>9037</v>
      </c>
      <c r="D668" t="s">
        <v>3417</v>
      </c>
      <c r="E668">
        <v>31028</v>
      </c>
      <c r="F668" t="s">
        <v>620</v>
      </c>
      <c r="G668">
        <v>310</v>
      </c>
      <c r="H668" t="s">
        <v>59</v>
      </c>
      <c r="I668">
        <v>3</v>
      </c>
      <c r="J668" t="s">
        <v>50</v>
      </c>
    </row>
    <row r="669" spans="1:10" x14ac:dyDescent="0.25">
      <c r="A669" t="s">
        <v>7355</v>
      </c>
      <c r="B669">
        <f>93149.8149602253*(1/100/100)</f>
        <v>9.3149814960225292</v>
      </c>
      <c r="C669">
        <v>9038</v>
      </c>
      <c r="D669" t="s">
        <v>3361</v>
      </c>
      <c r="E669">
        <v>31014</v>
      </c>
      <c r="F669" t="s">
        <v>612</v>
      </c>
      <c r="G669">
        <v>310</v>
      </c>
      <c r="H669" t="s">
        <v>59</v>
      </c>
      <c r="I669">
        <v>3</v>
      </c>
      <c r="J669" t="s">
        <v>50</v>
      </c>
    </row>
    <row r="670" spans="1:10" x14ac:dyDescent="0.25">
      <c r="A670" t="s">
        <v>7355</v>
      </c>
      <c r="B670">
        <f>28397.8810601213*(1/100/100)</f>
        <v>2.8397881060121302</v>
      </c>
      <c r="C670">
        <v>9039</v>
      </c>
      <c r="D670" t="s">
        <v>3350</v>
      </c>
      <c r="E670">
        <v>31008</v>
      </c>
      <c r="F670" t="s">
        <v>610</v>
      </c>
      <c r="G670">
        <v>310</v>
      </c>
      <c r="H670" t="s">
        <v>59</v>
      </c>
      <c r="I670">
        <v>3</v>
      </c>
      <c r="J670" t="s">
        <v>50</v>
      </c>
    </row>
    <row r="671" spans="1:10" x14ac:dyDescent="0.25">
      <c r="A671" t="s">
        <v>7355</v>
      </c>
      <c r="B671">
        <f>24678.3592422184*(1/100/100)</f>
        <v>2.4678359242218404</v>
      </c>
      <c r="C671">
        <v>9040</v>
      </c>
      <c r="D671" t="s">
        <v>3351</v>
      </c>
      <c r="E671">
        <v>31008</v>
      </c>
      <c r="F671" t="s">
        <v>610</v>
      </c>
      <c r="G671">
        <v>310</v>
      </c>
      <c r="H671" t="s">
        <v>59</v>
      </c>
      <c r="I671">
        <v>3</v>
      </c>
      <c r="J671" t="s">
        <v>50</v>
      </c>
    </row>
    <row r="672" spans="1:10" x14ac:dyDescent="0.25">
      <c r="A672" t="s">
        <v>7355</v>
      </c>
      <c r="B672">
        <f>15985.6218506056*(1/100/100)</f>
        <v>1.59856218506056</v>
      </c>
      <c r="C672">
        <v>9041</v>
      </c>
      <c r="D672" t="s">
        <v>3448</v>
      </c>
      <c r="E672">
        <v>31043</v>
      </c>
      <c r="F672" t="s">
        <v>628</v>
      </c>
      <c r="G672">
        <v>310</v>
      </c>
      <c r="H672" t="s">
        <v>59</v>
      </c>
      <c r="I672">
        <v>3</v>
      </c>
      <c r="J672" t="s">
        <v>50</v>
      </c>
    </row>
    <row r="673" spans="1:10" x14ac:dyDescent="0.25">
      <c r="A673" t="s">
        <v>7355</v>
      </c>
      <c r="B673">
        <f>34701.1227523356*(1/100/100)</f>
        <v>3.4701122752335603</v>
      </c>
      <c r="C673">
        <v>9042</v>
      </c>
      <c r="D673" t="s">
        <v>2682</v>
      </c>
      <c r="E673">
        <v>31022</v>
      </c>
      <c r="F673" t="s">
        <v>59</v>
      </c>
      <c r="G673">
        <v>310</v>
      </c>
      <c r="H673" t="s">
        <v>59</v>
      </c>
      <c r="I673">
        <v>3</v>
      </c>
      <c r="J673" t="s">
        <v>50</v>
      </c>
    </row>
    <row r="674" spans="1:10" x14ac:dyDescent="0.25">
      <c r="A674" t="s">
        <v>7355</v>
      </c>
      <c r="B674">
        <f>6038.99400316514*(1/100/100)</f>
        <v>0.60389940031651401</v>
      </c>
      <c r="C674">
        <v>9043</v>
      </c>
      <c r="D674" t="s">
        <v>3459</v>
      </c>
      <c r="E674">
        <v>31051</v>
      </c>
      <c r="F674" t="s">
        <v>629</v>
      </c>
      <c r="G674">
        <v>310</v>
      </c>
      <c r="H674" t="s">
        <v>59</v>
      </c>
      <c r="I674">
        <v>3</v>
      </c>
      <c r="J674" t="s">
        <v>50</v>
      </c>
    </row>
    <row r="675" spans="1:10" x14ac:dyDescent="0.25">
      <c r="A675" t="s">
        <v>7355</v>
      </c>
      <c r="B675">
        <f>41365.2101216655*(1/100/100)</f>
        <v>4.1365210121665505</v>
      </c>
      <c r="C675">
        <v>9044</v>
      </c>
      <c r="D675" t="s">
        <v>3399</v>
      </c>
      <c r="E675">
        <v>31022</v>
      </c>
      <c r="F675" t="s">
        <v>59</v>
      </c>
      <c r="G675">
        <v>310</v>
      </c>
      <c r="H675" t="s">
        <v>59</v>
      </c>
      <c r="I675">
        <v>3</v>
      </c>
      <c r="J675" t="s">
        <v>50</v>
      </c>
    </row>
    <row r="676" spans="1:10" x14ac:dyDescent="0.25">
      <c r="A676" t="s">
        <v>7355</v>
      </c>
      <c r="B676">
        <f>27912.8227774988*(1/100/100)</f>
        <v>2.7912822777498802</v>
      </c>
      <c r="C676">
        <v>9045</v>
      </c>
      <c r="D676" t="s">
        <v>3460</v>
      </c>
      <c r="E676">
        <v>31051</v>
      </c>
      <c r="F676" t="s">
        <v>629</v>
      </c>
      <c r="G676">
        <v>310</v>
      </c>
      <c r="H676" t="s">
        <v>59</v>
      </c>
      <c r="I676">
        <v>3</v>
      </c>
      <c r="J676" t="s">
        <v>50</v>
      </c>
    </row>
    <row r="677" spans="1:10" x14ac:dyDescent="0.25">
      <c r="A677" t="s">
        <v>7355</v>
      </c>
      <c r="B677">
        <f>84189.8279142842*(1/100/100)</f>
        <v>8.4189827914284194</v>
      </c>
      <c r="C677">
        <v>9046</v>
      </c>
      <c r="D677" t="s">
        <v>3449</v>
      </c>
      <c r="E677">
        <v>31043</v>
      </c>
      <c r="F677" t="s">
        <v>628</v>
      </c>
      <c r="G677">
        <v>310</v>
      </c>
      <c r="H677" t="s">
        <v>59</v>
      </c>
      <c r="I677">
        <v>3</v>
      </c>
      <c r="J677" t="s">
        <v>50</v>
      </c>
    </row>
    <row r="678" spans="1:10" x14ac:dyDescent="0.25">
      <c r="A678" t="s">
        <v>7355</v>
      </c>
      <c r="B678">
        <f>41558.5586428552*(1/100/100)</f>
        <v>4.1558558642855203</v>
      </c>
      <c r="C678">
        <v>9047</v>
      </c>
      <c r="D678" t="s">
        <v>3461</v>
      </c>
      <c r="E678">
        <v>31051</v>
      </c>
      <c r="F678" t="s">
        <v>629</v>
      </c>
      <c r="G678">
        <v>310</v>
      </c>
      <c r="H678" t="s">
        <v>59</v>
      </c>
      <c r="I678">
        <v>3</v>
      </c>
      <c r="J678" t="s">
        <v>50</v>
      </c>
    </row>
    <row r="679" spans="1:10" x14ac:dyDescent="0.25">
      <c r="A679" t="s">
        <v>7355</v>
      </c>
      <c r="B679">
        <f>13170.3158449043*(1/100/100)</f>
        <v>1.3170315844904301</v>
      </c>
      <c r="C679">
        <v>9048</v>
      </c>
      <c r="D679" t="s">
        <v>3352</v>
      </c>
      <c r="E679">
        <v>31008</v>
      </c>
      <c r="F679" t="s">
        <v>610</v>
      </c>
      <c r="G679">
        <v>310</v>
      </c>
      <c r="H679" t="s">
        <v>59</v>
      </c>
      <c r="I679">
        <v>3</v>
      </c>
      <c r="J679" t="s">
        <v>50</v>
      </c>
    </row>
    <row r="680" spans="1:10" x14ac:dyDescent="0.25">
      <c r="A680" t="s">
        <v>7355</v>
      </c>
      <c r="B680">
        <f>125201.694011686*(1/100/100)</f>
        <v>12.520169401168602</v>
      </c>
      <c r="C680">
        <v>9049</v>
      </c>
      <c r="D680" t="s">
        <v>3359</v>
      </c>
      <c r="E680">
        <v>31009</v>
      </c>
      <c r="F680" t="s">
        <v>611</v>
      </c>
      <c r="G680">
        <v>310</v>
      </c>
      <c r="H680" t="s">
        <v>59</v>
      </c>
      <c r="I680">
        <v>3</v>
      </c>
      <c r="J680" t="s">
        <v>50</v>
      </c>
    </row>
    <row r="681" spans="1:10" x14ac:dyDescent="0.25">
      <c r="A681" t="s">
        <v>7355</v>
      </c>
      <c r="B681">
        <f>16028.2139152345*(1/100/100)</f>
        <v>1.6028213915234502</v>
      </c>
      <c r="C681">
        <v>9051</v>
      </c>
      <c r="D681" t="s">
        <v>3418</v>
      </c>
      <c r="E681">
        <v>31028</v>
      </c>
      <c r="F681" t="s">
        <v>620</v>
      </c>
      <c r="G681">
        <v>310</v>
      </c>
      <c r="H681" t="s">
        <v>59</v>
      </c>
      <c r="I681">
        <v>3</v>
      </c>
      <c r="J681" t="s">
        <v>50</v>
      </c>
    </row>
    <row r="682" spans="1:10" x14ac:dyDescent="0.25">
      <c r="A682" t="s">
        <v>7355</v>
      </c>
      <c r="B682">
        <f>137228.525212882*(1/100/100)</f>
        <v>13.7228525212882</v>
      </c>
      <c r="C682">
        <v>9052</v>
      </c>
      <c r="D682" t="s">
        <v>3450</v>
      </c>
      <c r="E682">
        <v>31043</v>
      </c>
      <c r="F682" t="s">
        <v>628</v>
      </c>
      <c r="G682">
        <v>310</v>
      </c>
      <c r="H682" t="s">
        <v>59</v>
      </c>
      <c r="I682">
        <v>3</v>
      </c>
      <c r="J682" t="s">
        <v>50</v>
      </c>
    </row>
    <row r="683" spans="1:10" x14ac:dyDescent="0.25">
      <c r="A683" t="s">
        <v>7355</v>
      </c>
      <c r="B683">
        <f>25899.8169157106*(1/100/100)</f>
        <v>2.5899816915710598</v>
      </c>
      <c r="C683">
        <v>9053</v>
      </c>
      <c r="D683" t="s">
        <v>3451</v>
      </c>
      <c r="E683">
        <v>31043</v>
      </c>
      <c r="F683" t="s">
        <v>628</v>
      </c>
      <c r="G683">
        <v>310</v>
      </c>
      <c r="H683" t="s">
        <v>59</v>
      </c>
      <c r="I683">
        <v>3</v>
      </c>
      <c r="J683" t="s">
        <v>50</v>
      </c>
    </row>
    <row r="684" spans="1:10" x14ac:dyDescent="0.25">
      <c r="A684" t="s">
        <v>7355</v>
      </c>
      <c r="B684">
        <f>65808.1996870924*(1/100/100)</f>
        <v>6.5808199687092408</v>
      </c>
      <c r="C684">
        <v>9054</v>
      </c>
      <c r="D684" t="s">
        <v>2607</v>
      </c>
      <c r="E684">
        <v>31022</v>
      </c>
      <c r="F684" t="s">
        <v>59</v>
      </c>
      <c r="G684">
        <v>310</v>
      </c>
      <c r="H684" t="s">
        <v>59</v>
      </c>
      <c r="I684">
        <v>3</v>
      </c>
      <c r="J684" t="s">
        <v>50</v>
      </c>
    </row>
    <row r="685" spans="1:10" x14ac:dyDescent="0.25">
      <c r="A685" t="s">
        <v>7355</v>
      </c>
      <c r="B685">
        <f>43077.7543554139*(1/100/100)</f>
        <v>4.30777543554139</v>
      </c>
      <c r="C685">
        <v>9055</v>
      </c>
      <c r="D685" t="s">
        <v>3360</v>
      </c>
      <c r="E685">
        <v>31009</v>
      </c>
      <c r="F685" t="s">
        <v>611</v>
      </c>
      <c r="G685">
        <v>310</v>
      </c>
      <c r="H685" t="s">
        <v>59</v>
      </c>
      <c r="I685">
        <v>3</v>
      </c>
      <c r="J685" t="s">
        <v>50</v>
      </c>
    </row>
    <row r="686" spans="1:10" x14ac:dyDescent="0.25">
      <c r="A686" t="s">
        <v>7355</v>
      </c>
      <c r="B686">
        <f>72021.4846914987*(1/100/100)</f>
        <v>7.2021484691498703</v>
      </c>
      <c r="C686">
        <v>9056</v>
      </c>
      <c r="D686" t="s">
        <v>3353</v>
      </c>
      <c r="E686">
        <v>31008</v>
      </c>
      <c r="F686" t="s">
        <v>610</v>
      </c>
      <c r="G686">
        <v>310</v>
      </c>
      <c r="H686" t="s">
        <v>59</v>
      </c>
      <c r="I686">
        <v>3</v>
      </c>
      <c r="J686" t="s">
        <v>50</v>
      </c>
    </row>
    <row r="687" spans="1:10" x14ac:dyDescent="0.25">
      <c r="A687" t="s">
        <v>7355</v>
      </c>
      <c r="B687">
        <f>26659.8714856076*(1/100/100)</f>
        <v>2.66598714856076</v>
      </c>
      <c r="C687">
        <v>9057</v>
      </c>
      <c r="D687" t="s">
        <v>3400</v>
      </c>
      <c r="E687">
        <v>31022</v>
      </c>
      <c r="F687" t="s">
        <v>59</v>
      </c>
      <c r="G687">
        <v>310</v>
      </c>
      <c r="H687" t="s">
        <v>59</v>
      </c>
      <c r="I687">
        <v>3</v>
      </c>
      <c r="J687" t="s">
        <v>50</v>
      </c>
    </row>
    <row r="688" spans="1:10" x14ac:dyDescent="0.25">
      <c r="A688" t="s">
        <v>7355</v>
      </c>
      <c r="B688">
        <f>48016.5343594125*(1/100/100)</f>
        <v>4.8016534359412502</v>
      </c>
      <c r="C688">
        <v>9058</v>
      </c>
      <c r="D688" t="s">
        <v>3401</v>
      </c>
      <c r="E688">
        <v>31022</v>
      </c>
      <c r="F688" t="s">
        <v>59</v>
      </c>
      <c r="G688">
        <v>310</v>
      </c>
      <c r="H688" t="s">
        <v>59</v>
      </c>
      <c r="I688">
        <v>3</v>
      </c>
      <c r="J688" t="s">
        <v>50</v>
      </c>
    </row>
    <row r="689" spans="1:10" x14ac:dyDescent="0.25">
      <c r="A689" t="s">
        <v>7355</v>
      </c>
      <c r="B689">
        <f>66993.8002861442*(1/100/100)</f>
        <v>6.6993800286144198</v>
      </c>
      <c r="C689">
        <v>9059</v>
      </c>
      <c r="D689" t="s">
        <v>3462</v>
      </c>
      <c r="E689">
        <v>31051</v>
      </c>
      <c r="F689" t="s">
        <v>629</v>
      </c>
      <c r="G689">
        <v>310</v>
      </c>
      <c r="H689" t="s">
        <v>59</v>
      </c>
      <c r="I689">
        <v>3</v>
      </c>
      <c r="J689" t="s">
        <v>50</v>
      </c>
    </row>
    <row r="690" spans="1:10" x14ac:dyDescent="0.25">
      <c r="A690" t="s">
        <v>7355</v>
      </c>
      <c r="B690">
        <f>48745.5932932665*(1/100/100)</f>
        <v>4.87455932932665</v>
      </c>
      <c r="C690">
        <v>9061</v>
      </c>
      <c r="D690" t="s">
        <v>3402</v>
      </c>
      <c r="E690">
        <v>31022</v>
      </c>
      <c r="F690" t="s">
        <v>59</v>
      </c>
      <c r="G690">
        <v>310</v>
      </c>
      <c r="H690" t="s">
        <v>59</v>
      </c>
      <c r="I690">
        <v>3</v>
      </c>
      <c r="J690" t="s">
        <v>50</v>
      </c>
    </row>
    <row r="691" spans="1:10" x14ac:dyDescent="0.25">
      <c r="A691" t="s">
        <v>7355</v>
      </c>
      <c r="B691">
        <f>71296.2694777088*(1/100/100)</f>
        <v>7.1296269477708805</v>
      </c>
      <c r="C691">
        <v>9064</v>
      </c>
      <c r="D691" t="s">
        <v>3354</v>
      </c>
      <c r="E691">
        <v>31008</v>
      </c>
      <c r="F691" t="s">
        <v>610</v>
      </c>
      <c r="G691">
        <v>310</v>
      </c>
      <c r="H691" t="s">
        <v>59</v>
      </c>
      <c r="I691">
        <v>3</v>
      </c>
      <c r="J691" t="s">
        <v>50</v>
      </c>
    </row>
    <row r="692" spans="1:10" x14ac:dyDescent="0.25">
      <c r="A692" t="s">
        <v>7355</v>
      </c>
      <c r="B692">
        <f>96.5229596813764*(1/100/100)</f>
        <v>9.6522959681376412E-3</v>
      </c>
      <c r="C692">
        <v>9065</v>
      </c>
      <c r="D692" t="s">
        <v>3355</v>
      </c>
      <c r="E692">
        <v>31008</v>
      </c>
      <c r="F692" t="s">
        <v>610</v>
      </c>
      <c r="G692">
        <v>310</v>
      </c>
      <c r="H692" t="s">
        <v>59</v>
      </c>
      <c r="I692">
        <v>3</v>
      </c>
      <c r="J692" t="s">
        <v>50</v>
      </c>
    </row>
    <row r="693" spans="1:10" x14ac:dyDescent="0.25">
      <c r="A693" t="s">
        <v>7355</v>
      </c>
      <c r="B693">
        <f>39400.0502918579*(1/100/100)</f>
        <v>3.9400050291857904</v>
      </c>
      <c r="C693">
        <v>9066</v>
      </c>
      <c r="D693" t="s">
        <v>3403</v>
      </c>
      <c r="E693">
        <v>31022</v>
      </c>
      <c r="F693" t="s">
        <v>59</v>
      </c>
      <c r="G693">
        <v>310</v>
      </c>
      <c r="H693" t="s">
        <v>59</v>
      </c>
      <c r="I693">
        <v>3</v>
      </c>
      <c r="J693" t="s">
        <v>50</v>
      </c>
    </row>
    <row r="694" spans="1:10" x14ac:dyDescent="0.25">
      <c r="A694" t="s">
        <v>7355</v>
      </c>
      <c r="B694">
        <f>56788.8371307658*(1/100/100)</f>
        <v>5.6788837130765808</v>
      </c>
      <c r="C694">
        <v>9067</v>
      </c>
      <c r="D694" t="s">
        <v>3419</v>
      </c>
      <c r="E694">
        <v>31028</v>
      </c>
      <c r="F694" t="s">
        <v>620</v>
      </c>
      <c r="G694">
        <v>310</v>
      </c>
      <c r="H694" t="s">
        <v>59</v>
      </c>
      <c r="I694">
        <v>3</v>
      </c>
      <c r="J694" t="s">
        <v>50</v>
      </c>
    </row>
    <row r="695" spans="1:10" x14ac:dyDescent="0.25">
      <c r="A695" t="s">
        <v>7355</v>
      </c>
      <c r="B695">
        <f>19447.2665829554*(1/100/100)</f>
        <v>1.94472665829554</v>
      </c>
      <c r="C695">
        <v>9068</v>
      </c>
      <c r="D695" t="s">
        <v>3404</v>
      </c>
      <c r="E695">
        <v>31022</v>
      </c>
      <c r="F695" t="s">
        <v>59</v>
      </c>
      <c r="G695">
        <v>310</v>
      </c>
      <c r="H695" t="s">
        <v>59</v>
      </c>
      <c r="I695">
        <v>3</v>
      </c>
      <c r="J695" t="s">
        <v>50</v>
      </c>
    </row>
    <row r="696" spans="1:10" x14ac:dyDescent="0.25">
      <c r="A696" t="s">
        <v>7355</v>
      </c>
      <c r="B696">
        <f>36052.1231397717*(1/100/100)</f>
        <v>3.6052123139771699</v>
      </c>
      <c r="C696">
        <v>9069</v>
      </c>
      <c r="D696" t="s">
        <v>2951</v>
      </c>
      <c r="E696">
        <v>31009</v>
      </c>
      <c r="F696" t="s">
        <v>611</v>
      </c>
      <c r="G696">
        <v>310</v>
      </c>
      <c r="H696" t="s">
        <v>59</v>
      </c>
      <c r="I696">
        <v>3</v>
      </c>
      <c r="J696" t="s">
        <v>50</v>
      </c>
    </row>
    <row r="697" spans="1:10" x14ac:dyDescent="0.25">
      <c r="A697" t="s">
        <v>7355</v>
      </c>
      <c r="B697">
        <f>15752.3722560009*(1/100/100)</f>
        <v>1.5752372256000899</v>
      </c>
      <c r="C697">
        <v>9070</v>
      </c>
      <c r="D697" t="s">
        <v>3356</v>
      </c>
      <c r="E697">
        <v>31008</v>
      </c>
      <c r="F697" t="s">
        <v>610</v>
      </c>
      <c r="G697">
        <v>310</v>
      </c>
      <c r="H697" t="s">
        <v>59</v>
      </c>
      <c r="I697">
        <v>3</v>
      </c>
      <c r="J697" t="s">
        <v>50</v>
      </c>
    </row>
    <row r="698" spans="1:10" x14ac:dyDescent="0.25">
      <c r="A698" t="s">
        <v>7355</v>
      </c>
      <c r="B698">
        <f>16481.9538981079*(1/100/100)</f>
        <v>1.6481953898107899</v>
      </c>
      <c r="C698">
        <v>9071</v>
      </c>
      <c r="D698" t="s">
        <v>3405</v>
      </c>
      <c r="E698">
        <v>31022</v>
      </c>
      <c r="F698" t="s">
        <v>59</v>
      </c>
      <c r="G698">
        <v>310</v>
      </c>
      <c r="H698" t="s">
        <v>59</v>
      </c>
      <c r="I698">
        <v>3</v>
      </c>
      <c r="J698" t="s">
        <v>50</v>
      </c>
    </row>
    <row r="699" spans="1:10" x14ac:dyDescent="0.25">
      <c r="A699" t="s">
        <v>7355</v>
      </c>
      <c r="B699">
        <f>115031.985272023*(1/100/100)</f>
        <v>11.503198527202301</v>
      </c>
      <c r="C699">
        <v>9072</v>
      </c>
      <c r="D699" t="s">
        <v>629</v>
      </c>
      <c r="E699">
        <v>31051</v>
      </c>
      <c r="F699" t="s">
        <v>629</v>
      </c>
      <c r="G699">
        <v>310</v>
      </c>
      <c r="H699" t="s">
        <v>59</v>
      </c>
      <c r="I699">
        <v>3</v>
      </c>
      <c r="J699" t="s">
        <v>50</v>
      </c>
    </row>
    <row r="700" spans="1:10" x14ac:dyDescent="0.25">
      <c r="A700" t="s">
        <v>7355</v>
      </c>
      <c r="B700">
        <f>81642.4326258457*(1/100/100)</f>
        <v>8.16424326258457</v>
      </c>
      <c r="C700">
        <v>9073</v>
      </c>
      <c r="D700" t="s">
        <v>3452</v>
      </c>
      <c r="E700">
        <v>31043</v>
      </c>
      <c r="F700" t="s">
        <v>628</v>
      </c>
      <c r="G700">
        <v>310</v>
      </c>
      <c r="H700" t="s">
        <v>59</v>
      </c>
      <c r="I700">
        <v>3</v>
      </c>
      <c r="J700" t="s">
        <v>50</v>
      </c>
    </row>
    <row r="701" spans="1:10" x14ac:dyDescent="0.25">
      <c r="A701" t="s">
        <v>7355</v>
      </c>
      <c r="B701">
        <f>68636.4308102902*(1/100/100)</f>
        <v>6.8636430810290205</v>
      </c>
      <c r="C701">
        <v>9074</v>
      </c>
      <c r="D701" t="s">
        <v>3453</v>
      </c>
      <c r="E701">
        <v>31043</v>
      </c>
      <c r="F701" t="s">
        <v>628</v>
      </c>
      <c r="G701">
        <v>310</v>
      </c>
      <c r="H701" t="s">
        <v>59</v>
      </c>
      <c r="I701">
        <v>3</v>
      </c>
      <c r="J701" t="s">
        <v>50</v>
      </c>
    </row>
    <row r="702" spans="1:10" x14ac:dyDescent="0.25">
      <c r="A702" t="s">
        <v>7355</v>
      </c>
      <c r="B702">
        <f>20480.2610770228*(1/100/100)</f>
        <v>2.0480261077022801</v>
      </c>
      <c r="C702">
        <v>9101</v>
      </c>
      <c r="D702" t="s">
        <v>3426</v>
      </c>
      <c r="E702">
        <v>31036</v>
      </c>
      <c r="F702" t="s">
        <v>623</v>
      </c>
      <c r="G702">
        <v>310</v>
      </c>
      <c r="H702" t="s">
        <v>59</v>
      </c>
      <c r="I702">
        <v>3</v>
      </c>
      <c r="J702" t="s">
        <v>50</v>
      </c>
    </row>
    <row r="703" spans="1:10" x14ac:dyDescent="0.25">
      <c r="A703" t="s">
        <v>7355</v>
      </c>
      <c r="B703">
        <f>18346.9548868563*(1/100/100)</f>
        <v>1.8346954886856301</v>
      </c>
      <c r="C703">
        <v>9102</v>
      </c>
      <c r="D703" t="s">
        <v>3378</v>
      </c>
      <c r="E703">
        <v>31021</v>
      </c>
      <c r="F703" t="s">
        <v>617</v>
      </c>
      <c r="G703">
        <v>310</v>
      </c>
      <c r="H703" t="s">
        <v>59</v>
      </c>
      <c r="I703">
        <v>3</v>
      </c>
      <c r="J703" t="s">
        <v>50</v>
      </c>
    </row>
    <row r="704" spans="1:10" x14ac:dyDescent="0.25">
      <c r="A704" t="s">
        <v>7355</v>
      </c>
      <c r="B704">
        <f>819.215305554707*(1/100/100)</f>
        <v>8.1921530555470704E-2</v>
      </c>
      <c r="C704">
        <v>9103</v>
      </c>
      <c r="D704" t="s">
        <v>3379</v>
      </c>
      <c r="E704">
        <v>31021</v>
      </c>
      <c r="F704" t="s">
        <v>617</v>
      </c>
      <c r="G704">
        <v>310</v>
      </c>
      <c r="H704" t="s">
        <v>59</v>
      </c>
      <c r="I704">
        <v>3</v>
      </c>
      <c r="J704" t="s">
        <v>50</v>
      </c>
    </row>
    <row r="705" spans="1:10" x14ac:dyDescent="0.25">
      <c r="A705" t="s">
        <v>7355</v>
      </c>
      <c r="B705">
        <f>20260.1043728018*(1/100/100)</f>
        <v>2.0260104372801804</v>
      </c>
      <c r="C705">
        <v>9104</v>
      </c>
      <c r="D705" t="s">
        <v>3468</v>
      </c>
      <c r="E705">
        <v>31053</v>
      </c>
      <c r="F705" t="s">
        <v>631</v>
      </c>
      <c r="G705">
        <v>310</v>
      </c>
      <c r="H705" t="s">
        <v>59</v>
      </c>
      <c r="I705">
        <v>3</v>
      </c>
      <c r="J705" t="s">
        <v>50</v>
      </c>
    </row>
    <row r="706" spans="1:10" x14ac:dyDescent="0.25">
      <c r="A706" t="s">
        <v>7355</v>
      </c>
      <c r="B706">
        <f>29952.8173129182*(1/100/100)</f>
        <v>2.9952817312918203</v>
      </c>
      <c r="C706">
        <v>9105</v>
      </c>
      <c r="D706" t="s">
        <v>3406</v>
      </c>
      <c r="E706">
        <v>31026</v>
      </c>
      <c r="F706" t="s">
        <v>619</v>
      </c>
      <c r="G706">
        <v>310</v>
      </c>
      <c r="H706" t="s">
        <v>59</v>
      </c>
      <c r="I706">
        <v>3</v>
      </c>
      <c r="J706" t="s">
        <v>50</v>
      </c>
    </row>
    <row r="707" spans="1:10" x14ac:dyDescent="0.25">
      <c r="A707" t="s">
        <v>7355</v>
      </c>
      <c r="B707">
        <f>54744.3166551233*(1/100/100)</f>
        <v>5.4744316655123306</v>
      </c>
      <c r="C707">
        <v>9106</v>
      </c>
      <c r="D707" t="s">
        <v>3407</v>
      </c>
      <c r="E707">
        <v>31026</v>
      </c>
      <c r="F707" t="s">
        <v>619</v>
      </c>
      <c r="G707">
        <v>310</v>
      </c>
      <c r="H707" t="s">
        <v>59</v>
      </c>
      <c r="I707">
        <v>3</v>
      </c>
      <c r="J707" t="s">
        <v>50</v>
      </c>
    </row>
    <row r="708" spans="1:10" x14ac:dyDescent="0.25">
      <c r="A708" t="s">
        <v>7355</v>
      </c>
      <c r="B708">
        <f>53289.4789283184*(1/100/100)</f>
        <v>5.3289478928318399</v>
      </c>
      <c r="C708">
        <v>9107</v>
      </c>
      <c r="D708" t="s">
        <v>3380</v>
      </c>
      <c r="E708">
        <v>31021</v>
      </c>
      <c r="F708" t="s">
        <v>617</v>
      </c>
      <c r="G708">
        <v>310</v>
      </c>
      <c r="H708" t="s">
        <v>59</v>
      </c>
      <c r="I708">
        <v>3</v>
      </c>
      <c r="J708" t="s">
        <v>50</v>
      </c>
    </row>
    <row r="709" spans="1:10" x14ac:dyDescent="0.25">
      <c r="A709" t="s">
        <v>7355</v>
      </c>
      <c r="B709">
        <f>33892.1518785974*(1/100/100)</f>
        <v>3.3892151878597399</v>
      </c>
      <c r="C709">
        <v>9108</v>
      </c>
      <c r="D709" t="s">
        <v>3408</v>
      </c>
      <c r="E709">
        <v>31026</v>
      </c>
      <c r="F709" t="s">
        <v>619</v>
      </c>
      <c r="G709">
        <v>310</v>
      </c>
      <c r="H709" t="s">
        <v>59</v>
      </c>
      <c r="I709">
        <v>3</v>
      </c>
      <c r="J709" t="s">
        <v>50</v>
      </c>
    </row>
    <row r="710" spans="1:10" x14ac:dyDescent="0.25">
      <c r="A710" t="s">
        <v>7355</v>
      </c>
      <c r="B710">
        <f>73856.2305854072*(1/100/100)</f>
        <v>7.3856230585407205</v>
      </c>
      <c r="C710">
        <v>9110</v>
      </c>
      <c r="D710" t="s">
        <v>3427</v>
      </c>
      <c r="E710">
        <v>31036</v>
      </c>
      <c r="F710" t="s">
        <v>623</v>
      </c>
      <c r="G710">
        <v>310</v>
      </c>
      <c r="H710" t="s">
        <v>59</v>
      </c>
      <c r="I710">
        <v>3</v>
      </c>
      <c r="J710" t="s">
        <v>50</v>
      </c>
    </row>
    <row r="711" spans="1:10" x14ac:dyDescent="0.25">
      <c r="A711" t="s">
        <v>7355</v>
      </c>
      <c r="B711">
        <f>37255.0484374994*(1/100/100)</f>
        <v>3.7255048437499401</v>
      </c>
      <c r="C711">
        <v>9111</v>
      </c>
      <c r="D711" t="s">
        <v>3469</v>
      </c>
      <c r="E711">
        <v>31053</v>
      </c>
      <c r="F711" t="s">
        <v>631</v>
      </c>
      <c r="G711">
        <v>310</v>
      </c>
      <c r="H711" t="s">
        <v>59</v>
      </c>
      <c r="I711">
        <v>3</v>
      </c>
      <c r="J711" t="s">
        <v>50</v>
      </c>
    </row>
    <row r="712" spans="1:10" x14ac:dyDescent="0.25">
      <c r="A712" t="s">
        <v>7355</v>
      </c>
      <c r="B712">
        <f>91939.2228288664*(1/100/100)</f>
        <v>9.1939222828866409</v>
      </c>
      <c r="C712">
        <v>9112</v>
      </c>
      <c r="D712" t="s">
        <v>3373</v>
      </c>
      <c r="E712">
        <v>31019</v>
      </c>
      <c r="F712" t="s">
        <v>616</v>
      </c>
      <c r="G712">
        <v>310</v>
      </c>
      <c r="H712" t="s">
        <v>59</v>
      </c>
      <c r="I712">
        <v>3</v>
      </c>
      <c r="J712" t="s">
        <v>50</v>
      </c>
    </row>
    <row r="713" spans="1:10" x14ac:dyDescent="0.25">
      <c r="A713" t="s">
        <v>7355</v>
      </c>
      <c r="B713">
        <f>31373.7327914084*(1/100/100)</f>
        <v>3.1373732791408404</v>
      </c>
      <c r="C713">
        <v>9113</v>
      </c>
      <c r="D713" t="s">
        <v>3409</v>
      </c>
      <c r="E713">
        <v>31026</v>
      </c>
      <c r="F713" t="s">
        <v>619</v>
      </c>
      <c r="G713">
        <v>310</v>
      </c>
      <c r="H713" t="s">
        <v>59</v>
      </c>
      <c r="I713">
        <v>3</v>
      </c>
      <c r="J713" t="s">
        <v>50</v>
      </c>
    </row>
    <row r="714" spans="1:10" x14ac:dyDescent="0.25">
      <c r="A714" t="s">
        <v>7355</v>
      </c>
      <c r="B714">
        <f>97193.4432537205*(1/100/100)</f>
        <v>9.7193443253720506</v>
      </c>
      <c r="C714">
        <v>9114</v>
      </c>
      <c r="D714" t="s">
        <v>3381</v>
      </c>
      <c r="E714">
        <v>31021</v>
      </c>
      <c r="F714" t="s">
        <v>617</v>
      </c>
      <c r="G714">
        <v>310</v>
      </c>
      <c r="H714" t="s">
        <v>59</v>
      </c>
      <c r="I714">
        <v>3</v>
      </c>
      <c r="J714" t="s">
        <v>50</v>
      </c>
    </row>
    <row r="715" spans="1:10" x14ac:dyDescent="0.25">
      <c r="A715" t="s">
        <v>7355</v>
      </c>
      <c r="B715">
        <f>15727.6214397272*(1/100/100)</f>
        <v>1.57276214397272</v>
      </c>
      <c r="C715">
        <v>9115</v>
      </c>
      <c r="D715" t="s">
        <v>3300</v>
      </c>
      <c r="E715">
        <v>31053</v>
      </c>
      <c r="F715" t="s">
        <v>631</v>
      </c>
      <c r="G715">
        <v>310</v>
      </c>
      <c r="H715" t="s">
        <v>59</v>
      </c>
      <c r="I715">
        <v>3</v>
      </c>
      <c r="J715" t="s">
        <v>50</v>
      </c>
    </row>
    <row r="716" spans="1:10" x14ac:dyDescent="0.25">
      <c r="A716" t="s">
        <v>7355</v>
      </c>
      <c r="B716">
        <f>29721.3710006019*(1/100/100)</f>
        <v>2.9721371000601899</v>
      </c>
      <c r="C716">
        <v>9116</v>
      </c>
      <c r="D716" t="s">
        <v>3470</v>
      </c>
      <c r="E716">
        <v>31053</v>
      </c>
      <c r="F716" t="s">
        <v>631</v>
      </c>
      <c r="G716">
        <v>310</v>
      </c>
      <c r="H716" t="s">
        <v>59</v>
      </c>
      <c r="I716">
        <v>3</v>
      </c>
      <c r="J716" t="s">
        <v>50</v>
      </c>
    </row>
    <row r="717" spans="1:10" x14ac:dyDescent="0.25">
      <c r="A717" t="s">
        <v>7355</v>
      </c>
      <c r="B717">
        <f>57390.1434627981*(1/100/100)</f>
        <v>5.7390143462798102</v>
      </c>
      <c r="C717">
        <v>9117</v>
      </c>
      <c r="D717" t="s">
        <v>2786</v>
      </c>
      <c r="E717">
        <v>31026</v>
      </c>
      <c r="F717" t="s">
        <v>619</v>
      </c>
      <c r="G717">
        <v>310</v>
      </c>
      <c r="H717" t="s">
        <v>59</v>
      </c>
      <c r="I717">
        <v>3</v>
      </c>
      <c r="J717" t="s">
        <v>50</v>
      </c>
    </row>
    <row r="718" spans="1:10" x14ac:dyDescent="0.25">
      <c r="A718" t="s">
        <v>7355</v>
      </c>
      <c r="B718">
        <f>124783.631154808*(1/100/100)</f>
        <v>12.4783631154808</v>
      </c>
      <c r="C718">
        <v>9118</v>
      </c>
      <c r="D718" t="s">
        <v>619</v>
      </c>
      <c r="E718">
        <v>31026</v>
      </c>
      <c r="F718" t="s">
        <v>619</v>
      </c>
      <c r="G718">
        <v>310</v>
      </c>
      <c r="H718" t="s">
        <v>59</v>
      </c>
      <c r="I718">
        <v>3</v>
      </c>
      <c r="J718" t="s">
        <v>50</v>
      </c>
    </row>
    <row r="719" spans="1:10" x14ac:dyDescent="0.25">
      <c r="A719" t="s">
        <v>7355</v>
      </c>
      <c r="B719">
        <f>87287.8641718577*(1/100/100)</f>
        <v>8.7287864171857699</v>
      </c>
      <c r="C719">
        <v>9119</v>
      </c>
      <c r="D719" t="s">
        <v>3471</v>
      </c>
      <c r="E719">
        <v>31053</v>
      </c>
      <c r="F719" t="s">
        <v>631</v>
      </c>
      <c r="G719">
        <v>310</v>
      </c>
      <c r="H719" t="s">
        <v>59</v>
      </c>
      <c r="I719">
        <v>3</v>
      </c>
      <c r="J719" t="s">
        <v>50</v>
      </c>
    </row>
    <row r="720" spans="1:10" x14ac:dyDescent="0.25">
      <c r="A720" t="s">
        <v>7355</v>
      </c>
      <c r="B720">
        <f>31329.4588340413*(1/100/100)</f>
        <v>3.1329458834041302</v>
      </c>
      <c r="C720">
        <v>9120</v>
      </c>
      <c r="D720" t="s">
        <v>3428</v>
      </c>
      <c r="E720">
        <v>31036</v>
      </c>
      <c r="F720" t="s">
        <v>623</v>
      </c>
      <c r="G720">
        <v>310</v>
      </c>
      <c r="H720" t="s">
        <v>59</v>
      </c>
      <c r="I720">
        <v>3</v>
      </c>
      <c r="J720" t="s">
        <v>50</v>
      </c>
    </row>
    <row r="721" spans="1:10" x14ac:dyDescent="0.25">
      <c r="A721" t="s">
        <v>7355</v>
      </c>
      <c r="B721">
        <f>49119.3791999809*(1/100/100)</f>
        <v>4.9119379199980902</v>
      </c>
      <c r="C721">
        <v>9121</v>
      </c>
      <c r="D721" t="s">
        <v>3382</v>
      </c>
      <c r="E721">
        <v>31021</v>
      </c>
      <c r="F721" t="s">
        <v>617</v>
      </c>
      <c r="G721">
        <v>310</v>
      </c>
      <c r="H721" t="s">
        <v>59</v>
      </c>
      <c r="I721">
        <v>3</v>
      </c>
      <c r="J721" t="s">
        <v>50</v>
      </c>
    </row>
    <row r="722" spans="1:10" x14ac:dyDescent="0.25">
      <c r="A722" t="s">
        <v>7355</v>
      </c>
      <c r="B722">
        <f>12034.4339703819*(1/100/100)</f>
        <v>1.2034433970381901</v>
      </c>
      <c r="C722">
        <v>9122</v>
      </c>
      <c r="D722" t="s">
        <v>3383</v>
      </c>
      <c r="E722">
        <v>31021</v>
      </c>
      <c r="F722" t="s">
        <v>617</v>
      </c>
      <c r="G722">
        <v>310</v>
      </c>
      <c r="H722" t="s">
        <v>59</v>
      </c>
      <c r="I722">
        <v>3</v>
      </c>
      <c r="J722" t="s">
        <v>50</v>
      </c>
    </row>
    <row r="723" spans="1:10" x14ac:dyDescent="0.25">
      <c r="A723" t="s">
        <v>7355</v>
      </c>
      <c r="B723">
        <f>27105.6600478269*(1/100/100)</f>
        <v>2.7105660047826903</v>
      </c>
      <c r="C723">
        <v>9123</v>
      </c>
      <c r="D723" t="s">
        <v>3429</v>
      </c>
      <c r="E723">
        <v>31036</v>
      </c>
      <c r="F723" t="s">
        <v>623</v>
      </c>
      <c r="G723">
        <v>310</v>
      </c>
      <c r="H723" t="s">
        <v>59</v>
      </c>
      <c r="I723">
        <v>3</v>
      </c>
      <c r="J723" t="s">
        <v>50</v>
      </c>
    </row>
    <row r="724" spans="1:10" x14ac:dyDescent="0.25">
      <c r="A724" t="s">
        <v>7355</v>
      </c>
      <c r="B724">
        <f>64207.8067193876*(1/100/100)</f>
        <v>6.4207806719387603</v>
      </c>
      <c r="C724">
        <v>9124</v>
      </c>
      <c r="D724" t="s">
        <v>3430</v>
      </c>
      <c r="E724">
        <v>31036</v>
      </c>
      <c r="F724" t="s">
        <v>623</v>
      </c>
      <c r="G724">
        <v>310</v>
      </c>
      <c r="H724" t="s">
        <v>59</v>
      </c>
      <c r="I724">
        <v>3</v>
      </c>
      <c r="J724" t="s">
        <v>50</v>
      </c>
    </row>
    <row r="725" spans="1:10" x14ac:dyDescent="0.25">
      <c r="A725" t="s">
        <v>7355</v>
      </c>
      <c r="B725">
        <f>70413.5917847796*(1/100/100)</f>
        <v>7.0413591784779594</v>
      </c>
      <c r="C725">
        <v>9125</v>
      </c>
      <c r="D725" t="s">
        <v>3472</v>
      </c>
      <c r="E725">
        <v>31053</v>
      </c>
      <c r="F725" t="s">
        <v>631</v>
      </c>
      <c r="G725">
        <v>310</v>
      </c>
      <c r="H725" t="s">
        <v>59</v>
      </c>
      <c r="I725">
        <v>3</v>
      </c>
      <c r="J725" t="s">
        <v>50</v>
      </c>
    </row>
    <row r="726" spans="1:10" x14ac:dyDescent="0.25">
      <c r="A726" t="s">
        <v>7355</v>
      </c>
      <c r="B726">
        <f>26598.5351845544*(1/100/100)</f>
        <v>2.6598535184554399</v>
      </c>
      <c r="C726">
        <v>9126</v>
      </c>
      <c r="D726" t="s">
        <v>3431</v>
      </c>
      <c r="E726">
        <v>31036</v>
      </c>
      <c r="F726" t="s">
        <v>623</v>
      </c>
      <c r="G726">
        <v>310</v>
      </c>
      <c r="H726" t="s">
        <v>59</v>
      </c>
      <c r="I726">
        <v>3</v>
      </c>
      <c r="J726" t="s">
        <v>50</v>
      </c>
    </row>
    <row r="727" spans="1:10" x14ac:dyDescent="0.25">
      <c r="A727" t="s">
        <v>7355</v>
      </c>
      <c r="B727">
        <f>87373.3735167987*(1/100/100)</f>
        <v>8.7373373516798711</v>
      </c>
      <c r="C727">
        <v>9127</v>
      </c>
      <c r="D727" t="s">
        <v>623</v>
      </c>
      <c r="E727">
        <v>31036</v>
      </c>
      <c r="F727" t="s">
        <v>623</v>
      </c>
      <c r="G727">
        <v>310</v>
      </c>
      <c r="H727" t="s">
        <v>59</v>
      </c>
      <c r="I727">
        <v>3</v>
      </c>
      <c r="J727" t="s">
        <v>50</v>
      </c>
    </row>
    <row r="728" spans="1:10" x14ac:dyDescent="0.25">
      <c r="A728" t="s">
        <v>7355</v>
      </c>
      <c r="B728">
        <f>41558.2838352616*(1/100/100)</f>
        <v>4.1558283835261607</v>
      </c>
      <c r="C728">
        <v>9128</v>
      </c>
      <c r="D728" t="s">
        <v>87</v>
      </c>
      <c r="E728">
        <v>31053</v>
      </c>
      <c r="F728" t="s">
        <v>631</v>
      </c>
      <c r="G728">
        <v>310</v>
      </c>
      <c r="H728" t="s">
        <v>59</v>
      </c>
      <c r="I728">
        <v>3</v>
      </c>
      <c r="J728" t="s">
        <v>50</v>
      </c>
    </row>
    <row r="729" spans="1:10" x14ac:dyDescent="0.25">
      <c r="A729" t="s">
        <v>7355</v>
      </c>
      <c r="B729">
        <f>20013.5699580479*(1/100/100)</f>
        <v>2.0013569958047901</v>
      </c>
      <c r="C729">
        <v>9129</v>
      </c>
      <c r="D729" t="s">
        <v>3384</v>
      </c>
      <c r="E729">
        <v>31021</v>
      </c>
      <c r="F729" t="s">
        <v>617</v>
      </c>
      <c r="G729">
        <v>310</v>
      </c>
      <c r="H729" t="s">
        <v>59</v>
      </c>
      <c r="I729">
        <v>3</v>
      </c>
      <c r="J729" t="s">
        <v>50</v>
      </c>
    </row>
    <row r="730" spans="1:10" x14ac:dyDescent="0.25">
      <c r="A730" t="s">
        <v>7355</v>
      </c>
      <c r="B730">
        <f>61980.3087408973*(1/100/100)</f>
        <v>6.1980308740897305</v>
      </c>
      <c r="C730">
        <v>9131</v>
      </c>
      <c r="D730" t="s">
        <v>3374</v>
      </c>
      <c r="E730">
        <v>31019</v>
      </c>
      <c r="F730" t="s">
        <v>616</v>
      </c>
      <c r="G730">
        <v>310</v>
      </c>
      <c r="H730" t="s">
        <v>59</v>
      </c>
      <c r="I730">
        <v>3</v>
      </c>
      <c r="J730" t="s">
        <v>50</v>
      </c>
    </row>
    <row r="731" spans="1:10" x14ac:dyDescent="0.25">
      <c r="A731" t="s">
        <v>7355</v>
      </c>
      <c r="B731">
        <f>31096.6416586958*(1/100/100)</f>
        <v>3.1096641658695803</v>
      </c>
      <c r="C731">
        <v>9132</v>
      </c>
      <c r="D731" t="s">
        <v>3375</v>
      </c>
      <c r="E731">
        <v>31019</v>
      </c>
      <c r="F731" t="s">
        <v>616</v>
      </c>
      <c r="G731">
        <v>310</v>
      </c>
      <c r="H731" t="s">
        <v>59</v>
      </c>
      <c r="I731">
        <v>3</v>
      </c>
      <c r="J731" t="s">
        <v>50</v>
      </c>
    </row>
    <row r="732" spans="1:10" x14ac:dyDescent="0.25">
      <c r="A732" t="s">
        <v>7355</v>
      </c>
      <c r="B732">
        <f>18319.6976426162*(1/100/100)</f>
        <v>1.8319697642616202</v>
      </c>
      <c r="C732">
        <v>9133</v>
      </c>
      <c r="D732" t="s">
        <v>3410</v>
      </c>
      <c r="E732">
        <v>31026</v>
      </c>
      <c r="F732" t="s">
        <v>619</v>
      </c>
      <c r="G732">
        <v>310</v>
      </c>
      <c r="H732" t="s">
        <v>59</v>
      </c>
      <c r="I732">
        <v>3</v>
      </c>
      <c r="J732" t="s">
        <v>50</v>
      </c>
    </row>
    <row r="733" spans="1:10" x14ac:dyDescent="0.25">
      <c r="A733" t="s">
        <v>7355</v>
      </c>
      <c r="B733">
        <f>40536.357031323*(1/100/100)</f>
        <v>4.0536357031323007</v>
      </c>
      <c r="C733">
        <v>9134</v>
      </c>
      <c r="D733" t="s">
        <v>3385</v>
      </c>
      <c r="E733">
        <v>31021</v>
      </c>
      <c r="F733" t="s">
        <v>617</v>
      </c>
      <c r="G733">
        <v>310</v>
      </c>
      <c r="H733" t="s">
        <v>59</v>
      </c>
      <c r="I733">
        <v>3</v>
      </c>
      <c r="J733" t="s">
        <v>50</v>
      </c>
    </row>
    <row r="734" spans="1:10" x14ac:dyDescent="0.25">
      <c r="A734" t="s">
        <v>7355</v>
      </c>
      <c r="B734">
        <f>204939.245771574*(1/100/100)</f>
        <v>20.493924577157401</v>
      </c>
      <c r="C734">
        <v>9135</v>
      </c>
      <c r="D734" t="s">
        <v>631</v>
      </c>
      <c r="E734">
        <v>31053</v>
      </c>
      <c r="F734" t="s">
        <v>631</v>
      </c>
      <c r="G734">
        <v>310</v>
      </c>
      <c r="H734" t="s">
        <v>59</v>
      </c>
      <c r="I734">
        <v>3</v>
      </c>
      <c r="J734" t="s">
        <v>50</v>
      </c>
    </row>
    <row r="735" spans="1:10" x14ac:dyDescent="0.25">
      <c r="A735" t="s">
        <v>7355</v>
      </c>
      <c r="B735">
        <f>10432.8045424056*(1/100/100)</f>
        <v>1.04328045424056</v>
      </c>
      <c r="C735">
        <v>9136</v>
      </c>
      <c r="D735" t="s">
        <v>3411</v>
      </c>
      <c r="E735">
        <v>31026</v>
      </c>
      <c r="F735" t="s">
        <v>619</v>
      </c>
      <c r="G735">
        <v>310</v>
      </c>
      <c r="H735" t="s">
        <v>59</v>
      </c>
      <c r="I735">
        <v>3</v>
      </c>
      <c r="J735" t="s">
        <v>50</v>
      </c>
    </row>
    <row r="736" spans="1:10" x14ac:dyDescent="0.25">
      <c r="A736" t="s">
        <v>7355</v>
      </c>
      <c r="B736">
        <f>14754.225737951*(1/100/100)</f>
        <v>1.4754225737950999</v>
      </c>
      <c r="C736">
        <v>9137</v>
      </c>
      <c r="D736" t="s">
        <v>3412</v>
      </c>
      <c r="E736">
        <v>31026</v>
      </c>
      <c r="F736" t="s">
        <v>619</v>
      </c>
      <c r="G736">
        <v>310</v>
      </c>
      <c r="H736" t="s">
        <v>59</v>
      </c>
      <c r="I736">
        <v>3</v>
      </c>
      <c r="J736" t="s">
        <v>50</v>
      </c>
    </row>
    <row r="737" spans="1:10" x14ac:dyDescent="0.25">
      <c r="A737" t="s">
        <v>7355</v>
      </c>
      <c r="B737">
        <f>13837.1194528855*(1/100/100)</f>
        <v>1.38371194528855</v>
      </c>
      <c r="C737">
        <v>9138</v>
      </c>
      <c r="D737" t="s">
        <v>3413</v>
      </c>
      <c r="E737">
        <v>31026</v>
      </c>
      <c r="F737" t="s">
        <v>619</v>
      </c>
      <c r="G737">
        <v>310</v>
      </c>
      <c r="H737" t="s">
        <v>59</v>
      </c>
      <c r="I737">
        <v>3</v>
      </c>
      <c r="J737" t="s">
        <v>50</v>
      </c>
    </row>
    <row r="738" spans="1:10" x14ac:dyDescent="0.25">
      <c r="A738" t="s">
        <v>7355</v>
      </c>
      <c r="B738">
        <f>44136.2927218248*(1/100/100)</f>
        <v>4.4136292721824804</v>
      </c>
      <c r="C738">
        <v>9139</v>
      </c>
      <c r="D738" t="s">
        <v>3473</v>
      </c>
      <c r="E738">
        <v>31053</v>
      </c>
      <c r="F738" t="s">
        <v>631</v>
      </c>
      <c r="G738">
        <v>310</v>
      </c>
      <c r="H738" t="s">
        <v>59</v>
      </c>
      <c r="I738">
        <v>3</v>
      </c>
      <c r="J738" t="s">
        <v>50</v>
      </c>
    </row>
    <row r="739" spans="1:10" x14ac:dyDescent="0.25">
      <c r="A739" t="s">
        <v>7355</v>
      </c>
      <c r="B739">
        <f>44345.4850161941*(1/100/100)</f>
        <v>4.4345485016194104</v>
      </c>
      <c r="C739">
        <v>9140</v>
      </c>
      <c r="D739" t="s">
        <v>3376</v>
      </c>
      <c r="E739">
        <v>31019</v>
      </c>
      <c r="F739" t="s">
        <v>616</v>
      </c>
      <c r="G739">
        <v>310</v>
      </c>
      <c r="H739" t="s">
        <v>59</v>
      </c>
      <c r="I739">
        <v>3</v>
      </c>
      <c r="J739" t="s">
        <v>50</v>
      </c>
    </row>
    <row r="740" spans="1:10" x14ac:dyDescent="0.25">
      <c r="A740" t="s">
        <v>7355</v>
      </c>
      <c r="B740">
        <f>29971.5141256326*(1/100/100)</f>
        <v>2.9971514125632601</v>
      </c>
      <c r="C740">
        <v>9141</v>
      </c>
      <c r="D740" t="s">
        <v>3377</v>
      </c>
      <c r="E740">
        <v>31019</v>
      </c>
      <c r="F740" t="s">
        <v>616</v>
      </c>
      <c r="G740">
        <v>310</v>
      </c>
      <c r="H740" t="s">
        <v>59</v>
      </c>
      <c r="I740">
        <v>3</v>
      </c>
      <c r="J740" t="s">
        <v>50</v>
      </c>
    </row>
    <row r="741" spans="1:10" x14ac:dyDescent="0.25">
      <c r="A741" t="s">
        <v>7355</v>
      </c>
      <c r="B741">
        <f>73418.0282999988*(1/100/100)</f>
        <v>7.3418028299998799</v>
      </c>
      <c r="C741">
        <v>10001</v>
      </c>
      <c r="D741" t="s">
        <v>632</v>
      </c>
      <c r="E741">
        <v>31101</v>
      </c>
      <c r="F741" t="s">
        <v>632</v>
      </c>
      <c r="G741">
        <v>311</v>
      </c>
      <c r="H741" t="s">
        <v>60</v>
      </c>
      <c r="I741">
        <v>3</v>
      </c>
      <c r="J741" t="s">
        <v>50</v>
      </c>
    </row>
    <row r="742" spans="1:10" x14ac:dyDescent="0.25">
      <c r="A742" t="s">
        <v>7355</v>
      </c>
      <c r="B742">
        <f>22116.6477469593*(1/100/100)</f>
        <v>2.2116647746959304</v>
      </c>
      <c r="C742">
        <v>10002</v>
      </c>
      <c r="D742" t="s">
        <v>3478</v>
      </c>
      <c r="E742">
        <v>31102</v>
      </c>
      <c r="F742" t="s">
        <v>633</v>
      </c>
      <c r="G742">
        <v>311</v>
      </c>
      <c r="H742" t="s">
        <v>60</v>
      </c>
      <c r="I742">
        <v>3</v>
      </c>
      <c r="J742" t="s">
        <v>50</v>
      </c>
    </row>
    <row r="743" spans="1:10" x14ac:dyDescent="0.25">
      <c r="A743" t="s">
        <v>7355</v>
      </c>
      <c r="B743">
        <f>55122.5227370526*(1/100/100)</f>
        <v>5.5122522737052604</v>
      </c>
      <c r="C743">
        <v>10003</v>
      </c>
      <c r="D743" t="s">
        <v>3577</v>
      </c>
      <c r="E743">
        <v>31123</v>
      </c>
      <c r="F743" t="s">
        <v>3578</v>
      </c>
      <c r="G743">
        <v>311</v>
      </c>
      <c r="H743" t="s">
        <v>60</v>
      </c>
      <c r="I743">
        <v>3</v>
      </c>
      <c r="J743" t="s">
        <v>50</v>
      </c>
    </row>
    <row r="744" spans="1:10" x14ac:dyDescent="0.25">
      <c r="A744" t="s">
        <v>7355</v>
      </c>
      <c r="B744">
        <f>66090.6336318157*(1/100/100)</f>
        <v>6.6090633631815701</v>
      </c>
      <c r="C744">
        <v>10004</v>
      </c>
      <c r="D744" t="s">
        <v>3530</v>
      </c>
      <c r="E744">
        <v>31109</v>
      </c>
      <c r="F744" t="s">
        <v>60</v>
      </c>
      <c r="G744">
        <v>311</v>
      </c>
      <c r="H744" t="s">
        <v>60</v>
      </c>
      <c r="I744">
        <v>3</v>
      </c>
      <c r="J744" t="s">
        <v>50</v>
      </c>
    </row>
    <row r="745" spans="1:10" x14ac:dyDescent="0.25">
      <c r="A745" t="s">
        <v>7355</v>
      </c>
      <c r="B745">
        <f>55352.422149749*(1/100/100)</f>
        <v>5.5352422149749003</v>
      </c>
      <c r="C745">
        <v>10005</v>
      </c>
      <c r="D745" t="s">
        <v>633</v>
      </c>
      <c r="E745">
        <v>31102</v>
      </c>
      <c r="F745" t="s">
        <v>633</v>
      </c>
      <c r="G745">
        <v>311</v>
      </c>
      <c r="H745" t="s">
        <v>60</v>
      </c>
      <c r="I745">
        <v>3</v>
      </c>
      <c r="J745" t="s">
        <v>50</v>
      </c>
    </row>
    <row r="746" spans="1:10" x14ac:dyDescent="0.25">
      <c r="A746" t="s">
        <v>7355</v>
      </c>
      <c r="B746">
        <f>9190.41957268999*(1/100/100)</f>
        <v>0.91904195726899907</v>
      </c>
      <c r="C746">
        <v>10006</v>
      </c>
      <c r="D746" t="s">
        <v>3507</v>
      </c>
      <c r="E746">
        <v>31106</v>
      </c>
      <c r="F746" t="s">
        <v>637</v>
      </c>
      <c r="G746">
        <v>311</v>
      </c>
      <c r="H746" t="s">
        <v>60</v>
      </c>
      <c r="I746">
        <v>3</v>
      </c>
      <c r="J746" t="s">
        <v>50</v>
      </c>
    </row>
    <row r="747" spans="1:10" x14ac:dyDescent="0.25">
      <c r="A747" t="s">
        <v>7355</v>
      </c>
      <c r="B747">
        <f>27282.6564807218*(1/100/100)</f>
        <v>2.7282656480721799</v>
      </c>
      <c r="C747">
        <v>10007</v>
      </c>
      <c r="D747" t="s">
        <v>3474</v>
      </c>
      <c r="E747">
        <v>31101</v>
      </c>
      <c r="F747" t="s">
        <v>632</v>
      </c>
      <c r="G747">
        <v>311</v>
      </c>
      <c r="H747" t="s">
        <v>60</v>
      </c>
      <c r="I747">
        <v>3</v>
      </c>
      <c r="J747" t="s">
        <v>50</v>
      </c>
    </row>
    <row r="748" spans="1:10" x14ac:dyDescent="0.25">
      <c r="A748" t="s">
        <v>7355</v>
      </c>
      <c r="B748">
        <f>46538.0125817274*(1/100/100)</f>
        <v>4.6538012581727406</v>
      </c>
      <c r="C748">
        <v>10009</v>
      </c>
      <c r="D748" t="s">
        <v>3579</v>
      </c>
      <c r="E748">
        <v>31123</v>
      </c>
      <c r="F748" t="s">
        <v>3578</v>
      </c>
      <c r="G748">
        <v>311</v>
      </c>
      <c r="H748" t="s">
        <v>60</v>
      </c>
      <c r="I748">
        <v>3</v>
      </c>
      <c r="J748" t="s">
        <v>50</v>
      </c>
    </row>
    <row r="749" spans="1:10" x14ac:dyDescent="0.25">
      <c r="A749" t="s">
        <v>7355</v>
      </c>
      <c r="B749">
        <f>18209.5263795423*(1/100/100)</f>
        <v>1.8209526379542302</v>
      </c>
      <c r="C749">
        <v>10010</v>
      </c>
      <c r="D749" t="s">
        <v>3479</v>
      </c>
      <c r="E749">
        <v>31102</v>
      </c>
      <c r="F749" t="s">
        <v>633</v>
      </c>
      <c r="G749">
        <v>311</v>
      </c>
      <c r="H749" t="s">
        <v>60</v>
      </c>
      <c r="I749">
        <v>3</v>
      </c>
      <c r="J749" t="s">
        <v>50</v>
      </c>
    </row>
    <row r="750" spans="1:10" x14ac:dyDescent="0.25">
      <c r="A750" t="s">
        <v>7355</v>
      </c>
      <c r="B750">
        <f>36968.8395840662*(1/100/100)</f>
        <v>3.69688395840662</v>
      </c>
      <c r="C750">
        <v>10011</v>
      </c>
      <c r="D750" t="s">
        <v>3464</v>
      </c>
      <c r="E750">
        <v>31102</v>
      </c>
      <c r="F750" t="s">
        <v>633</v>
      </c>
      <c r="G750">
        <v>311</v>
      </c>
      <c r="H750" t="s">
        <v>60</v>
      </c>
      <c r="I750">
        <v>3</v>
      </c>
      <c r="J750" t="s">
        <v>50</v>
      </c>
    </row>
    <row r="751" spans="1:10" x14ac:dyDescent="0.25">
      <c r="A751" t="s">
        <v>7355</v>
      </c>
      <c r="B751">
        <f>16700.580027807*(1/100/100)</f>
        <v>1.6700580027806999</v>
      </c>
      <c r="C751">
        <v>10012</v>
      </c>
      <c r="D751" t="s">
        <v>3531</v>
      </c>
      <c r="E751">
        <v>31109</v>
      </c>
      <c r="F751" t="s">
        <v>60</v>
      </c>
      <c r="G751">
        <v>311</v>
      </c>
      <c r="H751" t="s">
        <v>60</v>
      </c>
      <c r="I751">
        <v>3</v>
      </c>
      <c r="J751" t="s">
        <v>50</v>
      </c>
    </row>
    <row r="752" spans="1:10" x14ac:dyDescent="0.25">
      <c r="A752" t="s">
        <v>7355</v>
      </c>
      <c r="B752">
        <f>11319.5307458806*(1/100/100)</f>
        <v>1.1319530745880602</v>
      </c>
      <c r="C752">
        <v>10013</v>
      </c>
      <c r="D752" t="s">
        <v>3534</v>
      </c>
      <c r="E752">
        <v>31110</v>
      </c>
      <c r="F752" t="s">
        <v>639</v>
      </c>
      <c r="G752">
        <v>311</v>
      </c>
      <c r="H752" t="s">
        <v>60</v>
      </c>
      <c r="I752">
        <v>3</v>
      </c>
      <c r="J752" t="s">
        <v>50</v>
      </c>
    </row>
    <row r="753" spans="1:10" x14ac:dyDescent="0.25">
      <c r="A753" t="s">
        <v>7355</v>
      </c>
      <c r="B753">
        <f>12762.2292414167*(1/100/100)</f>
        <v>1.27622292414167</v>
      </c>
      <c r="C753">
        <v>10014</v>
      </c>
      <c r="D753" t="s">
        <v>3556</v>
      </c>
      <c r="E753">
        <v>31117</v>
      </c>
      <c r="F753" t="s">
        <v>643</v>
      </c>
      <c r="G753">
        <v>311</v>
      </c>
      <c r="H753" t="s">
        <v>60</v>
      </c>
      <c r="I753">
        <v>3</v>
      </c>
      <c r="J753" t="s">
        <v>50</v>
      </c>
    </row>
    <row r="754" spans="1:10" x14ac:dyDescent="0.25">
      <c r="A754" t="s">
        <v>7355</v>
      </c>
      <c r="B754">
        <f>28976.0632268294*(1/100/100)</f>
        <v>2.89760632268294</v>
      </c>
      <c r="C754">
        <v>10015</v>
      </c>
      <c r="D754" t="s">
        <v>3508</v>
      </c>
      <c r="E754">
        <v>31106</v>
      </c>
      <c r="F754" t="s">
        <v>637</v>
      </c>
      <c r="G754">
        <v>311</v>
      </c>
      <c r="H754" t="s">
        <v>60</v>
      </c>
      <c r="I754">
        <v>3</v>
      </c>
      <c r="J754" t="s">
        <v>50</v>
      </c>
    </row>
    <row r="755" spans="1:10" x14ac:dyDescent="0.25">
      <c r="A755" t="s">
        <v>7355</v>
      </c>
      <c r="B755">
        <f>33069.3290751759*(1/100/100)</f>
        <v>3.3069329075175897</v>
      </c>
      <c r="C755">
        <v>10016</v>
      </c>
      <c r="D755" t="s">
        <v>3563</v>
      </c>
      <c r="E755">
        <v>31119</v>
      </c>
      <c r="F755" t="s">
        <v>644</v>
      </c>
      <c r="G755">
        <v>311</v>
      </c>
      <c r="H755" t="s">
        <v>60</v>
      </c>
      <c r="I755">
        <v>3</v>
      </c>
      <c r="J755" t="s">
        <v>50</v>
      </c>
    </row>
    <row r="756" spans="1:10" x14ac:dyDescent="0.25">
      <c r="A756" t="s">
        <v>7355</v>
      </c>
      <c r="B756">
        <f>9629.791414174*(1/100/100)</f>
        <v>0.96297914141740004</v>
      </c>
      <c r="C756">
        <v>10017</v>
      </c>
      <c r="D756" t="s">
        <v>3480</v>
      </c>
      <c r="E756">
        <v>31102</v>
      </c>
      <c r="F756" t="s">
        <v>633</v>
      </c>
      <c r="G756">
        <v>311</v>
      </c>
      <c r="H756" t="s">
        <v>60</v>
      </c>
      <c r="I756">
        <v>3</v>
      </c>
      <c r="J756" t="s">
        <v>50</v>
      </c>
    </row>
    <row r="757" spans="1:10" x14ac:dyDescent="0.25">
      <c r="A757" t="s">
        <v>7355</v>
      </c>
      <c r="B757">
        <f>132120.919742686*(1/100/100)</f>
        <v>13.212091974268601</v>
      </c>
      <c r="C757">
        <v>10018</v>
      </c>
      <c r="D757" t="s">
        <v>3580</v>
      </c>
      <c r="E757">
        <v>31123</v>
      </c>
      <c r="F757" t="s">
        <v>3578</v>
      </c>
      <c r="G757">
        <v>311</v>
      </c>
      <c r="H757" t="s">
        <v>60</v>
      </c>
      <c r="I757">
        <v>3</v>
      </c>
      <c r="J757" t="s">
        <v>50</v>
      </c>
    </row>
    <row r="758" spans="1:10" x14ac:dyDescent="0.25">
      <c r="A758" t="s">
        <v>7355</v>
      </c>
      <c r="B758">
        <f>38134.1953861527*(1/100/100)</f>
        <v>3.8134195386152703</v>
      </c>
      <c r="C758">
        <v>10019</v>
      </c>
      <c r="D758" t="s">
        <v>3475</v>
      </c>
      <c r="E758">
        <v>31101</v>
      </c>
      <c r="F758" t="s">
        <v>632</v>
      </c>
      <c r="G758">
        <v>311</v>
      </c>
      <c r="H758" t="s">
        <v>60</v>
      </c>
      <c r="I758">
        <v>3</v>
      </c>
      <c r="J758" t="s">
        <v>50</v>
      </c>
    </row>
    <row r="759" spans="1:10" x14ac:dyDescent="0.25">
      <c r="A759" t="s">
        <v>7355</v>
      </c>
      <c r="B759">
        <f>12832.6181802521*(1/100/100)</f>
        <v>1.2832618180252102</v>
      </c>
      <c r="C759">
        <v>10020</v>
      </c>
      <c r="D759" t="s">
        <v>3481</v>
      </c>
      <c r="E759">
        <v>31102</v>
      </c>
      <c r="F759" t="s">
        <v>633</v>
      </c>
      <c r="G759">
        <v>311</v>
      </c>
      <c r="H759" t="s">
        <v>60</v>
      </c>
      <c r="I759">
        <v>3</v>
      </c>
      <c r="J759" t="s">
        <v>50</v>
      </c>
    </row>
    <row r="760" spans="1:10" x14ac:dyDescent="0.25">
      <c r="A760" t="s">
        <v>7355</v>
      </c>
      <c r="B760">
        <f>264743.440050328*(1/100/100)</f>
        <v>26.474344005032798</v>
      </c>
      <c r="C760">
        <v>10021</v>
      </c>
      <c r="D760" t="s">
        <v>637</v>
      </c>
      <c r="E760">
        <v>31106</v>
      </c>
      <c r="F760" t="s">
        <v>637</v>
      </c>
      <c r="G760">
        <v>311</v>
      </c>
      <c r="H760" t="s">
        <v>60</v>
      </c>
      <c r="I760">
        <v>3</v>
      </c>
      <c r="J760" t="s">
        <v>50</v>
      </c>
    </row>
    <row r="761" spans="1:10" x14ac:dyDescent="0.25">
      <c r="A761" t="s">
        <v>7355</v>
      </c>
      <c r="B761">
        <f>7537.62434968024*(1/100/100)</f>
        <v>0.75376243496802398</v>
      </c>
      <c r="C761">
        <v>10022</v>
      </c>
      <c r="D761" t="s">
        <v>3564</v>
      </c>
      <c r="E761">
        <v>31119</v>
      </c>
      <c r="F761" t="s">
        <v>644</v>
      </c>
      <c r="G761">
        <v>311</v>
      </c>
      <c r="H761" t="s">
        <v>60</v>
      </c>
      <c r="I761">
        <v>3</v>
      </c>
      <c r="J761" t="s">
        <v>50</v>
      </c>
    </row>
    <row r="762" spans="1:10" x14ac:dyDescent="0.25">
      <c r="A762" t="s">
        <v>7355</v>
      </c>
      <c r="B762">
        <f>7831.04106275635*(1/100/100)</f>
        <v>0.78310410627563498</v>
      </c>
      <c r="C762">
        <v>10023</v>
      </c>
      <c r="D762" t="s">
        <v>3565</v>
      </c>
      <c r="E762">
        <v>31119</v>
      </c>
      <c r="F762" t="s">
        <v>644</v>
      </c>
      <c r="G762">
        <v>311</v>
      </c>
      <c r="H762" t="s">
        <v>60</v>
      </c>
      <c r="I762">
        <v>3</v>
      </c>
      <c r="J762" t="s">
        <v>50</v>
      </c>
    </row>
    <row r="763" spans="1:10" x14ac:dyDescent="0.25">
      <c r="A763" t="s">
        <v>7355</v>
      </c>
      <c r="B763">
        <f>9000.93945210484*(1/100/100)</f>
        <v>0.90009394521048403</v>
      </c>
      <c r="C763">
        <v>10024</v>
      </c>
      <c r="D763" t="s">
        <v>3069</v>
      </c>
      <c r="E763">
        <v>31110</v>
      </c>
      <c r="F763" t="s">
        <v>639</v>
      </c>
      <c r="G763">
        <v>311</v>
      </c>
      <c r="H763" t="s">
        <v>60</v>
      </c>
      <c r="I763">
        <v>3</v>
      </c>
      <c r="J763" t="s">
        <v>50</v>
      </c>
    </row>
    <row r="764" spans="1:10" x14ac:dyDescent="0.25">
      <c r="A764" t="s">
        <v>7355</v>
      </c>
      <c r="B764">
        <f>6587.35602765645*(1/100/100)</f>
        <v>0.65873560276564502</v>
      </c>
      <c r="C764">
        <v>10025</v>
      </c>
      <c r="D764" t="s">
        <v>3581</v>
      </c>
      <c r="E764">
        <v>31123</v>
      </c>
      <c r="F764" t="s">
        <v>3578</v>
      </c>
      <c r="G764">
        <v>311</v>
      </c>
      <c r="H764" t="s">
        <v>60</v>
      </c>
      <c r="I764">
        <v>3</v>
      </c>
      <c r="J764" t="s">
        <v>50</v>
      </c>
    </row>
    <row r="765" spans="1:10" x14ac:dyDescent="0.25">
      <c r="A765" t="s">
        <v>7355</v>
      </c>
      <c r="B765">
        <f>16149.669367855*(1/100/100)</f>
        <v>1.6149669367855002</v>
      </c>
      <c r="C765">
        <v>10026</v>
      </c>
      <c r="D765" t="s">
        <v>3535</v>
      </c>
      <c r="E765">
        <v>31110</v>
      </c>
      <c r="F765" t="s">
        <v>639</v>
      </c>
      <c r="G765">
        <v>311</v>
      </c>
      <c r="H765" t="s">
        <v>60</v>
      </c>
      <c r="I765">
        <v>3</v>
      </c>
      <c r="J765" t="s">
        <v>50</v>
      </c>
    </row>
    <row r="766" spans="1:10" x14ac:dyDescent="0.25">
      <c r="A766" t="s">
        <v>7355</v>
      </c>
      <c r="B766">
        <f>530920.997158736*(1/100/100)</f>
        <v>53.092099715873601</v>
      </c>
      <c r="C766">
        <v>10027</v>
      </c>
      <c r="D766" t="s">
        <v>60</v>
      </c>
      <c r="E766">
        <v>31109</v>
      </c>
      <c r="F766" t="s">
        <v>60</v>
      </c>
      <c r="G766">
        <v>311</v>
      </c>
      <c r="H766" t="s">
        <v>60</v>
      </c>
      <c r="I766">
        <v>3</v>
      </c>
      <c r="J766" t="s">
        <v>50</v>
      </c>
    </row>
    <row r="767" spans="1:10" x14ac:dyDescent="0.25">
      <c r="A767" t="s">
        <v>7355</v>
      </c>
      <c r="B767">
        <f>82338.4133511679*(1/100/100)</f>
        <v>8.2338413351167894</v>
      </c>
      <c r="C767">
        <v>10028</v>
      </c>
      <c r="D767" t="s">
        <v>3536</v>
      </c>
      <c r="E767">
        <v>31110</v>
      </c>
      <c r="F767" t="s">
        <v>639</v>
      </c>
      <c r="G767">
        <v>311</v>
      </c>
      <c r="H767" t="s">
        <v>60</v>
      </c>
      <c r="I767">
        <v>3</v>
      </c>
      <c r="J767" t="s">
        <v>50</v>
      </c>
    </row>
    <row r="768" spans="1:10" x14ac:dyDescent="0.25">
      <c r="A768" t="s">
        <v>7355</v>
      </c>
      <c r="B768">
        <f>23531.162382819*(1/100/100)</f>
        <v>2.3531162382819</v>
      </c>
      <c r="C768">
        <v>10029</v>
      </c>
      <c r="D768" t="s">
        <v>3509</v>
      </c>
      <c r="E768">
        <v>31106</v>
      </c>
      <c r="F768" t="s">
        <v>637</v>
      </c>
      <c r="G768">
        <v>311</v>
      </c>
      <c r="H768" t="s">
        <v>60</v>
      </c>
      <c r="I768">
        <v>3</v>
      </c>
      <c r="J768" t="s">
        <v>50</v>
      </c>
    </row>
    <row r="769" spans="1:10" x14ac:dyDescent="0.25">
      <c r="A769" t="s">
        <v>7355</v>
      </c>
      <c r="B769">
        <f>18700.983172958*(1/100/100)</f>
        <v>1.8700983172958001</v>
      </c>
      <c r="C769">
        <v>10030</v>
      </c>
      <c r="D769" t="s">
        <v>3510</v>
      </c>
      <c r="E769">
        <v>31106</v>
      </c>
      <c r="F769" t="s">
        <v>637</v>
      </c>
      <c r="G769">
        <v>311</v>
      </c>
      <c r="H769" t="s">
        <v>60</v>
      </c>
      <c r="I769">
        <v>3</v>
      </c>
      <c r="J769" t="s">
        <v>50</v>
      </c>
    </row>
    <row r="770" spans="1:10" x14ac:dyDescent="0.25">
      <c r="A770" t="s">
        <v>7355</v>
      </c>
      <c r="B770">
        <f>14050.5619002806*(1/100/100)</f>
        <v>1.40505619002806</v>
      </c>
      <c r="C770">
        <v>10031</v>
      </c>
      <c r="D770" t="s">
        <v>3557</v>
      </c>
      <c r="E770">
        <v>31117</v>
      </c>
      <c r="F770" t="s">
        <v>643</v>
      </c>
      <c r="G770">
        <v>311</v>
      </c>
      <c r="H770" t="s">
        <v>60</v>
      </c>
      <c r="I770">
        <v>3</v>
      </c>
      <c r="J770" t="s">
        <v>50</v>
      </c>
    </row>
    <row r="771" spans="1:10" x14ac:dyDescent="0.25">
      <c r="A771" t="s">
        <v>7355</v>
      </c>
      <c r="B771">
        <f>8338.63897088229*(1/100/100)</f>
        <v>0.83386389708822906</v>
      </c>
      <c r="C771">
        <v>10032</v>
      </c>
      <c r="D771" t="s">
        <v>3511</v>
      </c>
      <c r="E771">
        <v>31106</v>
      </c>
      <c r="F771" t="s">
        <v>637</v>
      </c>
      <c r="G771">
        <v>311</v>
      </c>
      <c r="H771" t="s">
        <v>60</v>
      </c>
      <c r="I771">
        <v>3</v>
      </c>
      <c r="J771" t="s">
        <v>50</v>
      </c>
    </row>
    <row r="772" spans="1:10" x14ac:dyDescent="0.25">
      <c r="A772" t="s">
        <v>7355</v>
      </c>
      <c r="B772">
        <f>17880.6143407692*(1/100/100)</f>
        <v>1.7880614340769201</v>
      </c>
      <c r="C772">
        <v>10033</v>
      </c>
      <c r="D772" t="s">
        <v>3558</v>
      </c>
      <c r="E772">
        <v>31117</v>
      </c>
      <c r="F772" t="s">
        <v>643</v>
      </c>
      <c r="G772">
        <v>311</v>
      </c>
      <c r="H772" t="s">
        <v>60</v>
      </c>
      <c r="I772">
        <v>3</v>
      </c>
      <c r="J772" t="s">
        <v>50</v>
      </c>
    </row>
    <row r="773" spans="1:10" x14ac:dyDescent="0.25">
      <c r="A773" t="s">
        <v>7355</v>
      </c>
      <c r="B773">
        <f>19407.4765118666*(1/100/100)</f>
        <v>1.9407476511866601</v>
      </c>
      <c r="C773">
        <v>10034</v>
      </c>
      <c r="D773" t="s">
        <v>3476</v>
      </c>
      <c r="E773">
        <v>31101</v>
      </c>
      <c r="F773" t="s">
        <v>632</v>
      </c>
      <c r="G773">
        <v>311</v>
      </c>
      <c r="H773" t="s">
        <v>60</v>
      </c>
      <c r="I773">
        <v>3</v>
      </c>
      <c r="J773" t="s">
        <v>50</v>
      </c>
    </row>
    <row r="774" spans="1:10" x14ac:dyDescent="0.25">
      <c r="A774" t="s">
        <v>7355</v>
      </c>
      <c r="B774">
        <f>17219.9262829728*(1/100/100)</f>
        <v>1.7219926282972799</v>
      </c>
      <c r="C774">
        <v>10035</v>
      </c>
      <c r="D774" t="s">
        <v>2863</v>
      </c>
      <c r="E774">
        <v>31102</v>
      </c>
      <c r="F774" t="s">
        <v>633</v>
      </c>
      <c r="G774">
        <v>311</v>
      </c>
      <c r="H774" t="s">
        <v>60</v>
      </c>
      <c r="I774">
        <v>3</v>
      </c>
      <c r="J774" t="s">
        <v>50</v>
      </c>
    </row>
    <row r="775" spans="1:10" x14ac:dyDescent="0.25">
      <c r="A775" t="s">
        <v>7355</v>
      </c>
      <c r="B775">
        <f>49074.3012195239*(1/100/100)</f>
        <v>4.9074301219523901</v>
      </c>
      <c r="C775">
        <v>10036</v>
      </c>
      <c r="D775" t="s">
        <v>3512</v>
      </c>
      <c r="E775">
        <v>31106</v>
      </c>
      <c r="F775" t="s">
        <v>637</v>
      </c>
      <c r="G775">
        <v>311</v>
      </c>
      <c r="H775" t="s">
        <v>60</v>
      </c>
      <c r="I775">
        <v>3</v>
      </c>
      <c r="J775" t="s">
        <v>50</v>
      </c>
    </row>
    <row r="776" spans="1:10" x14ac:dyDescent="0.25">
      <c r="A776" t="s">
        <v>7355</v>
      </c>
      <c r="B776">
        <f>40407.6418225776*(1/100/100)</f>
        <v>4.0407641822577602</v>
      </c>
      <c r="C776">
        <v>10037</v>
      </c>
      <c r="D776" t="s">
        <v>3537</v>
      </c>
      <c r="E776">
        <v>31110</v>
      </c>
      <c r="F776" t="s">
        <v>639</v>
      </c>
      <c r="G776">
        <v>311</v>
      </c>
      <c r="H776" t="s">
        <v>60</v>
      </c>
      <c r="I776">
        <v>3</v>
      </c>
      <c r="J776" t="s">
        <v>50</v>
      </c>
    </row>
    <row r="777" spans="1:10" x14ac:dyDescent="0.25">
      <c r="A777" t="s">
        <v>7355</v>
      </c>
      <c r="B777">
        <f>74834.5376123265*(1/100/100)</f>
        <v>7.4834537612326502</v>
      </c>
      <c r="C777">
        <v>10038</v>
      </c>
      <c r="D777" t="s">
        <v>3532</v>
      </c>
      <c r="E777">
        <v>31109</v>
      </c>
      <c r="F777" t="s">
        <v>60</v>
      </c>
      <c r="G777">
        <v>311</v>
      </c>
      <c r="H777" t="s">
        <v>60</v>
      </c>
      <c r="I777">
        <v>3</v>
      </c>
      <c r="J777" t="s">
        <v>50</v>
      </c>
    </row>
    <row r="778" spans="1:10" x14ac:dyDescent="0.25">
      <c r="A778" t="s">
        <v>7355</v>
      </c>
      <c r="B778">
        <f>90553.4796036352*(1/100/100)</f>
        <v>9.0553479603635214</v>
      </c>
      <c r="C778">
        <v>10039</v>
      </c>
      <c r="D778" t="s">
        <v>3572</v>
      </c>
      <c r="E778">
        <v>31121</v>
      </c>
      <c r="F778" t="s">
        <v>646</v>
      </c>
      <c r="G778">
        <v>311</v>
      </c>
      <c r="H778" t="s">
        <v>60</v>
      </c>
      <c r="I778">
        <v>3</v>
      </c>
      <c r="J778" t="s">
        <v>50</v>
      </c>
    </row>
    <row r="779" spans="1:10" x14ac:dyDescent="0.25">
      <c r="A779" t="s">
        <v>7355</v>
      </c>
      <c r="B779">
        <f>30553.2283567536*(1/100/100)</f>
        <v>3.0553228356753599</v>
      </c>
      <c r="C779">
        <v>10040</v>
      </c>
      <c r="D779" t="s">
        <v>3573</v>
      </c>
      <c r="E779">
        <v>31121</v>
      </c>
      <c r="F779" t="s">
        <v>646</v>
      </c>
      <c r="G779">
        <v>311</v>
      </c>
      <c r="H779" t="s">
        <v>60</v>
      </c>
      <c r="I779">
        <v>3</v>
      </c>
      <c r="J779" t="s">
        <v>50</v>
      </c>
    </row>
    <row r="780" spans="1:10" x14ac:dyDescent="0.25">
      <c r="A780" t="s">
        <v>7355</v>
      </c>
      <c r="B780">
        <f>32346.1482488316*(1/100/100)</f>
        <v>3.2346148248831601</v>
      </c>
      <c r="C780">
        <v>10041</v>
      </c>
      <c r="D780" t="s">
        <v>3533</v>
      </c>
      <c r="E780">
        <v>31109</v>
      </c>
      <c r="F780" t="s">
        <v>60</v>
      </c>
      <c r="G780">
        <v>311</v>
      </c>
      <c r="H780" t="s">
        <v>60</v>
      </c>
      <c r="I780">
        <v>3</v>
      </c>
      <c r="J780" t="s">
        <v>50</v>
      </c>
    </row>
    <row r="781" spans="1:10" x14ac:dyDescent="0.25">
      <c r="A781" t="s">
        <v>7355</v>
      </c>
      <c r="B781">
        <f>18459.7603918922*(1/100/100)</f>
        <v>1.8459760391892202</v>
      </c>
      <c r="C781">
        <v>10042</v>
      </c>
      <c r="D781" t="s">
        <v>3566</v>
      </c>
      <c r="E781">
        <v>31119</v>
      </c>
      <c r="F781" t="s">
        <v>644</v>
      </c>
      <c r="G781">
        <v>311</v>
      </c>
      <c r="H781" t="s">
        <v>60</v>
      </c>
      <c r="I781">
        <v>3</v>
      </c>
      <c r="J781" t="s">
        <v>50</v>
      </c>
    </row>
    <row r="782" spans="1:10" x14ac:dyDescent="0.25">
      <c r="A782" t="s">
        <v>7355</v>
      </c>
      <c r="B782">
        <f>26384.6353275318*(1/100/100)</f>
        <v>2.63846353275318</v>
      </c>
      <c r="C782">
        <v>10043</v>
      </c>
      <c r="D782" t="s">
        <v>3482</v>
      </c>
      <c r="E782">
        <v>31102</v>
      </c>
      <c r="F782" t="s">
        <v>633</v>
      </c>
      <c r="G782">
        <v>311</v>
      </c>
      <c r="H782" t="s">
        <v>60</v>
      </c>
      <c r="I782">
        <v>3</v>
      </c>
      <c r="J782" t="s">
        <v>50</v>
      </c>
    </row>
    <row r="783" spans="1:10" x14ac:dyDescent="0.25">
      <c r="A783" t="s">
        <v>7355</v>
      </c>
      <c r="B783">
        <f>22257.7990161549*(1/100/100)</f>
        <v>2.22577990161549</v>
      </c>
      <c r="C783">
        <v>10044</v>
      </c>
      <c r="D783" t="s">
        <v>3559</v>
      </c>
      <c r="E783">
        <v>31117</v>
      </c>
      <c r="F783" t="s">
        <v>643</v>
      </c>
      <c r="G783">
        <v>311</v>
      </c>
      <c r="H783" t="s">
        <v>60</v>
      </c>
      <c r="I783">
        <v>3</v>
      </c>
      <c r="J783" t="s">
        <v>50</v>
      </c>
    </row>
    <row r="784" spans="1:10" x14ac:dyDescent="0.25">
      <c r="A784" t="s">
        <v>7355</v>
      </c>
      <c r="B784">
        <f>38065.8208131594*(1/100/100)</f>
        <v>3.8065820813159403</v>
      </c>
      <c r="C784">
        <v>10045</v>
      </c>
      <c r="D784" t="s">
        <v>3513</v>
      </c>
      <c r="E784">
        <v>31106</v>
      </c>
      <c r="F784" t="s">
        <v>637</v>
      </c>
      <c r="G784">
        <v>311</v>
      </c>
      <c r="H784" t="s">
        <v>60</v>
      </c>
      <c r="I784">
        <v>3</v>
      </c>
      <c r="J784" t="s">
        <v>50</v>
      </c>
    </row>
    <row r="785" spans="1:10" x14ac:dyDescent="0.25">
      <c r="A785" t="s">
        <v>7355</v>
      </c>
      <c r="B785">
        <f>17464.6638762371*(1/100/100)</f>
        <v>1.7464663876237101</v>
      </c>
      <c r="C785">
        <v>10046</v>
      </c>
      <c r="D785" t="s">
        <v>3538</v>
      </c>
      <c r="E785">
        <v>31110</v>
      </c>
      <c r="F785" t="s">
        <v>639</v>
      </c>
      <c r="G785">
        <v>311</v>
      </c>
      <c r="H785" t="s">
        <v>60</v>
      </c>
      <c r="I785">
        <v>3</v>
      </c>
      <c r="J785" t="s">
        <v>50</v>
      </c>
    </row>
    <row r="786" spans="1:10" x14ac:dyDescent="0.25">
      <c r="A786" t="s">
        <v>7355</v>
      </c>
      <c r="B786">
        <f>44762.4664914079*(1/100/100)</f>
        <v>4.4762466491407897</v>
      </c>
      <c r="C786">
        <v>10047</v>
      </c>
      <c r="D786" t="s">
        <v>643</v>
      </c>
      <c r="E786">
        <v>31117</v>
      </c>
      <c r="F786" t="s">
        <v>643</v>
      </c>
      <c r="G786">
        <v>311</v>
      </c>
      <c r="H786" t="s">
        <v>60</v>
      </c>
      <c r="I786">
        <v>3</v>
      </c>
      <c r="J786" t="s">
        <v>50</v>
      </c>
    </row>
    <row r="787" spans="1:10" x14ac:dyDescent="0.25">
      <c r="A787" t="s">
        <v>7355</v>
      </c>
      <c r="B787">
        <f>43607.2218771675*(1/100/100)</f>
        <v>4.3607221877167506</v>
      </c>
      <c r="C787">
        <v>10048</v>
      </c>
      <c r="D787" t="s">
        <v>3582</v>
      </c>
      <c r="E787">
        <v>31123</v>
      </c>
      <c r="F787" t="s">
        <v>3578</v>
      </c>
      <c r="G787">
        <v>311</v>
      </c>
      <c r="H787" t="s">
        <v>60</v>
      </c>
      <c r="I787">
        <v>3</v>
      </c>
      <c r="J787" t="s">
        <v>50</v>
      </c>
    </row>
    <row r="788" spans="1:10" x14ac:dyDescent="0.25">
      <c r="A788" t="s">
        <v>7355</v>
      </c>
      <c r="B788">
        <f>24020.8620205888*(1/100/100)</f>
        <v>2.40208620205888</v>
      </c>
      <c r="C788">
        <v>10049</v>
      </c>
      <c r="D788" t="s">
        <v>3560</v>
      </c>
      <c r="E788">
        <v>31117</v>
      </c>
      <c r="F788" t="s">
        <v>643</v>
      </c>
      <c r="G788">
        <v>311</v>
      </c>
      <c r="H788" t="s">
        <v>60</v>
      </c>
      <c r="I788">
        <v>3</v>
      </c>
      <c r="J788" t="s">
        <v>50</v>
      </c>
    </row>
    <row r="789" spans="1:10" x14ac:dyDescent="0.25">
      <c r="A789" t="s">
        <v>7355</v>
      </c>
      <c r="B789">
        <f>41772.9362527194*(1/100/100)</f>
        <v>4.1772936252719406</v>
      </c>
      <c r="C789">
        <v>10050</v>
      </c>
      <c r="D789" t="s">
        <v>3561</v>
      </c>
      <c r="E789">
        <v>31117</v>
      </c>
      <c r="F789" t="s">
        <v>643</v>
      </c>
      <c r="G789">
        <v>311</v>
      </c>
      <c r="H789" t="s">
        <v>60</v>
      </c>
      <c r="I789">
        <v>3</v>
      </c>
      <c r="J789" t="s">
        <v>50</v>
      </c>
    </row>
    <row r="790" spans="1:10" x14ac:dyDescent="0.25">
      <c r="A790" t="s">
        <v>7355</v>
      </c>
      <c r="B790">
        <f>32204.4463763317*(1/100/100)</f>
        <v>3.2204446376331703</v>
      </c>
      <c r="C790">
        <v>10051</v>
      </c>
      <c r="D790" t="s">
        <v>3539</v>
      </c>
      <c r="E790">
        <v>31110</v>
      </c>
      <c r="F790" t="s">
        <v>639</v>
      </c>
      <c r="G790">
        <v>311</v>
      </c>
      <c r="H790" t="s">
        <v>60</v>
      </c>
      <c r="I790">
        <v>3</v>
      </c>
      <c r="J790" t="s">
        <v>50</v>
      </c>
    </row>
    <row r="791" spans="1:10" x14ac:dyDescent="0.25">
      <c r="A791" t="s">
        <v>7355</v>
      </c>
      <c r="B791">
        <f>31997.9159533425*(1/100/100)</f>
        <v>3.1997915953342502</v>
      </c>
      <c r="C791">
        <v>10053</v>
      </c>
      <c r="D791" t="s">
        <v>644</v>
      </c>
      <c r="E791">
        <v>31119</v>
      </c>
      <c r="F791" t="s">
        <v>644</v>
      </c>
      <c r="G791">
        <v>311</v>
      </c>
      <c r="H791" t="s">
        <v>60</v>
      </c>
      <c r="I791">
        <v>3</v>
      </c>
      <c r="J791" t="s">
        <v>50</v>
      </c>
    </row>
    <row r="792" spans="1:10" x14ac:dyDescent="0.25">
      <c r="A792" t="s">
        <v>7355</v>
      </c>
      <c r="B792">
        <f>42776.9732981835*(1/100/100)</f>
        <v>4.2776973298183503</v>
      </c>
      <c r="C792">
        <v>10054</v>
      </c>
      <c r="D792" t="s">
        <v>3574</v>
      </c>
      <c r="E792">
        <v>31121</v>
      </c>
      <c r="F792" t="s">
        <v>646</v>
      </c>
      <c r="G792">
        <v>311</v>
      </c>
      <c r="H792" t="s">
        <v>60</v>
      </c>
      <c r="I792">
        <v>3</v>
      </c>
      <c r="J792" t="s">
        <v>50</v>
      </c>
    </row>
    <row r="793" spans="1:10" x14ac:dyDescent="0.25">
      <c r="A793" t="s">
        <v>7355</v>
      </c>
      <c r="B793">
        <f>32764.3220511027*(1/100/100)</f>
        <v>3.2764322051102699</v>
      </c>
      <c r="C793">
        <v>10055</v>
      </c>
      <c r="D793" t="s">
        <v>3540</v>
      </c>
      <c r="E793">
        <v>31110</v>
      </c>
      <c r="F793" t="s">
        <v>639</v>
      </c>
      <c r="G793">
        <v>311</v>
      </c>
      <c r="H793" t="s">
        <v>60</v>
      </c>
      <c r="I793">
        <v>3</v>
      </c>
      <c r="J793" t="s">
        <v>50</v>
      </c>
    </row>
    <row r="794" spans="1:10" x14ac:dyDescent="0.25">
      <c r="A794" t="s">
        <v>7355</v>
      </c>
      <c r="B794">
        <f>11811.4278118847*(1/100/100)</f>
        <v>1.18114278118847</v>
      </c>
      <c r="C794">
        <v>10056</v>
      </c>
      <c r="D794" t="s">
        <v>3450</v>
      </c>
      <c r="E794">
        <v>31110</v>
      </c>
      <c r="F794" t="s">
        <v>639</v>
      </c>
      <c r="G794">
        <v>311</v>
      </c>
      <c r="H794" t="s">
        <v>60</v>
      </c>
      <c r="I794">
        <v>3</v>
      </c>
      <c r="J794" t="s">
        <v>50</v>
      </c>
    </row>
    <row r="795" spans="1:10" x14ac:dyDescent="0.25">
      <c r="A795" t="s">
        <v>7355</v>
      </c>
      <c r="B795">
        <f>2576.61100717641*(1/100/100)</f>
        <v>0.25766110071764103</v>
      </c>
      <c r="C795">
        <v>10057</v>
      </c>
      <c r="D795" t="s">
        <v>3575</v>
      </c>
      <c r="E795">
        <v>31121</v>
      </c>
      <c r="F795" t="s">
        <v>646</v>
      </c>
      <c r="G795">
        <v>311</v>
      </c>
      <c r="H795" t="s">
        <v>60</v>
      </c>
      <c r="I795">
        <v>3</v>
      </c>
      <c r="J795" t="s">
        <v>50</v>
      </c>
    </row>
    <row r="796" spans="1:10" x14ac:dyDescent="0.25">
      <c r="A796" t="s">
        <v>7355</v>
      </c>
      <c r="B796">
        <f>20248.6970765707*(1/100/100)</f>
        <v>2.0248697076570701</v>
      </c>
      <c r="C796">
        <v>10058</v>
      </c>
      <c r="D796" t="s">
        <v>3562</v>
      </c>
      <c r="E796">
        <v>31117</v>
      </c>
      <c r="F796" t="s">
        <v>643</v>
      </c>
      <c r="G796">
        <v>311</v>
      </c>
      <c r="H796" t="s">
        <v>60</v>
      </c>
      <c r="I796">
        <v>3</v>
      </c>
      <c r="J796" t="s">
        <v>50</v>
      </c>
    </row>
    <row r="797" spans="1:10" x14ac:dyDescent="0.25">
      <c r="A797" t="s">
        <v>7355</v>
      </c>
      <c r="B797">
        <f>8713.77284770946*(1/100/100)</f>
        <v>0.87137728477094611</v>
      </c>
      <c r="C797">
        <v>10059</v>
      </c>
      <c r="D797" t="s">
        <v>3477</v>
      </c>
      <c r="E797">
        <v>31101</v>
      </c>
      <c r="F797" t="s">
        <v>632</v>
      </c>
      <c r="G797">
        <v>311</v>
      </c>
      <c r="H797" t="s">
        <v>60</v>
      </c>
      <c r="I797">
        <v>3</v>
      </c>
      <c r="J797" t="s">
        <v>50</v>
      </c>
    </row>
    <row r="798" spans="1:10" x14ac:dyDescent="0.25">
      <c r="A798" t="s">
        <v>7355</v>
      </c>
      <c r="B798">
        <f>13955.6351179644*(1/100/100)</f>
        <v>1.3955635117964402</v>
      </c>
      <c r="C798">
        <v>10060</v>
      </c>
      <c r="D798" t="s">
        <v>3583</v>
      </c>
      <c r="E798">
        <v>31123</v>
      </c>
      <c r="F798" t="s">
        <v>3578</v>
      </c>
      <c r="G798">
        <v>311</v>
      </c>
      <c r="H798" t="s">
        <v>60</v>
      </c>
      <c r="I798">
        <v>3</v>
      </c>
      <c r="J798" t="s">
        <v>50</v>
      </c>
    </row>
    <row r="799" spans="1:10" x14ac:dyDescent="0.25">
      <c r="A799" t="s">
        <v>7355</v>
      </c>
      <c r="B799">
        <f>22818.0313749293*(1/100/100)</f>
        <v>2.28180313749293</v>
      </c>
      <c r="C799">
        <v>10061</v>
      </c>
      <c r="D799" t="s">
        <v>3567</v>
      </c>
      <c r="E799">
        <v>31119</v>
      </c>
      <c r="F799" t="s">
        <v>644</v>
      </c>
      <c r="G799">
        <v>311</v>
      </c>
      <c r="H799" t="s">
        <v>60</v>
      </c>
      <c r="I799">
        <v>3</v>
      </c>
      <c r="J799" t="s">
        <v>50</v>
      </c>
    </row>
    <row r="800" spans="1:10" x14ac:dyDescent="0.25">
      <c r="A800" t="s">
        <v>7355</v>
      </c>
      <c r="B800">
        <f>56479.1282671327*(1/100/100)</f>
        <v>5.6479128267132701</v>
      </c>
      <c r="C800">
        <v>10062</v>
      </c>
      <c r="D800" t="s">
        <v>3514</v>
      </c>
      <c r="E800">
        <v>31106</v>
      </c>
      <c r="F800" t="s">
        <v>637</v>
      </c>
      <c r="G800">
        <v>311</v>
      </c>
      <c r="H800" t="s">
        <v>60</v>
      </c>
      <c r="I800">
        <v>3</v>
      </c>
      <c r="J800" t="s">
        <v>50</v>
      </c>
    </row>
    <row r="801" spans="1:10" x14ac:dyDescent="0.25">
      <c r="A801" t="s">
        <v>7355</v>
      </c>
      <c r="B801">
        <f>38868.4560091906*(1/100/100)</f>
        <v>3.8868456009190604</v>
      </c>
      <c r="C801">
        <v>10063</v>
      </c>
      <c r="D801" t="s">
        <v>3541</v>
      </c>
      <c r="E801">
        <v>31110</v>
      </c>
      <c r="F801" t="s">
        <v>639</v>
      </c>
      <c r="G801">
        <v>311</v>
      </c>
      <c r="H801" t="s">
        <v>60</v>
      </c>
      <c r="I801">
        <v>3</v>
      </c>
      <c r="J801" t="s">
        <v>50</v>
      </c>
    </row>
    <row r="802" spans="1:10" x14ac:dyDescent="0.25">
      <c r="A802" t="s">
        <v>7355</v>
      </c>
      <c r="B802">
        <f>24059.6413648958*(1/100/100)</f>
        <v>2.4059641364895801</v>
      </c>
      <c r="C802">
        <v>10064</v>
      </c>
      <c r="D802" t="s">
        <v>3483</v>
      </c>
      <c r="E802">
        <v>31102</v>
      </c>
      <c r="F802" t="s">
        <v>633</v>
      </c>
      <c r="G802">
        <v>311</v>
      </c>
      <c r="H802" t="s">
        <v>60</v>
      </c>
      <c r="I802">
        <v>3</v>
      </c>
      <c r="J802" t="s">
        <v>50</v>
      </c>
    </row>
    <row r="803" spans="1:10" x14ac:dyDescent="0.25">
      <c r="A803" t="s">
        <v>7355</v>
      </c>
      <c r="B803">
        <f>21103.0568450065*(1/100/100)</f>
        <v>2.1103056845006503</v>
      </c>
      <c r="C803">
        <v>10065</v>
      </c>
      <c r="D803" t="s">
        <v>3515</v>
      </c>
      <c r="E803">
        <v>31106</v>
      </c>
      <c r="F803" t="s">
        <v>637</v>
      </c>
      <c r="G803">
        <v>311</v>
      </c>
      <c r="H803" t="s">
        <v>60</v>
      </c>
      <c r="I803">
        <v>3</v>
      </c>
      <c r="J803" t="s">
        <v>50</v>
      </c>
    </row>
    <row r="804" spans="1:10" x14ac:dyDescent="0.25">
      <c r="A804" t="s">
        <v>7355</v>
      </c>
      <c r="B804">
        <f>28707.8931767242*(1/100/100)</f>
        <v>2.8707893176724202</v>
      </c>
      <c r="C804">
        <v>10066</v>
      </c>
      <c r="D804" t="s">
        <v>3542</v>
      </c>
      <c r="E804">
        <v>31110</v>
      </c>
      <c r="F804" t="s">
        <v>639</v>
      </c>
      <c r="G804">
        <v>311</v>
      </c>
      <c r="H804" t="s">
        <v>60</v>
      </c>
      <c r="I804">
        <v>3</v>
      </c>
      <c r="J804" t="s">
        <v>50</v>
      </c>
    </row>
    <row r="805" spans="1:10" x14ac:dyDescent="0.25">
      <c r="A805" t="s">
        <v>7355</v>
      </c>
      <c r="B805">
        <f>50903.0088916281*(1/100/100)</f>
        <v>5.0903008891628101</v>
      </c>
      <c r="C805">
        <v>10067</v>
      </c>
      <c r="D805" t="s">
        <v>3568</v>
      </c>
      <c r="E805">
        <v>31119</v>
      </c>
      <c r="F805" t="s">
        <v>644</v>
      </c>
      <c r="G805">
        <v>311</v>
      </c>
      <c r="H805" t="s">
        <v>60</v>
      </c>
      <c r="I805">
        <v>3</v>
      </c>
      <c r="J805" t="s">
        <v>50</v>
      </c>
    </row>
    <row r="806" spans="1:10" x14ac:dyDescent="0.25">
      <c r="A806" t="s">
        <v>7355</v>
      </c>
      <c r="B806">
        <f>15345.6545420423*(1/100/100)</f>
        <v>1.5345654542042302</v>
      </c>
      <c r="C806">
        <v>10068</v>
      </c>
      <c r="D806" t="s">
        <v>3516</v>
      </c>
      <c r="E806">
        <v>31106</v>
      </c>
      <c r="F806" t="s">
        <v>637</v>
      </c>
      <c r="G806">
        <v>311</v>
      </c>
      <c r="H806" t="s">
        <v>60</v>
      </c>
      <c r="I806">
        <v>3</v>
      </c>
      <c r="J806" t="s">
        <v>50</v>
      </c>
    </row>
    <row r="807" spans="1:10" x14ac:dyDescent="0.25">
      <c r="A807" t="s">
        <v>7355</v>
      </c>
      <c r="B807">
        <f>7666.7384296996*(1/100/100)</f>
        <v>0.76667384296996</v>
      </c>
      <c r="C807">
        <v>10069</v>
      </c>
      <c r="D807" t="s">
        <v>3484</v>
      </c>
      <c r="E807">
        <v>31102</v>
      </c>
      <c r="F807" t="s">
        <v>633</v>
      </c>
      <c r="G807">
        <v>311</v>
      </c>
      <c r="H807" t="s">
        <v>60</v>
      </c>
      <c r="I807">
        <v>3</v>
      </c>
      <c r="J807" t="s">
        <v>50</v>
      </c>
    </row>
    <row r="808" spans="1:10" x14ac:dyDescent="0.25">
      <c r="A808" t="s">
        <v>7355</v>
      </c>
      <c r="B808">
        <f>29173.7766830911*(1/100/100)</f>
        <v>2.9173776683091099</v>
      </c>
      <c r="C808">
        <v>10070</v>
      </c>
      <c r="D808" t="s">
        <v>3576</v>
      </c>
      <c r="E808">
        <v>31121</v>
      </c>
      <c r="F808" t="s">
        <v>646</v>
      </c>
      <c r="G808">
        <v>311</v>
      </c>
      <c r="H808" t="s">
        <v>60</v>
      </c>
      <c r="I808">
        <v>3</v>
      </c>
      <c r="J808" t="s">
        <v>50</v>
      </c>
    </row>
    <row r="809" spans="1:10" x14ac:dyDescent="0.25">
      <c r="A809" t="s">
        <v>7355</v>
      </c>
      <c r="B809">
        <f>45131.1131958872*(1/100/100)</f>
        <v>4.5131113195887202</v>
      </c>
      <c r="C809">
        <v>10071</v>
      </c>
      <c r="D809" t="s">
        <v>3517</v>
      </c>
      <c r="E809">
        <v>31106</v>
      </c>
      <c r="F809" t="s">
        <v>637</v>
      </c>
      <c r="G809">
        <v>311</v>
      </c>
      <c r="H809" t="s">
        <v>60</v>
      </c>
      <c r="I809">
        <v>3</v>
      </c>
      <c r="J809" t="s">
        <v>50</v>
      </c>
    </row>
    <row r="810" spans="1:10" x14ac:dyDescent="0.25">
      <c r="A810" t="s">
        <v>7355</v>
      </c>
      <c r="B810">
        <f>5775.20438442244*(1/100/100)</f>
        <v>0.57752043844224399</v>
      </c>
      <c r="C810">
        <v>10072</v>
      </c>
      <c r="D810" t="s">
        <v>3569</v>
      </c>
      <c r="E810">
        <v>31119</v>
      </c>
      <c r="F810" t="s">
        <v>644</v>
      </c>
      <c r="G810">
        <v>311</v>
      </c>
      <c r="H810" t="s">
        <v>60</v>
      </c>
      <c r="I810">
        <v>3</v>
      </c>
      <c r="J810" t="s">
        <v>50</v>
      </c>
    </row>
    <row r="811" spans="1:10" x14ac:dyDescent="0.25">
      <c r="A811" t="s">
        <v>7355</v>
      </c>
      <c r="B811">
        <f>32500.9799709106*(1/100/100)</f>
        <v>3.2500979970910602</v>
      </c>
      <c r="C811">
        <v>10073</v>
      </c>
      <c r="D811" t="s">
        <v>3543</v>
      </c>
      <c r="E811">
        <v>31110</v>
      </c>
      <c r="F811" t="s">
        <v>639</v>
      </c>
      <c r="G811">
        <v>311</v>
      </c>
      <c r="H811" t="s">
        <v>60</v>
      </c>
      <c r="I811">
        <v>3</v>
      </c>
      <c r="J811" t="s">
        <v>50</v>
      </c>
    </row>
    <row r="812" spans="1:10" x14ac:dyDescent="0.25">
      <c r="A812" t="s">
        <v>7355</v>
      </c>
      <c r="B812">
        <f>51611.696096722*(1/100/100)</f>
        <v>5.1611696096722</v>
      </c>
      <c r="C812">
        <v>10074</v>
      </c>
      <c r="D812" t="s">
        <v>3518</v>
      </c>
      <c r="E812">
        <v>31106</v>
      </c>
      <c r="F812" t="s">
        <v>637</v>
      </c>
      <c r="G812">
        <v>311</v>
      </c>
      <c r="H812" t="s">
        <v>60</v>
      </c>
      <c r="I812">
        <v>3</v>
      </c>
      <c r="J812" t="s">
        <v>50</v>
      </c>
    </row>
    <row r="813" spans="1:10" x14ac:dyDescent="0.25">
      <c r="A813" t="s">
        <v>7355</v>
      </c>
      <c r="B813">
        <f>16107.9561818352*(1/100/100)</f>
        <v>1.6107956181835201</v>
      </c>
      <c r="C813">
        <v>10101</v>
      </c>
      <c r="D813" t="s">
        <v>3485</v>
      </c>
      <c r="E813">
        <v>31103</v>
      </c>
      <c r="F813" t="s">
        <v>634</v>
      </c>
      <c r="G813">
        <v>311</v>
      </c>
      <c r="H813" t="s">
        <v>60</v>
      </c>
      <c r="I813">
        <v>3</v>
      </c>
      <c r="J813" t="s">
        <v>50</v>
      </c>
    </row>
    <row r="814" spans="1:10" x14ac:dyDescent="0.25">
      <c r="A814" t="s">
        <v>7355</v>
      </c>
      <c r="B814">
        <f>17242.356491314*(1/100/100)</f>
        <v>1.7242356491314001</v>
      </c>
      <c r="C814">
        <v>10102</v>
      </c>
      <c r="D814" t="s">
        <v>3584</v>
      </c>
      <c r="E814">
        <v>31124</v>
      </c>
      <c r="F814" t="s">
        <v>647</v>
      </c>
      <c r="G814">
        <v>311</v>
      </c>
      <c r="H814" t="s">
        <v>60</v>
      </c>
      <c r="I814">
        <v>3</v>
      </c>
      <c r="J814" t="s">
        <v>50</v>
      </c>
    </row>
    <row r="815" spans="1:10" x14ac:dyDescent="0.25">
      <c r="A815" t="s">
        <v>7355</v>
      </c>
      <c r="B815">
        <f>68387.1975563304*(1/100/100)</f>
        <v>6.8387197556330408</v>
      </c>
      <c r="C815">
        <v>10103</v>
      </c>
      <c r="D815" t="s">
        <v>3486</v>
      </c>
      <c r="E815">
        <v>31103</v>
      </c>
      <c r="F815" t="s">
        <v>634</v>
      </c>
      <c r="G815">
        <v>311</v>
      </c>
      <c r="H815" t="s">
        <v>60</v>
      </c>
      <c r="I815">
        <v>3</v>
      </c>
      <c r="J815" t="s">
        <v>50</v>
      </c>
    </row>
    <row r="816" spans="1:10" x14ac:dyDescent="0.25">
      <c r="A816" t="s">
        <v>7355</v>
      </c>
      <c r="B816">
        <f>15575.0558064489*(1/100/100)</f>
        <v>1.5575055806448901</v>
      </c>
      <c r="C816">
        <v>10105</v>
      </c>
      <c r="D816" t="s">
        <v>3487</v>
      </c>
      <c r="E816">
        <v>31103</v>
      </c>
      <c r="F816" t="s">
        <v>634</v>
      </c>
      <c r="G816">
        <v>311</v>
      </c>
      <c r="H816" t="s">
        <v>60</v>
      </c>
      <c r="I816">
        <v>3</v>
      </c>
      <c r="J816" t="s">
        <v>50</v>
      </c>
    </row>
    <row r="817" spans="1:10" x14ac:dyDescent="0.25">
      <c r="A817" t="s">
        <v>7355</v>
      </c>
      <c r="B817">
        <f>347445.552524166*(1/100/100)</f>
        <v>34.744555252416603</v>
      </c>
      <c r="C817">
        <v>10106</v>
      </c>
      <c r="D817" t="s">
        <v>636</v>
      </c>
      <c r="E817">
        <v>31105</v>
      </c>
      <c r="F817" t="s">
        <v>636</v>
      </c>
      <c r="G817">
        <v>311</v>
      </c>
      <c r="H817" t="s">
        <v>60</v>
      </c>
      <c r="I817">
        <v>3</v>
      </c>
      <c r="J817" t="s">
        <v>50</v>
      </c>
    </row>
    <row r="818" spans="1:10" x14ac:dyDescent="0.25">
      <c r="A818" t="s">
        <v>7355</v>
      </c>
      <c r="B818">
        <f>32803.7695755764*(1/100/100)</f>
        <v>3.2803769575576402</v>
      </c>
      <c r="C818">
        <v>10107</v>
      </c>
      <c r="D818" t="s">
        <v>3504</v>
      </c>
      <c r="E818">
        <v>31105</v>
      </c>
      <c r="F818" t="s">
        <v>636</v>
      </c>
      <c r="G818">
        <v>311</v>
      </c>
      <c r="H818" t="s">
        <v>60</v>
      </c>
      <c r="I818">
        <v>3</v>
      </c>
      <c r="J818" t="s">
        <v>50</v>
      </c>
    </row>
    <row r="819" spans="1:10" x14ac:dyDescent="0.25">
      <c r="A819" t="s">
        <v>7355</v>
      </c>
      <c r="B819">
        <f>23107.3432778078*(1/100/100)</f>
        <v>2.3107343277807799</v>
      </c>
      <c r="C819">
        <v>10108</v>
      </c>
      <c r="D819" t="s">
        <v>3602</v>
      </c>
      <c r="E819">
        <v>31130</v>
      </c>
      <c r="F819" t="s">
        <v>649</v>
      </c>
      <c r="G819">
        <v>311</v>
      </c>
      <c r="H819" t="s">
        <v>60</v>
      </c>
      <c r="I819">
        <v>3</v>
      </c>
      <c r="J819" t="s">
        <v>50</v>
      </c>
    </row>
    <row r="820" spans="1:10" x14ac:dyDescent="0.25">
      <c r="A820" t="s">
        <v>7355</v>
      </c>
      <c r="B820">
        <f>42427.5194151308*(1/100/100)</f>
        <v>4.2427519415130801</v>
      </c>
      <c r="C820">
        <v>10109</v>
      </c>
      <c r="D820" t="s">
        <v>3505</v>
      </c>
      <c r="E820">
        <v>31105</v>
      </c>
      <c r="F820" t="s">
        <v>636</v>
      </c>
      <c r="G820">
        <v>311</v>
      </c>
      <c r="H820" t="s">
        <v>60</v>
      </c>
      <c r="I820">
        <v>3</v>
      </c>
      <c r="J820" t="s">
        <v>50</v>
      </c>
    </row>
    <row r="821" spans="1:10" x14ac:dyDescent="0.25">
      <c r="A821" t="s">
        <v>7355</v>
      </c>
      <c r="B821">
        <f>62351.9830039186*(1/100/100)</f>
        <v>6.2351983003918603</v>
      </c>
      <c r="C821">
        <v>10111</v>
      </c>
      <c r="D821" t="s">
        <v>3603</v>
      </c>
      <c r="E821">
        <v>31130</v>
      </c>
      <c r="F821" t="s">
        <v>649</v>
      </c>
      <c r="G821">
        <v>311</v>
      </c>
      <c r="H821" t="s">
        <v>60</v>
      </c>
      <c r="I821">
        <v>3</v>
      </c>
      <c r="J821" t="s">
        <v>50</v>
      </c>
    </row>
    <row r="822" spans="1:10" x14ac:dyDescent="0.25">
      <c r="A822" t="s">
        <v>7355</v>
      </c>
      <c r="B822">
        <f>27357.506806085*(1/100/100)</f>
        <v>2.7357506806085001</v>
      </c>
      <c r="C822">
        <v>10113</v>
      </c>
      <c r="D822" t="s">
        <v>656</v>
      </c>
      <c r="E822">
        <v>31103</v>
      </c>
      <c r="F822" t="s">
        <v>634</v>
      </c>
      <c r="G822">
        <v>311</v>
      </c>
      <c r="H822" t="s">
        <v>60</v>
      </c>
      <c r="I822">
        <v>3</v>
      </c>
      <c r="J822" t="s">
        <v>50</v>
      </c>
    </row>
    <row r="823" spans="1:10" x14ac:dyDescent="0.25">
      <c r="A823" t="s">
        <v>7355</v>
      </c>
      <c r="B823">
        <f>31999.2330325821*(1/100/100)</f>
        <v>3.1999233032582102</v>
      </c>
      <c r="C823">
        <v>10114</v>
      </c>
      <c r="D823" t="s">
        <v>3570</v>
      </c>
      <c r="E823">
        <v>31120</v>
      </c>
      <c r="F823" t="s">
        <v>645</v>
      </c>
      <c r="G823">
        <v>311</v>
      </c>
      <c r="H823" t="s">
        <v>60</v>
      </c>
      <c r="I823">
        <v>3</v>
      </c>
      <c r="J823" t="s">
        <v>50</v>
      </c>
    </row>
    <row r="824" spans="1:10" x14ac:dyDescent="0.25">
      <c r="A824" t="s">
        <v>7355</v>
      </c>
      <c r="B824">
        <f>46038.204584629*(1/100/100)</f>
        <v>4.6038204584629003</v>
      </c>
      <c r="C824">
        <v>10115</v>
      </c>
      <c r="D824" t="s">
        <v>3585</v>
      </c>
      <c r="E824">
        <v>31124</v>
      </c>
      <c r="F824" t="s">
        <v>647</v>
      </c>
      <c r="G824">
        <v>311</v>
      </c>
      <c r="H824" t="s">
        <v>60</v>
      </c>
      <c r="I824">
        <v>3</v>
      </c>
      <c r="J824" t="s">
        <v>50</v>
      </c>
    </row>
    <row r="825" spans="1:10" x14ac:dyDescent="0.25">
      <c r="A825" t="s">
        <v>7355</v>
      </c>
      <c r="B825">
        <f>65836.8534530233*(1/100/100)</f>
        <v>6.5836853453023307</v>
      </c>
      <c r="C825">
        <v>10116</v>
      </c>
      <c r="D825" t="s">
        <v>3552</v>
      </c>
      <c r="E825">
        <v>31114</v>
      </c>
      <c r="F825" t="s">
        <v>642</v>
      </c>
      <c r="G825">
        <v>311</v>
      </c>
      <c r="H825" t="s">
        <v>60</v>
      </c>
      <c r="I825">
        <v>3</v>
      </c>
      <c r="J825" t="s">
        <v>50</v>
      </c>
    </row>
    <row r="826" spans="1:10" x14ac:dyDescent="0.25">
      <c r="A826" t="s">
        <v>7355</v>
      </c>
      <c r="B826">
        <f>68950.1262776135*(1/100/100)</f>
        <v>6.8950126277613499</v>
      </c>
      <c r="C826">
        <v>10117</v>
      </c>
      <c r="D826" t="s">
        <v>3488</v>
      </c>
      <c r="E826">
        <v>31103</v>
      </c>
      <c r="F826" t="s">
        <v>634</v>
      </c>
      <c r="G826">
        <v>311</v>
      </c>
      <c r="H826" t="s">
        <v>60</v>
      </c>
      <c r="I826">
        <v>3</v>
      </c>
      <c r="J826" t="s">
        <v>50</v>
      </c>
    </row>
    <row r="827" spans="1:10" x14ac:dyDescent="0.25">
      <c r="A827" t="s">
        <v>7355</v>
      </c>
      <c r="B827">
        <f>19283.683219263*(1/100/100)</f>
        <v>1.9283683219262999</v>
      </c>
      <c r="C827">
        <v>10118</v>
      </c>
      <c r="D827" t="s">
        <v>3553</v>
      </c>
      <c r="E827">
        <v>31114</v>
      </c>
      <c r="F827" t="s">
        <v>642</v>
      </c>
      <c r="G827">
        <v>311</v>
      </c>
      <c r="H827" t="s">
        <v>60</v>
      </c>
      <c r="I827">
        <v>3</v>
      </c>
      <c r="J827" t="s">
        <v>50</v>
      </c>
    </row>
    <row r="828" spans="1:10" x14ac:dyDescent="0.25">
      <c r="A828" t="s">
        <v>7355</v>
      </c>
      <c r="B828">
        <f>20770.3857018543*(1/100/100)</f>
        <v>2.0770385701854299</v>
      </c>
      <c r="C828">
        <v>10119</v>
      </c>
      <c r="D828" t="s">
        <v>2580</v>
      </c>
      <c r="E828">
        <v>31103</v>
      </c>
      <c r="F828" t="s">
        <v>634</v>
      </c>
      <c r="G828">
        <v>311</v>
      </c>
      <c r="H828" t="s">
        <v>60</v>
      </c>
      <c r="I828">
        <v>3</v>
      </c>
      <c r="J828" t="s">
        <v>50</v>
      </c>
    </row>
    <row r="829" spans="1:10" x14ac:dyDescent="0.25">
      <c r="A829" t="s">
        <v>7355</v>
      </c>
      <c r="B829">
        <f>76882.1107071622*(1/100/100)</f>
        <v>7.6882110707162203</v>
      </c>
      <c r="C829">
        <v>10120</v>
      </c>
      <c r="D829" t="s">
        <v>3554</v>
      </c>
      <c r="E829">
        <v>31114</v>
      </c>
      <c r="F829" t="s">
        <v>642</v>
      </c>
      <c r="G829">
        <v>311</v>
      </c>
      <c r="H829" t="s">
        <v>60</v>
      </c>
      <c r="I829">
        <v>3</v>
      </c>
      <c r="J829" t="s">
        <v>50</v>
      </c>
    </row>
    <row r="830" spans="1:10" x14ac:dyDescent="0.25">
      <c r="A830" t="s">
        <v>7355</v>
      </c>
      <c r="B830">
        <f>27178.1912020279*(1/100/100)</f>
        <v>2.7178191202027904</v>
      </c>
      <c r="C830">
        <v>10121</v>
      </c>
      <c r="D830" t="s">
        <v>3586</v>
      </c>
      <c r="E830">
        <v>31124</v>
      </c>
      <c r="F830" t="s">
        <v>647</v>
      </c>
      <c r="G830">
        <v>311</v>
      </c>
      <c r="H830" t="s">
        <v>60</v>
      </c>
      <c r="I830">
        <v>3</v>
      </c>
      <c r="J830" t="s">
        <v>50</v>
      </c>
    </row>
    <row r="831" spans="1:10" x14ac:dyDescent="0.25">
      <c r="A831" t="s">
        <v>7355</v>
      </c>
      <c r="B831">
        <f>11520.3827157449*(1/100/100)</f>
        <v>1.1520382715744899</v>
      </c>
      <c r="C831">
        <v>10127</v>
      </c>
      <c r="D831" t="s">
        <v>3571</v>
      </c>
      <c r="E831">
        <v>31120</v>
      </c>
      <c r="F831" t="s">
        <v>645</v>
      </c>
      <c r="G831">
        <v>311</v>
      </c>
      <c r="H831" t="s">
        <v>60</v>
      </c>
      <c r="I831">
        <v>3</v>
      </c>
      <c r="J831" t="s">
        <v>50</v>
      </c>
    </row>
    <row r="832" spans="1:10" x14ac:dyDescent="0.25">
      <c r="A832" t="s">
        <v>7355</v>
      </c>
      <c r="B832">
        <f>49089.6140449464*(1/100/100)</f>
        <v>4.9089614044946401</v>
      </c>
      <c r="C832">
        <v>10128</v>
      </c>
      <c r="D832" t="s">
        <v>3489</v>
      </c>
      <c r="E832">
        <v>31103</v>
      </c>
      <c r="F832" t="s">
        <v>634</v>
      </c>
      <c r="G832">
        <v>311</v>
      </c>
      <c r="H832" t="s">
        <v>60</v>
      </c>
      <c r="I832">
        <v>3</v>
      </c>
      <c r="J832" t="s">
        <v>50</v>
      </c>
    </row>
    <row r="833" spans="1:10" x14ac:dyDescent="0.25">
      <c r="A833" t="s">
        <v>7355</v>
      </c>
      <c r="B833">
        <f>25748.714002134*(1/100/100)</f>
        <v>2.5748714002134001</v>
      </c>
      <c r="C833">
        <v>10130</v>
      </c>
      <c r="D833" t="s">
        <v>3587</v>
      </c>
      <c r="E833">
        <v>31124</v>
      </c>
      <c r="F833" t="s">
        <v>647</v>
      </c>
      <c r="G833">
        <v>311</v>
      </c>
      <c r="H833" t="s">
        <v>60</v>
      </c>
      <c r="I833">
        <v>3</v>
      </c>
      <c r="J833" t="s">
        <v>50</v>
      </c>
    </row>
    <row r="834" spans="1:10" x14ac:dyDescent="0.25">
      <c r="A834" t="s">
        <v>7355</v>
      </c>
      <c r="B834">
        <f>172442.413155717*(1/100/100)</f>
        <v>17.244241315571699</v>
      </c>
      <c r="C834">
        <v>10131</v>
      </c>
      <c r="D834" t="s">
        <v>645</v>
      </c>
      <c r="E834">
        <v>31120</v>
      </c>
      <c r="F834" t="s">
        <v>645</v>
      </c>
      <c r="G834">
        <v>311</v>
      </c>
      <c r="H834" t="s">
        <v>60</v>
      </c>
      <c r="I834">
        <v>3</v>
      </c>
      <c r="J834" t="s">
        <v>50</v>
      </c>
    </row>
    <row r="835" spans="1:10" x14ac:dyDescent="0.25">
      <c r="A835" t="s">
        <v>7355</v>
      </c>
      <c r="B835">
        <f>42163.9469663529*(1/100/100)</f>
        <v>4.2163946966352901</v>
      </c>
      <c r="C835">
        <v>10132</v>
      </c>
      <c r="D835" t="s">
        <v>3460</v>
      </c>
      <c r="E835">
        <v>31120</v>
      </c>
      <c r="F835" t="s">
        <v>645</v>
      </c>
      <c r="G835">
        <v>311</v>
      </c>
      <c r="H835" t="s">
        <v>60</v>
      </c>
      <c r="I835">
        <v>3</v>
      </c>
      <c r="J835" t="s">
        <v>50</v>
      </c>
    </row>
    <row r="836" spans="1:10" x14ac:dyDescent="0.25">
      <c r="A836" t="s">
        <v>7355</v>
      </c>
      <c r="B836">
        <f>12425.0349611174*(1/100/100)</f>
        <v>1.24250349611174</v>
      </c>
      <c r="C836">
        <v>10133</v>
      </c>
      <c r="D836" t="s">
        <v>3490</v>
      </c>
      <c r="E836">
        <v>31103</v>
      </c>
      <c r="F836" t="s">
        <v>634</v>
      </c>
      <c r="G836">
        <v>311</v>
      </c>
      <c r="H836" t="s">
        <v>60</v>
      </c>
      <c r="I836">
        <v>3</v>
      </c>
      <c r="J836" t="s">
        <v>50</v>
      </c>
    </row>
    <row r="837" spans="1:10" x14ac:dyDescent="0.25">
      <c r="A837" t="s">
        <v>7355</v>
      </c>
      <c r="B837">
        <f>79356.2411023022*(1/100/100)</f>
        <v>7.9356241102302203</v>
      </c>
      <c r="C837">
        <v>10134</v>
      </c>
      <c r="D837" t="s">
        <v>647</v>
      </c>
      <c r="E837">
        <v>31124</v>
      </c>
      <c r="F837" t="s">
        <v>647</v>
      </c>
      <c r="G837">
        <v>311</v>
      </c>
      <c r="H837" t="s">
        <v>60</v>
      </c>
      <c r="I837">
        <v>3</v>
      </c>
      <c r="J837" t="s">
        <v>50</v>
      </c>
    </row>
    <row r="838" spans="1:10" x14ac:dyDescent="0.25">
      <c r="A838" t="s">
        <v>7355</v>
      </c>
      <c r="B838">
        <f>9646.96857563974*(1/100/100)</f>
        <v>0.96469685756397394</v>
      </c>
      <c r="C838">
        <v>10135</v>
      </c>
      <c r="D838" t="s">
        <v>3491</v>
      </c>
      <c r="E838">
        <v>31103</v>
      </c>
      <c r="F838" t="s">
        <v>634</v>
      </c>
      <c r="G838">
        <v>311</v>
      </c>
      <c r="H838" t="s">
        <v>60</v>
      </c>
      <c r="I838">
        <v>3</v>
      </c>
      <c r="J838" t="s">
        <v>50</v>
      </c>
    </row>
    <row r="839" spans="1:10" x14ac:dyDescent="0.25">
      <c r="A839" t="s">
        <v>7355</v>
      </c>
      <c r="B839">
        <f>40012.1385728204*(1/100/100)</f>
        <v>4.0012138572820399</v>
      </c>
      <c r="C839">
        <v>10136</v>
      </c>
      <c r="D839" t="s">
        <v>3555</v>
      </c>
      <c r="E839">
        <v>31114</v>
      </c>
      <c r="F839" t="s">
        <v>642</v>
      </c>
      <c r="G839">
        <v>311</v>
      </c>
      <c r="H839" t="s">
        <v>60</v>
      </c>
      <c r="I839">
        <v>3</v>
      </c>
      <c r="J839" t="s">
        <v>50</v>
      </c>
    </row>
    <row r="840" spans="1:10" x14ac:dyDescent="0.25">
      <c r="A840" t="s">
        <v>7355</v>
      </c>
      <c r="B840">
        <f>58808.8123445904*(1/100/100)</f>
        <v>5.8808812344590402</v>
      </c>
      <c r="C840">
        <v>10137</v>
      </c>
      <c r="D840" t="s">
        <v>3506</v>
      </c>
      <c r="E840">
        <v>31105</v>
      </c>
      <c r="F840" t="s">
        <v>636</v>
      </c>
      <c r="G840">
        <v>311</v>
      </c>
      <c r="H840" t="s">
        <v>60</v>
      </c>
      <c r="I840">
        <v>3</v>
      </c>
      <c r="J840" t="s">
        <v>50</v>
      </c>
    </row>
    <row r="841" spans="1:10" x14ac:dyDescent="0.25">
      <c r="A841" t="s">
        <v>7355</v>
      </c>
      <c r="B841">
        <f>87128.8834103609*(1/100/100)</f>
        <v>8.7128883410360896</v>
      </c>
      <c r="C841">
        <v>10138</v>
      </c>
      <c r="D841" t="s">
        <v>3604</v>
      </c>
      <c r="E841">
        <v>31130</v>
      </c>
      <c r="F841" t="s">
        <v>649</v>
      </c>
      <c r="G841">
        <v>311</v>
      </c>
      <c r="H841" t="s">
        <v>60</v>
      </c>
      <c r="I841">
        <v>3</v>
      </c>
      <c r="J841" t="s">
        <v>50</v>
      </c>
    </row>
    <row r="842" spans="1:10" x14ac:dyDescent="0.25">
      <c r="A842" t="s">
        <v>7355</v>
      </c>
      <c r="B842">
        <f>67473.5952253337*(1/100/100)</f>
        <v>6.7473595225333707</v>
      </c>
      <c r="C842">
        <v>10139</v>
      </c>
      <c r="D842" t="s">
        <v>3588</v>
      </c>
      <c r="E842">
        <v>31124</v>
      </c>
      <c r="F842" t="s">
        <v>647</v>
      </c>
      <c r="G842">
        <v>311</v>
      </c>
      <c r="H842" t="s">
        <v>60</v>
      </c>
      <c r="I842">
        <v>3</v>
      </c>
      <c r="J842" t="s">
        <v>50</v>
      </c>
    </row>
    <row r="843" spans="1:10" x14ac:dyDescent="0.25">
      <c r="A843" t="s">
        <v>7355</v>
      </c>
      <c r="B843">
        <f>26252.0573638641*(1/100/100)</f>
        <v>2.6252057363864103</v>
      </c>
      <c r="C843">
        <v>10140</v>
      </c>
      <c r="D843" t="s">
        <v>3589</v>
      </c>
      <c r="E843">
        <v>31124</v>
      </c>
      <c r="F843" t="s">
        <v>647</v>
      </c>
      <c r="G843">
        <v>311</v>
      </c>
      <c r="H843" t="s">
        <v>60</v>
      </c>
      <c r="I843">
        <v>3</v>
      </c>
      <c r="J843" t="s">
        <v>50</v>
      </c>
    </row>
    <row r="844" spans="1:10" x14ac:dyDescent="0.25">
      <c r="A844" t="s">
        <v>7355</v>
      </c>
      <c r="B844">
        <f>50896.5752879909*(1/100/100)</f>
        <v>5.0896575287990897</v>
      </c>
      <c r="C844">
        <v>10141</v>
      </c>
      <c r="D844" t="s">
        <v>3605</v>
      </c>
      <c r="E844">
        <v>31130</v>
      </c>
      <c r="F844" t="s">
        <v>649</v>
      </c>
      <c r="G844">
        <v>311</v>
      </c>
      <c r="H844" t="s">
        <v>60</v>
      </c>
      <c r="I844">
        <v>3</v>
      </c>
      <c r="J844" t="s">
        <v>50</v>
      </c>
    </row>
    <row r="845" spans="1:10" x14ac:dyDescent="0.25">
      <c r="A845" t="s">
        <v>7355</v>
      </c>
      <c r="B845">
        <f>33300.5237763169*(1/100/100)</f>
        <v>3.3300523776316902</v>
      </c>
      <c r="C845">
        <v>10142</v>
      </c>
      <c r="D845" t="s">
        <v>3492</v>
      </c>
      <c r="E845">
        <v>31103</v>
      </c>
      <c r="F845" t="s">
        <v>634</v>
      </c>
      <c r="G845">
        <v>311</v>
      </c>
      <c r="H845" t="s">
        <v>60</v>
      </c>
      <c r="I845">
        <v>3</v>
      </c>
      <c r="J845" t="s">
        <v>50</v>
      </c>
    </row>
    <row r="846" spans="1:10" x14ac:dyDescent="0.25">
      <c r="A846" t="s">
        <v>7355</v>
      </c>
      <c r="B846">
        <f>75667.635934637*(1/100/100)</f>
        <v>7.5667635934637003</v>
      </c>
      <c r="C846">
        <v>10143</v>
      </c>
      <c r="D846" t="s">
        <v>3590</v>
      </c>
      <c r="E846">
        <v>31124</v>
      </c>
      <c r="F846" t="s">
        <v>647</v>
      </c>
      <c r="G846">
        <v>311</v>
      </c>
      <c r="H846" t="s">
        <v>60</v>
      </c>
      <c r="I846">
        <v>3</v>
      </c>
      <c r="J846" t="s">
        <v>50</v>
      </c>
    </row>
    <row r="847" spans="1:10" x14ac:dyDescent="0.25">
      <c r="A847" t="s">
        <v>7355</v>
      </c>
      <c r="B847">
        <f>21765.3257515317*(1/100/100)</f>
        <v>2.1765325751531699</v>
      </c>
      <c r="C847">
        <v>10201</v>
      </c>
      <c r="D847" t="s">
        <v>3493</v>
      </c>
      <c r="E847">
        <v>31104</v>
      </c>
      <c r="F847" t="s">
        <v>635</v>
      </c>
      <c r="G847">
        <v>311</v>
      </c>
      <c r="H847" t="s">
        <v>60</v>
      </c>
      <c r="I847">
        <v>3</v>
      </c>
      <c r="J847" t="s">
        <v>50</v>
      </c>
    </row>
    <row r="848" spans="1:10" x14ac:dyDescent="0.25">
      <c r="A848" t="s">
        <v>7355</v>
      </c>
      <c r="B848">
        <f>55865.0744586656*(1/100/100)</f>
        <v>5.5865074458665607</v>
      </c>
      <c r="C848">
        <v>10202</v>
      </c>
      <c r="D848" t="s">
        <v>3519</v>
      </c>
      <c r="E848">
        <v>31107</v>
      </c>
      <c r="F848" t="s">
        <v>638</v>
      </c>
      <c r="G848">
        <v>311</v>
      </c>
      <c r="H848" t="s">
        <v>60</v>
      </c>
      <c r="I848">
        <v>3</v>
      </c>
      <c r="J848" t="s">
        <v>50</v>
      </c>
    </row>
    <row r="849" spans="1:10" x14ac:dyDescent="0.25">
      <c r="A849" t="s">
        <v>7355</v>
      </c>
      <c r="B849">
        <f>17761.6546202957*(1/100/100)</f>
        <v>1.7761654620295702</v>
      </c>
      <c r="C849">
        <v>10203</v>
      </c>
      <c r="D849" t="s">
        <v>3494</v>
      </c>
      <c r="E849">
        <v>31104</v>
      </c>
      <c r="F849" t="s">
        <v>635</v>
      </c>
      <c r="G849">
        <v>311</v>
      </c>
      <c r="H849" t="s">
        <v>60</v>
      </c>
      <c r="I849">
        <v>3</v>
      </c>
      <c r="J849" t="s">
        <v>50</v>
      </c>
    </row>
    <row r="850" spans="1:10" x14ac:dyDescent="0.25">
      <c r="A850" t="s">
        <v>7355</v>
      </c>
      <c r="B850">
        <f>89571.7522279871*(1/100/100)</f>
        <v>8.9571752227987105</v>
      </c>
      <c r="C850">
        <v>10204</v>
      </c>
      <c r="D850" t="s">
        <v>3495</v>
      </c>
      <c r="E850">
        <v>31104</v>
      </c>
      <c r="F850" t="s">
        <v>635</v>
      </c>
      <c r="G850">
        <v>311</v>
      </c>
      <c r="H850" t="s">
        <v>60</v>
      </c>
      <c r="I850">
        <v>3</v>
      </c>
      <c r="J850" t="s">
        <v>50</v>
      </c>
    </row>
    <row r="851" spans="1:10" x14ac:dyDescent="0.25">
      <c r="A851" t="s">
        <v>7355</v>
      </c>
      <c r="B851">
        <f>25449.272285027*(1/100/100)</f>
        <v>2.5449272285027003</v>
      </c>
      <c r="C851">
        <v>10205</v>
      </c>
      <c r="D851" t="s">
        <v>3496</v>
      </c>
      <c r="E851">
        <v>31104</v>
      </c>
      <c r="F851" t="s">
        <v>635</v>
      </c>
      <c r="G851">
        <v>311</v>
      </c>
      <c r="H851" t="s">
        <v>60</v>
      </c>
      <c r="I851">
        <v>3</v>
      </c>
      <c r="J851" t="s">
        <v>50</v>
      </c>
    </row>
    <row r="852" spans="1:10" x14ac:dyDescent="0.25">
      <c r="A852" t="s">
        <v>7355</v>
      </c>
      <c r="B852">
        <f>40212.8056922127*(1/100/100)</f>
        <v>4.0212805692212701</v>
      </c>
      <c r="C852">
        <v>10206</v>
      </c>
      <c r="D852" t="s">
        <v>3591</v>
      </c>
      <c r="E852">
        <v>31129</v>
      </c>
      <c r="F852" t="s">
        <v>648</v>
      </c>
      <c r="G852">
        <v>311</v>
      </c>
      <c r="H852" t="s">
        <v>60</v>
      </c>
      <c r="I852">
        <v>3</v>
      </c>
      <c r="J852" t="s">
        <v>50</v>
      </c>
    </row>
    <row r="853" spans="1:10" x14ac:dyDescent="0.25">
      <c r="A853" t="s">
        <v>7355</v>
      </c>
      <c r="B853">
        <f>20398.3907787474*(1/100/100)</f>
        <v>2.0398390778747402</v>
      </c>
      <c r="C853">
        <v>10207</v>
      </c>
      <c r="D853" t="s">
        <v>3520</v>
      </c>
      <c r="E853">
        <v>31107</v>
      </c>
      <c r="F853" t="s">
        <v>638</v>
      </c>
      <c r="G853">
        <v>311</v>
      </c>
      <c r="H853" t="s">
        <v>60</v>
      </c>
      <c r="I853">
        <v>3</v>
      </c>
      <c r="J853" t="s">
        <v>50</v>
      </c>
    </row>
    <row r="854" spans="1:10" x14ac:dyDescent="0.25">
      <c r="A854" t="s">
        <v>7355</v>
      </c>
      <c r="B854">
        <f>86312.3210417093*(1/100/100)</f>
        <v>8.6312321041709303</v>
      </c>
      <c r="C854">
        <v>10208</v>
      </c>
      <c r="D854" t="s">
        <v>638</v>
      </c>
      <c r="E854">
        <v>31107</v>
      </c>
      <c r="F854" t="s">
        <v>638</v>
      </c>
      <c r="G854">
        <v>311</v>
      </c>
      <c r="H854" t="s">
        <v>60</v>
      </c>
      <c r="I854">
        <v>3</v>
      </c>
      <c r="J854" t="s">
        <v>50</v>
      </c>
    </row>
    <row r="855" spans="1:10" x14ac:dyDescent="0.25">
      <c r="A855" t="s">
        <v>7355</v>
      </c>
      <c r="B855">
        <f>56155.535194181*(1/100/100)</f>
        <v>5.6155535194180999</v>
      </c>
      <c r="C855">
        <v>10209</v>
      </c>
      <c r="D855" t="s">
        <v>3521</v>
      </c>
      <c r="E855">
        <v>31107</v>
      </c>
      <c r="F855" t="s">
        <v>638</v>
      </c>
      <c r="G855">
        <v>311</v>
      </c>
      <c r="H855" t="s">
        <v>60</v>
      </c>
      <c r="I855">
        <v>3</v>
      </c>
      <c r="J855" t="s">
        <v>50</v>
      </c>
    </row>
    <row r="856" spans="1:10" x14ac:dyDescent="0.25">
      <c r="A856" t="s">
        <v>7355</v>
      </c>
      <c r="B856">
        <f>15191.6148788627*(1/100/100)</f>
        <v>1.51916148788627</v>
      </c>
      <c r="C856">
        <v>10210</v>
      </c>
      <c r="D856" t="s">
        <v>3544</v>
      </c>
      <c r="E856">
        <v>31111</v>
      </c>
      <c r="F856" t="s">
        <v>640</v>
      </c>
      <c r="G856">
        <v>311</v>
      </c>
      <c r="H856" t="s">
        <v>60</v>
      </c>
      <c r="I856">
        <v>3</v>
      </c>
      <c r="J856" t="s">
        <v>50</v>
      </c>
    </row>
    <row r="857" spans="1:10" x14ac:dyDescent="0.25">
      <c r="A857" t="s">
        <v>7355</v>
      </c>
      <c r="B857">
        <f>29259.4084591395*(1/100/100)</f>
        <v>2.9259408459139502</v>
      </c>
      <c r="C857">
        <v>10212</v>
      </c>
      <c r="D857" t="s">
        <v>3522</v>
      </c>
      <c r="E857">
        <v>31107</v>
      </c>
      <c r="F857" t="s">
        <v>638</v>
      </c>
      <c r="G857">
        <v>311</v>
      </c>
      <c r="H857" t="s">
        <v>60</v>
      </c>
      <c r="I857">
        <v>3</v>
      </c>
      <c r="J857" t="s">
        <v>50</v>
      </c>
    </row>
    <row r="858" spans="1:10" x14ac:dyDescent="0.25">
      <c r="A858" t="s">
        <v>7355</v>
      </c>
      <c r="B858">
        <f>28364.7692725502*(1/100/100)</f>
        <v>2.8364769272550201</v>
      </c>
      <c r="C858">
        <v>10213</v>
      </c>
      <c r="D858" t="s">
        <v>3592</v>
      </c>
      <c r="E858">
        <v>31129</v>
      </c>
      <c r="F858" t="s">
        <v>648</v>
      </c>
      <c r="G858">
        <v>311</v>
      </c>
      <c r="H858" t="s">
        <v>60</v>
      </c>
      <c r="I858">
        <v>3</v>
      </c>
      <c r="J858" t="s">
        <v>50</v>
      </c>
    </row>
    <row r="859" spans="1:10" x14ac:dyDescent="0.25">
      <c r="A859" t="s">
        <v>7355</v>
      </c>
      <c r="B859">
        <f>25534.8033785632*(1/100/100)</f>
        <v>2.5534803378563202</v>
      </c>
      <c r="C859">
        <v>10214</v>
      </c>
      <c r="D859" t="s">
        <v>3497</v>
      </c>
      <c r="E859">
        <v>31104</v>
      </c>
      <c r="F859" t="s">
        <v>635</v>
      </c>
      <c r="G859">
        <v>311</v>
      </c>
      <c r="H859" t="s">
        <v>60</v>
      </c>
      <c r="I859">
        <v>3</v>
      </c>
      <c r="J859" t="s">
        <v>50</v>
      </c>
    </row>
    <row r="860" spans="1:10" x14ac:dyDescent="0.25">
      <c r="A860" t="s">
        <v>7355</v>
      </c>
      <c r="B860">
        <f>17618.4904494866*(1/100/100)</f>
        <v>1.7618490449486599</v>
      </c>
      <c r="C860">
        <v>10215</v>
      </c>
      <c r="D860" t="s">
        <v>3551</v>
      </c>
      <c r="E860">
        <v>31113</v>
      </c>
      <c r="F860" t="s">
        <v>641</v>
      </c>
      <c r="G860">
        <v>311</v>
      </c>
      <c r="H860" t="s">
        <v>60</v>
      </c>
      <c r="I860">
        <v>3</v>
      </c>
      <c r="J860" t="s">
        <v>50</v>
      </c>
    </row>
    <row r="861" spans="1:10" x14ac:dyDescent="0.25">
      <c r="A861" t="s">
        <v>7355</v>
      </c>
      <c r="B861">
        <f>49162.8739450501*(1/100/100)</f>
        <v>4.9162873945050105</v>
      </c>
      <c r="C861">
        <v>10216</v>
      </c>
      <c r="D861" t="s">
        <v>3593</v>
      </c>
      <c r="E861">
        <v>31129</v>
      </c>
      <c r="F861" t="s">
        <v>648</v>
      </c>
      <c r="G861">
        <v>311</v>
      </c>
      <c r="H861" t="s">
        <v>60</v>
      </c>
      <c r="I861">
        <v>3</v>
      </c>
      <c r="J861" t="s">
        <v>50</v>
      </c>
    </row>
    <row r="862" spans="1:10" x14ac:dyDescent="0.25">
      <c r="A862" t="s">
        <v>7355</v>
      </c>
      <c r="B862">
        <f>41468.8584456549*(1/100/100)</f>
        <v>4.1468858445654906</v>
      </c>
      <c r="C862">
        <v>10217</v>
      </c>
      <c r="D862" t="s">
        <v>3523</v>
      </c>
      <c r="E862">
        <v>31107</v>
      </c>
      <c r="F862" t="s">
        <v>638</v>
      </c>
      <c r="G862">
        <v>311</v>
      </c>
      <c r="H862" t="s">
        <v>60</v>
      </c>
      <c r="I862">
        <v>3</v>
      </c>
      <c r="J862" t="s">
        <v>50</v>
      </c>
    </row>
    <row r="863" spans="1:10" x14ac:dyDescent="0.25">
      <c r="A863" t="s">
        <v>7355</v>
      </c>
      <c r="B863">
        <f>43650.4112485628*(1/100/100)</f>
        <v>4.3650411248562797</v>
      </c>
      <c r="C863">
        <v>10218</v>
      </c>
      <c r="D863" t="s">
        <v>640</v>
      </c>
      <c r="E863">
        <v>31111</v>
      </c>
      <c r="F863" t="s">
        <v>640</v>
      </c>
      <c r="G863">
        <v>311</v>
      </c>
      <c r="H863" t="s">
        <v>60</v>
      </c>
      <c r="I863">
        <v>3</v>
      </c>
      <c r="J863" t="s">
        <v>50</v>
      </c>
    </row>
    <row r="864" spans="1:10" x14ac:dyDescent="0.25">
      <c r="A864" t="s">
        <v>7355</v>
      </c>
      <c r="B864">
        <f>29595.8193852525*(1/100/100)</f>
        <v>2.95958193852525</v>
      </c>
      <c r="C864">
        <v>10219</v>
      </c>
      <c r="D864" t="s">
        <v>3524</v>
      </c>
      <c r="E864">
        <v>31107</v>
      </c>
      <c r="F864" t="s">
        <v>638</v>
      </c>
      <c r="G864">
        <v>311</v>
      </c>
      <c r="H864" t="s">
        <v>60</v>
      </c>
      <c r="I864">
        <v>3</v>
      </c>
      <c r="J864" t="s">
        <v>50</v>
      </c>
    </row>
    <row r="865" spans="1:10" x14ac:dyDescent="0.25">
      <c r="A865" t="s">
        <v>7355</v>
      </c>
      <c r="B865">
        <f>184450.535935849*(1/100/100)</f>
        <v>18.445053593584902</v>
      </c>
      <c r="C865">
        <v>10220</v>
      </c>
      <c r="D865" t="s">
        <v>641</v>
      </c>
      <c r="E865">
        <v>31113</v>
      </c>
      <c r="F865" t="s">
        <v>641</v>
      </c>
      <c r="G865">
        <v>311</v>
      </c>
      <c r="H865" t="s">
        <v>60</v>
      </c>
      <c r="I865">
        <v>3</v>
      </c>
      <c r="J865" t="s">
        <v>50</v>
      </c>
    </row>
    <row r="866" spans="1:10" x14ac:dyDescent="0.25">
      <c r="A866" t="s">
        <v>7355</v>
      </c>
      <c r="B866">
        <f>19230.8707105117*(1/100/100)</f>
        <v>1.92308707105117</v>
      </c>
      <c r="C866">
        <v>10221</v>
      </c>
      <c r="D866" t="s">
        <v>3594</v>
      </c>
      <c r="E866">
        <v>31129</v>
      </c>
      <c r="F866" t="s">
        <v>648</v>
      </c>
      <c r="G866">
        <v>311</v>
      </c>
      <c r="H866" t="s">
        <v>60</v>
      </c>
      <c r="I866">
        <v>3</v>
      </c>
      <c r="J866" t="s">
        <v>50</v>
      </c>
    </row>
    <row r="867" spans="1:10" x14ac:dyDescent="0.25">
      <c r="A867" t="s">
        <v>7355</v>
      </c>
      <c r="B867">
        <f>11111.047817658*(1/100/100)</f>
        <v>1.1111047817658</v>
      </c>
      <c r="C867">
        <v>10222</v>
      </c>
      <c r="D867" t="s">
        <v>3525</v>
      </c>
      <c r="E867">
        <v>31107</v>
      </c>
      <c r="F867" t="s">
        <v>638</v>
      </c>
      <c r="G867">
        <v>311</v>
      </c>
      <c r="H867" t="s">
        <v>60</v>
      </c>
      <c r="I867">
        <v>3</v>
      </c>
      <c r="J867" t="s">
        <v>50</v>
      </c>
    </row>
    <row r="868" spans="1:10" x14ac:dyDescent="0.25">
      <c r="A868" t="s">
        <v>7355</v>
      </c>
      <c r="B868">
        <f>16919.9169897541*(1/100/100)</f>
        <v>1.69199169897541</v>
      </c>
      <c r="C868">
        <v>10223</v>
      </c>
      <c r="D868" t="s">
        <v>3498</v>
      </c>
      <c r="E868">
        <v>31104</v>
      </c>
      <c r="F868" t="s">
        <v>635</v>
      </c>
      <c r="G868">
        <v>311</v>
      </c>
      <c r="H868" t="s">
        <v>60</v>
      </c>
      <c r="I868">
        <v>3</v>
      </c>
      <c r="J868" t="s">
        <v>50</v>
      </c>
    </row>
    <row r="869" spans="1:10" x14ac:dyDescent="0.25">
      <c r="A869" t="s">
        <v>7355</v>
      </c>
      <c r="B869">
        <f>26139.385516692*(1/100/100)</f>
        <v>2.6139385516692002</v>
      </c>
      <c r="C869">
        <v>10224</v>
      </c>
      <c r="D869" t="s">
        <v>3595</v>
      </c>
      <c r="E869">
        <v>31129</v>
      </c>
      <c r="F869" t="s">
        <v>648</v>
      </c>
      <c r="G869">
        <v>311</v>
      </c>
      <c r="H869" t="s">
        <v>60</v>
      </c>
      <c r="I869">
        <v>3</v>
      </c>
      <c r="J869" t="s">
        <v>50</v>
      </c>
    </row>
    <row r="870" spans="1:10" x14ac:dyDescent="0.25">
      <c r="A870" t="s">
        <v>7355</v>
      </c>
      <c r="B870">
        <f>15177.1818485651*(1/100/100)</f>
        <v>1.51771818485651</v>
      </c>
      <c r="C870">
        <v>10225</v>
      </c>
      <c r="D870" t="s">
        <v>3526</v>
      </c>
      <c r="E870">
        <v>31107</v>
      </c>
      <c r="F870" t="s">
        <v>638</v>
      </c>
      <c r="G870">
        <v>311</v>
      </c>
      <c r="H870" t="s">
        <v>60</v>
      </c>
      <c r="I870">
        <v>3</v>
      </c>
      <c r="J870" t="s">
        <v>50</v>
      </c>
    </row>
    <row r="871" spans="1:10" x14ac:dyDescent="0.25">
      <c r="A871" t="s">
        <v>7355</v>
      </c>
      <c r="B871">
        <f>25802.6280778649*(1/100/100)</f>
        <v>2.5802628077864904</v>
      </c>
      <c r="C871">
        <v>10226</v>
      </c>
      <c r="D871" t="s">
        <v>3596</v>
      </c>
      <c r="E871">
        <v>31129</v>
      </c>
      <c r="F871" t="s">
        <v>648</v>
      </c>
      <c r="G871">
        <v>311</v>
      </c>
      <c r="H871" t="s">
        <v>60</v>
      </c>
      <c r="I871">
        <v>3</v>
      </c>
      <c r="J871" t="s">
        <v>50</v>
      </c>
    </row>
    <row r="872" spans="1:10" x14ac:dyDescent="0.25">
      <c r="A872" t="s">
        <v>7355</v>
      </c>
      <c r="B872">
        <f>34087.1389349041*(1/100/100)</f>
        <v>3.4087138934904102</v>
      </c>
      <c r="C872">
        <v>10227</v>
      </c>
      <c r="D872" t="s">
        <v>3597</v>
      </c>
      <c r="E872">
        <v>31129</v>
      </c>
      <c r="F872" t="s">
        <v>648</v>
      </c>
      <c r="G872">
        <v>311</v>
      </c>
      <c r="H872" t="s">
        <v>60</v>
      </c>
      <c r="I872">
        <v>3</v>
      </c>
      <c r="J872" t="s">
        <v>50</v>
      </c>
    </row>
    <row r="873" spans="1:10" x14ac:dyDescent="0.25">
      <c r="A873" t="s">
        <v>7355</v>
      </c>
      <c r="B873">
        <f>25466.6294280836*(1/100/100)</f>
        <v>2.5466629428083603</v>
      </c>
      <c r="C873">
        <v>10228</v>
      </c>
      <c r="D873" t="s">
        <v>3527</v>
      </c>
      <c r="E873">
        <v>31107</v>
      </c>
      <c r="F873" t="s">
        <v>638</v>
      </c>
      <c r="G873">
        <v>311</v>
      </c>
      <c r="H873" t="s">
        <v>60</v>
      </c>
      <c r="I873">
        <v>3</v>
      </c>
      <c r="J873" t="s">
        <v>50</v>
      </c>
    </row>
    <row r="874" spans="1:10" x14ac:dyDescent="0.25">
      <c r="A874" t="s">
        <v>7355</v>
      </c>
      <c r="B874">
        <f>26795.0597549072*(1/100/100)</f>
        <v>2.67950597549072</v>
      </c>
      <c r="C874">
        <v>10229</v>
      </c>
      <c r="D874" t="s">
        <v>3528</v>
      </c>
      <c r="E874">
        <v>31107</v>
      </c>
      <c r="F874" t="s">
        <v>638</v>
      </c>
      <c r="G874">
        <v>311</v>
      </c>
      <c r="H874" t="s">
        <v>60</v>
      </c>
      <c r="I874">
        <v>3</v>
      </c>
      <c r="J874" t="s">
        <v>50</v>
      </c>
    </row>
    <row r="875" spans="1:10" x14ac:dyDescent="0.25">
      <c r="A875" t="s">
        <v>7355</v>
      </c>
      <c r="B875">
        <f>48395.5934762227*(1/100/100)</f>
        <v>4.83955934762227</v>
      </c>
      <c r="C875">
        <v>10230</v>
      </c>
      <c r="D875" t="s">
        <v>3598</v>
      </c>
      <c r="E875">
        <v>31129</v>
      </c>
      <c r="F875" t="s">
        <v>648</v>
      </c>
      <c r="G875">
        <v>311</v>
      </c>
      <c r="H875" t="s">
        <v>60</v>
      </c>
      <c r="I875">
        <v>3</v>
      </c>
      <c r="J875" t="s">
        <v>50</v>
      </c>
    </row>
    <row r="876" spans="1:10" x14ac:dyDescent="0.25">
      <c r="A876" t="s">
        <v>7355</v>
      </c>
      <c r="B876">
        <f>14945.1391087681*(1/100/100)</f>
        <v>1.4945139108768102</v>
      </c>
      <c r="C876">
        <v>10231</v>
      </c>
      <c r="D876" t="s">
        <v>3545</v>
      </c>
      <c r="E876">
        <v>31111</v>
      </c>
      <c r="F876" t="s">
        <v>640</v>
      </c>
      <c r="G876">
        <v>311</v>
      </c>
      <c r="H876" t="s">
        <v>60</v>
      </c>
      <c r="I876">
        <v>3</v>
      </c>
      <c r="J876" t="s">
        <v>50</v>
      </c>
    </row>
    <row r="877" spans="1:10" x14ac:dyDescent="0.25">
      <c r="A877" t="s">
        <v>7355</v>
      </c>
      <c r="B877">
        <f>41911.5630181498*(1/100/100)</f>
        <v>4.1911563018149804</v>
      </c>
      <c r="C877">
        <v>10232</v>
      </c>
      <c r="D877" t="s">
        <v>3546</v>
      </c>
      <c r="E877">
        <v>31111</v>
      </c>
      <c r="F877" t="s">
        <v>640</v>
      </c>
      <c r="G877">
        <v>311</v>
      </c>
      <c r="H877" t="s">
        <v>60</v>
      </c>
      <c r="I877">
        <v>3</v>
      </c>
      <c r="J877" t="s">
        <v>50</v>
      </c>
    </row>
    <row r="878" spans="1:10" x14ac:dyDescent="0.25">
      <c r="A878" t="s">
        <v>7355</v>
      </c>
      <c r="B878">
        <f>1096.30260252812*(1/100/100)</f>
        <v>0.109630260252812</v>
      </c>
      <c r="C878">
        <v>10233</v>
      </c>
      <c r="D878" t="s">
        <v>3529</v>
      </c>
      <c r="E878">
        <v>31107</v>
      </c>
      <c r="F878" t="s">
        <v>638</v>
      </c>
      <c r="G878">
        <v>311</v>
      </c>
      <c r="H878" t="s">
        <v>60</v>
      </c>
      <c r="I878">
        <v>3</v>
      </c>
      <c r="J878" t="s">
        <v>50</v>
      </c>
    </row>
    <row r="879" spans="1:10" x14ac:dyDescent="0.25">
      <c r="A879" t="s">
        <v>7355</v>
      </c>
      <c r="B879">
        <f>26628.856840851*(1/100/100)</f>
        <v>2.6628856840851003</v>
      </c>
      <c r="C879">
        <v>10234</v>
      </c>
      <c r="D879" t="s">
        <v>3499</v>
      </c>
      <c r="E879">
        <v>31104</v>
      </c>
      <c r="F879" t="s">
        <v>635</v>
      </c>
      <c r="G879">
        <v>311</v>
      </c>
      <c r="H879" t="s">
        <v>60</v>
      </c>
      <c r="I879">
        <v>3</v>
      </c>
      <c r="J879" t="s">
        <v>50</v>
      </c>
    </row>
    <row r="880" spans="1:10" x14ac:dyDescent="0.25">
      <c r="A880" t="s">
        <v>7355</v>
      </c>
      <c r="B880">
        <f>7490.11847369671*(1/100/100)</f>
        <v>0.74901184736967097</v>
      </c>
      <c r="C880">
        <v>10235</v>
      </c>
      <c r="D880" t="s">
        <v>3500</v>
      </c>
      <c r="E880">
        <v>31104</v>
      </c>
      <c r="F880" t="s">
        <v>635</v>
      </c>
      <c r="G880">
        <v>311</v>
      </c>
      <c r="H880" t="s">
        <v>60</v>
      </c>
      <c r="I880">
        <v>3</v>
      </c>
      <c r="J880" t="s">
        <v>50</v>
      </c>
    </row>
    <row r="881" spans="1:10" x14ac:dyDescent="0.25">
      <c r="A881" t="s">
        <v>7355</v>
      </c>
      <c r="B881">
        <f>17244.8582850925*(1/100/100)</f>
        <v>1.7244858285092501</v>
      </c>
      <c r="C881">
        <v>10236</v>
      </c>
      <c r="D881" t="s">
        <v>3161</v>
      </c>
      <c r="E881">
        <v>31107</v>
      </c>
      <c r="F881" t="s">
        <v>638</v>
      </c>
      <c r="G881">
        <v>311</v>
      </c>
      <c r="H881" t="s">
        <v>60</v>
      </c>
      <c r="I881">
        <v>3</v>
      </c>
      <c r="J881" t="s">
        <v>50</v>
      </c>
    </row>
    <row r="882" spans="1:10" x14ac:dyDescent="0.25">
      <c r="A882" t="s">
        <v>7355</v>
      </c>
      <c r="B882">
        <f>171805.265523619*(1/100/100)</f>
        <v>17.180526552361901</v>
      </c>
      <c r="C882">
        <v>10238</v>
      </c>
      <c r="D882" t="s">
        <v>648</v>
      </c>
      <c r="E882">
        <v>31129</v>
      </c>
      <c r="F882" t="s">
        <v>648</v>
      </c>
      <c r="G882">
        <v>311</v>
      </c>
      <c r="H882" t="s">
        <v>60</v>
      </c>
      <c r="I882">
        <v>3</v>
      </c>
      <c r="J882" t="s">
        <v>50</v>
      </c>
    </row>
    <row r="883" spans="1:10" x14ac:dyDescent="0.25">
      <c r="A883" t="s">
        <v>7355</v>
      </c>
      <c r="B883">
        <f>37332.101292103*(1/100/100)</f>
        <v>3.7332101292102999</v>
      </c>
      <c r="C883">
        <v>10239</v>
      </c>
      <c r="D883" t="s">
        <v>484</v>
      </c>
      <c r="E883">
        <v>31104</v>
      </c>
      <c r="F883" t="s">
        <v>635</v>
      </c>
      <c r="G883">
        <v>311</v>
      </c>
      <c r="H883" t="s">
        <v>60</v>
      </c>
      <c r="I883">
        <v>3</v>
      </c>
      <c r="J883" t="s">
        <v>50</v>
      </c>
    </row>
    <row r="884" spans="1:10" x14ac:dyDescent="0.25">
      <c r="A884" t="s">
        <v>7355</v>
      </c>
      <c r="B884">
        <f>5187.77402582287*(1/100/100)</f>
        <v>0.51877740258228699</v>
      </c>
      <c r="C884">
        <v>10240</v>
      </c>
      <c r="D884" t="s">
        <v>3501</v>
      </c>
      <c r="E884">
        <v>31104</v>
      </c>
      <c r="F884" t="s">
        <v>635</v>
      </c>
      <c r="G884">
        <v>311</v>
      </c>
      <c r="H884" t="s">
        <v>60</v>
      </c>
      <c r="I884">
        <v>3</v>
      </c>
      <c r="J884" t="s">
        <v>50</v>
      </c>
    </row>
    <row r="885" spans="1:10" x14ac:dyDescent="0.25">
      <c r="A885" t="s">
        <v>7355</v>
      </c>
      <c r="B885">
        <f>17949.9641459361*(1/100/100)</f>
        <v>1.7949964145936101</v>
      </c>
      <c r="C885">
        <v>10241</v>
      </c>
      <c r="D885" t="s">
        <v>3547</v>
      </c>
      <c r="E885">
        <v>31111</v>
      </c>
      <c r="F885" t="s">
        <v>640</v>
      </c>
      <c r="G885">
        <v>311</v>
      </c>
      <c r="H885" t="s">
        <v>60</v>
      </c>
      <c r="I885">
        <v>3</v>
      </c>
      <c r="J885" t="s">
        <v>50</v>
      </c>
    </row>
    <row r="886" spans="1:10" x14ac:dyDescent="0.25">
      <c r="A886" t="s">
        <v>7355</v>
      </c>
      <c r="B886">
        <f>15615.0634640285*(1/100/100)</f>
        <v>1.5615063464028502</v>
      </c>
      <c r="C886">
        <v>10242</v>
      </c>
      <c r="D886" t="s">
        <v>3502</v>
      </c>
      <c r="E886">
        <v>31104</v>
      </c>
      <c r="F886" t="s">
        <v>635</v>
      </c>
      <c r="G886">
        <v>311</v>
      </c>
      <c r="H886" t="s">
        <v>60</v>
      </c>
      <c r="I886">
        <v>3</v>
      </c>
      <c r="J886" t="s">
        <v>50</v>
      </c>
    </row>
    <row r="887" spans="1:10" x14ac:dyDescent="0.25">
      <c r="A887" t="s">
        <v>7355</v>
      </c>
      <c r="B887">
        <f>71446.9359791447*(1/100/100)</f>
        <v>7.144693597914471</v>
      </c>
      <c r="C887">
        <v>10243</v>
      </c>
      <c r="D887" t="s">
        <v>3503</v>
      </c>
      <c r="E887">
        <v>31104</v>
      </c>
      <c r="F887" t="s">
        <v>635</v>
      </c>
      <c r="G887">
        <v>311</v>
      </c>
      <c r="H887" t="s">
        <v>60</v>
      </c>
      <c r="I887">
        <v>3</v>
      </c>
      <c r="J887" t="s">
        <v>50</v>
      </c>
    </row>
    <row r="888" spans="1:10" x14ac:dyDescent="0.25">
      <c r="A888" t="s">
        <v>7355</v>
      </c>
      <c r="B888">
        <f>30025.773196659*(1/100/100)</f>
        <v>3.0025773196659</v>
      </c>
      <c r="C888">
        <v>10244</v>
      </c>
      <c r="D888" t="s">
        <v>3548</v>
      </c>
      <c r="E888">
        <v>31111</v>
      </c>
      <c r="F888" t="s">
        <v>640</v>
      </c>
      <c r="G888">
        <v>311</v>
      </c>
      <c r="H888" t="s">
        <v>60</v>
      </c>
      <c r="I888">
        <v>3</v>
      </c>
      <c r="J888" t="s">
        <v>50</v>
      </c>
    </row>
    <row r="889" spans="1:10" x14ac:dyDescent="0.25">
      <c r="A889" t="s">
        <v>7355</v>
      </c>
      <c r="B889">
        <f>28053.4527600815*(1/100/100)</f>
        <v>2.8053452760081501</v>
      </c>
      <c r="C889">
        <v>10245</v>
      </c>
      <c r="D889" t="s">
        <v>3549</v>
      </c>
      <c r="E889">
        <v>31111</v>
      </c>
      <c r="F889" t="s">
        <v>640</v>
      </c>
      <c r="G889">
        <v>311</v>
      </c>
      <c r="H889" t="s">
        <v>60</v>
      </c>
      <c r="I889">
        <v>3</v>
      </c>
      <c r="J889" t="s">
        <v>50</v>
      </c>
    </row>
    <row r="890" spans="1:10" x14ac:dyDescent="0.25">
      <c r="A890" t="s">
        <v>7355</v>
      </c>
      <c r="B890">
        <f>30170.948137732*(1/100/100)</f>
        <v>3.0170948137732001</v>
      </c>
      <c r="C890">
        <v>10246</v>
      </c>
      <c r="D890" t="s">
        <v>3550</v>
      </c>
      <c r="E890">
        <v>31111</v>
      </c>
      <c r="F890" t="s">
        <v>640</v>
      </c>
      <c r="G890">
        <v>311</v>
      </c>
      <c r="H890" t="s">
        <v>60</v>
      </c>
      <c r="I890">
        <v>3</v>
      </c>
      <c r="J890" t="s">
        <v>50</v>
      </c>
    </row>
    <row r="891" spans="1:10" x14ac:dyDescent="0.25">
      <c r="A891" t="s">
        <v>7355</v>
      </c>
      <c r="B891">
        <f>41135.8695965448*(1/100/100)</f>
        <v>4.1135869596544801</v>
      </c>
      <c r="C891">
        <v>10247</v>
      </c>
      <c r="D891" t="s">
        <v>3599</v>
      </c>
      <c r="E891">
        <v>31129</v>
      </c>
      <c r="F891" t="s">
        <v>648</v>
      </c>
      <c r="G891">
        <v>311</v>
      </c>
      <c r="H891" t="s">
        <v>60</v>
      </c>
      <c r="I891">
        <v>3</v>
      </c>
      <c r="J891" t="s">
        <v>50</v>
      </c>
    </row>
    <row r="892" spans="1:10" x14ac:dyDescent="0.25">
      <c r="A892" t="s">
        <v>7355</v>
      </c>
      <c r="B892">
        <f>35071.8691996417*(1/100/100)</f>
        <v>3.5071869199641696</v>
      </c>
      <c r="C892">
        <v>10248</v>
      </c>
      <c r="D892" t="s">
        <v>3600</v>
      </c>
      <c r="E892">
        <v>31129</v>
      </c>
      <c r="F892" t="s">
        <v>648</v>
      </c>
      <c r="G892">
        <v>311</v>
      </c>
      <c r="H892" t="s">
        <v>60</v>
      </c>
      <c r="I892">
        <v>3</v>
      </c>
      <c r="J892" t="s">
        <v>50</v>
      </c>
    </row>
    <row r="893" spans="1:10" x14ac:dyDescent="0.25">
      <c r="A893" t="s">
        <v>7355</v>
      </c>
      <c r="B893">
        <f>31791.8020037806*(1/100/100)</f>
        <v>3.1791802003780605</v>
      </c>
      <c r="C893">
        <v>10249</v>
      </c>
      <c r="D893" t="s">
        <v>3601</v>
      </c>
      <c r="E893">
        <v>31129</v>
      </c>
      <c r="F893" t="s">
        <v>648</v>
      </c>
      <c r="G893">
        <v>311</v>
      </c>
      <c r="H893" t="s">
        <v>60</v>
      </c>
      <c r="I893">
        <v>3</v>
      </c>
      <c r="J893" t="s">
        <v>50</v>
      </c>
    </row>
    <row r="894" spans="1:10" x14ac:dyDescent="0.25">
      <c r="A894" t="s">
        <v>7355</v>
      </c>
      <c r="B894">
        <f>44052.1381966033*(1/100/100)</f>
        <v>4.4052138196603305</v>
      </c>
      <c r="C894">
        <v>11001</v>
      </c>
      <c r="D894" t="s">
        <v>3625</v>
      </c>
      <c r="E894">
        <v>31205</v>
      </c>
      <c r="F894" t="s">
        <v>654</v>
      </c>
      <c r="G894">
        <v>312</v>
      </c>
      <c r="H894" t="s">
        <v>61</v>
      </c>
      <c r="I894">
        <v>3</v>
      </c>
      <c r="J894" t="s">
        <v>50</v>
      </c>
    </row>
    <row r="895" spans="1:10" x14ac:dyDescent="0.25">
      <c r="A895" t="s">
        <v>7355</v>
      </c>
      <c r="B895">
        <f>120730.372169553*(1/100/100)</f>
        <v>12.073037216955301</v>
      </c>
      <c r="C895">
        <v>11002</v>
      </c>
      <c r="D895" t="s">
        <v>3631</v>
      </c>
      <c r="E895">
        <v>31207</v>
      </c>
      <c r="F895" t="s">
        <v>656</v>
      </c>
      <c r="G895">
        <v>312</v>
      </c>
      <c r="H895" t="s">
        <v>61</v>
      </c>
      <c r="I895">
        <v>3</v>
      </c>
      <c r="J895" t="s">
        <v>50</v>
      </c>
    </row>
    <row r="896" spans="1:10" x14ac:dyDescent="0.25">
      <c r="A896" t="s">
        <v>7355</v>
      </c>
      <c r="B896">
        <f>45676.6937339614*(1/100/100)</f>
        <v>4.5676693733961402</v>
      </c>
      <c r="C896">
        <v>11003</v>
      </c>
      <c r="D896" t="s">
        <v>3456</v>
      </c>
      <c r="E896">
        <v>31207</v>
      </c>
      <c r="F896" t="s">
        <v>656</v>
      </c>
      <c r="G896">
        <v>312</v>
      </c>
      <c r="H896" t="s">
        <v>61</v>
      </c>
      <c r="I896">
        <v>3</v>
      </c>
      <c r="J896" t="s">
        <v>50</v>
      </c>
    </row>
    <row r="897" spans="1:10" x14ac:dyDescent="0.25">
      <c r="A897" t="s">
        <v>7355</v>
      </c>
      <c r="B897">
        <f>51701.0390518354*(1/100/100)</f>
        <v>5.1701039051835407</v>
      </c>
      <c r="C897">
        <v>11004</v>
      </c>
      <c r="D897" t="s">
        <v>3626</v>
      </c>
      <c r="E897">
        <v>31205</v>
      </c>
      <c r="F897" t="s">
        <v>654</v>
      </c>
      <c r="G897">
        <v>312</v>
      </c>
      <c r="H897" t="s">
        <v>61</v>
      </c>
      <c r="I897">
        <v>3</v>
      </c>
      <c r="J897" t="s">
        <v>50</v>
      </c>
    </row>
    <row r="898" spans="1:10" x14ac:dyDescent="0.25">
      <c r="A898" t="s">
        <v>7355</v>
      </c>
      <c r="B898">
        <f>61756.8013961217*(1/100/100)</f>
        <v>6.1756801396121705</v>
      </c>
      <c r="C898">
        <v>11005</v>
      </c>
      <c r="D898" t="s">
        <v>3627</v>
      </c>
      <c r="E898">
        <v>31205</v>
      </c>
      <c r="F898" t="s">
        <v>654</v>
      </c>
      <c r="G898">
        <v>312</v>
      </c>
      <c r="H898" t="s">
        <v>61</v>
      </c>
      <c r="I898">
        <v>3</v>
      </c>
      <c r="J898" t="s">
        <v>50</v>
      </c>
    </row>
    <row r="899" spans="1:10" x14ac:dyDescent="0.25">
      <c r="A899" t="s">
        <v>7355</v>
      </c>
      <c r="B899">
        <f>906275.114413238*(1/100/100)</f>
        <v>90.627511441323804</v>
      </c>
      <c r="C899">
        <v>11006</v>
      </c>
      <c r="D899" t="s">
        <v>61</v>
      </c>
      <c r="E899">
        <v>31213</v>
      </c>
      <c r="F899" t="s">
        <v>61</v>
      </c>
      <c r="G899">
        <v>312</v>
      </c>
      <c r="H899" t="s">
        <v>61</v>
      </c>
      <c r="I899">
        <v>3</v>
      </c>
      <c r="J899" t="s">
        <v>50</v>
      </c>
    </row>
    <row r="900" spans="1:10" x14ac:dyDescent="0.25">
      <c r="A900" t="s">
        <v>7355</v>
      </c>
      <c r="B900">
        <f>38498.3738452049*(1/100/100)</f>
        <v>3.8498373845204901</v>
      </c>
      <c r="C900">
        <v>11007</v>
      </c>
      <c r="D900" t="s">
        <v>3609</v>
      </c>
      <c r="E900">
        <v>31203</v>
      </c>
      <c r="F900" t="s">
        <v>652</v>
      </c>
      <c r="G900">
        <v>312</v>
      </c>
      <c r="H900" t="s">
        <v>61</v>
      </c>
      <c r="I900">
        <v>3</v>
      </c>
      <c r="J900" t="s">
        <v>50</v>
      </c>
    </row>
    <row r="901" spans="1:10" x14ac:dyDescent="0.25">
      <c r="A901" t="s">
        <v>7355</v>
      </c>
      <c r="B901">
        <f>389654.080793933*(1/100/100)</f>
        <v>38.965408079393306</v>
      </c>
      <c r="C901">
        <v>11008</v>
      </c>
      <c r="D901" t="s">
        <v>660</v>
      </c>
      <c r="E901">
        <v>31216</v>
      </c>
      <c r="F901" t="s">
        <v>660</v>
      </c>
      <c r="G901">
        <v>312</v>
      </c>
      <c r="H901" t="s">
        <v>61</v>
      </c>
      <c r="I901">
        <v>3</v>
      </c>
      <c r="J901" t="s">
        <v>50</v>
      </c>
    </row>
    <row r="902" spans="1:10" x14ac:dyDescent="0.25">
      <c r="A902" t="s">
        <v>7355</v>
      </c>
      <c r="B902">
        <f>52004.477508705*(1/100/100)</f>
        <v>5.2004477508705005</v>
      </c>
      <c r="C902">
        <v>11009</v>
      </c>
      <c r="D902" t="s">
        <v>3632</v>
      </c>
      <c r="E902">
        <v>31207</v>
      </c>
      <c r="F902" t="s">
        <v>656</v>
      </c>
      <c r="G902">
        <v>312</v>
      </c>
      <c r="H902" t="s">
        <v>61</v>
      </c>
      <c r="I902">
        <v>3</v>
      </c>
      <c r="J902" t="s">
        <v>50</v>
      </c>
    </row>
    <row r="903" spans="1:10" x14ac:dyDescent="0.25">
      <c r="A903" t="s">
        <v>7355</v>
      </c>
      <c r="B903">
        <f>47212.4621805078*(1/100/100)</f>
        <v>4.7212462180507799</v>
      </c>
      <c r="C903">
        <v>11010</v>
      </c>
      <c r="D903" t="s">
        <v>3610</v>
      </c>
      <c r="E903">
        <v>31203</v>
      </c>
      <c r="F903" t="s">
        <v>652</v>
      </c>
      <c r="G903">
        <v>312</v>
      </c>
      <c r="H903" t="s">
        <v>61</v>
      </c>
      <c r="I903">
        <v>3</v>
      </c>
      <c r="J903" t="s">
        <v>50</v>
      </c>
    </row>
    <row r="904" spans="1:10" x14ac:dyDescent="0.25">
      <c r="A904" t="s">
        <v>7355</v>
      </c>
      <c r="B904">
        <f>103894.045266134*(1/100/100)</f>
        <v>10.389404526613401</v>
      </c>
      <c r="C904">
        <v>11011</v>
      </c>
      <c r="D904" t="s">
        <v>3647</v>
      </c>
      <c r="E904">
        <v>31216</v>
      </c>
      <c r="F904" t="s">
        <v>660</v>
      </c>
      <c r="G904">
        <v>312</v>
      </c>
      <c r="H904" t="s">
        <v>61</v>
      </c>
      <c r="I904">
        <v>3</v>
      </c>
      <c r="J904" t="s">
        <v>50</v>
      </c>
    </row>
    <row r="905" spans="1:10" x14ac:dyDescent="0.25">
      <c r="A905" t="s">
        <v>7355</v>
      </c>
      <c r="B905">
        <f>51696.0415336429*(1/100/100)</f>
        <v>5.1696041533642898</v>
      </c>
      <c r="C905">
        <v>11012</v>
      </c>
      <c r="D905" t="s">
        <v>3648</v>
      </c>
      <c r="E905">
        <v>31216</v>
      </c>
      <c r="F905" t="s">
        <v>660</v>
      </c>
      <c r="G905">
        <v>312</v>
      </c>
      <c r="H905" t="s">
        <v>61</v>
      </c>
      <c r="I905">
        <v>3</v>
      </c>
      <c r="J905" t="s">
        <v>50</v>
      </c>
    </row>
    <row r="906" spans="1:10" x14ac:dyDescent="0.25">
      <c r="A906" t="s">
        <v>7355</v>
      </c>
      <c r="B906">
        <f>210240.448680483*(1/100/100)</f>
        <v>21.024044868048303</v>
      </c>
      <c r="C906">
        <v>11013</v>
      </c>
      <c r="D906" t="s">
        <v>2749</v>
      </c>
      <c r="E906">
        <v>31207</v>
      </c>
      <c r="F906" t="s">
        <v>656</v>
      </c>
      <c r="G906">
        <v>312</v>
      </c>
      <c r="H906" t="s">
        <v>61</v>
      </c>
      <c r="I906">
        <v>3</v>
      </c>
      <c r="J906" t="s">
        <v>50</v>
      </c>
    </row>
    <row r="907" spans="1:10" x14ac:dyDescent="0.25">
      <c r="A907" t="s">
        <v>7355</v>
      </c>
      <c r="B907">
        <f>54360.9869054857*(1/100/100)</f>
        <v>5.4360986905485698</v>
      </c>
      <c r="C907">
        <v>11014</v>
      </c>
      <c r="D907" t="s">
        <v>3633</v>
      </c>
      <c r="E907">
        <v>31207</v>
      </c>
      <c r="F907" t="s">
        <v>656</v>
      </c>
      <c r="G907">
        <v>312</v>
      </c>
      <c r="H907" t="s">
        <v>61</v>
      </c>
      <c r="I907">
        <v>3</v>
      </c>
      <c r="J907" t="s">
        <v>50</v>
      </c>
    </row>
    <row r="908" spans="1:10" x14ac:dyDescent="0.25">
      <c r="A908" t="s">
        <v>7355</v>
      </c>
      <c r="B908">
        <f>122453.55522998*(1/100/100)</f>
        <v>12.245355522998</v>
      </c>
      <c r="C908">
        <v>11015</v>
      </c>
      <c r="D908" t="s">
        <v>654</v>
      </c>
      <c r="E908">
        <v>31205</v>
      </c>
      <c r="F908" t="s">
        <v>654</v>
      </c>
      <c r="G908">
        <v>312</v>
      </c>
      <c r="H908" t="s">
        <v>61</v>
      </c>
      <c r="I908">
        <v>3</v>
      </c>
      <c r="J908" t="s">
        <v>50</v>
      </c>
    </row>
    <row r="909" spans="1:10" x14ac:dyDescent="0.25">
      <c r="A909" t="s">
        <v>7355</v>
      </c>
      <c r="B909">
        <f>31249.0923937793*(1/100/100)</f>
        <v>3.1249092393779301</v>
      </c>
      <c r="C909">
        <v>11016</v>
      </c>
      <c r="D909" t="s">
        <v>3634</v>
      </c>
      <c r="E909">
        <v>31207</v>
      </c>
      <c r="F909" t="s">
        <v>656</v>
      </c>
      <c r="G909">
        <v>312</v>
      </c>
      <c r="H909" t="s">
        <v>61</v>
      </c>
      <c r="I909">
        <v>3</v>
      </c>
      <c r="J909" t="s">
        <v>50</v>
      </c>
    </row>
    <row r="910" spans="1:10" x14ac:dyDescent="0.25">
      <c r="A910" t="s">
        <v>7355</v>
      </c>
      <c r="B910">
        <f>93070.2828855338*(1/100/100)</f>
        <v>9.307028288553381</v>
      </c>
      <c r="C910">
        <v>11017</v>
      </c>
      <c r="D910" t="s">
        <v>3611</v>
      </c>
      <c r="E910">
        <v>31203</v>
      </c>
      <c r="F910" t="s">
        <v>652</v>
      </c>
      <c r="G910">
        <v>312</v>
      </c>
      <c r="H910" t="s">
        <v>61</v>
      </c>
      <c r="I910">
        <v>3</v>
      </c>
      <c r="J910" t="s">
        <v>50</v>
      </c>
    </row>
    <row r="911" spans="1:10" x14ac:dyDescent="0.25">
      <c r="A911" t="s">
        <v>7355</v>
      </c>
      <c r="B911">
        <f>170244.006203892*(1/100/100)</f>
        <v>17.024400620389201</v>
      </c>
      <c r="C911">
        <v>11018</v>
      </c>
      <c r="D911" t="s">
        <v>665</v>
      </c>
      <c r="E911">
        <v>31229</v>
      </c>
      <c r="F911" t="s">
        <v>665</v>
      </c>
      <c r="G911">
        <v>312</v>
      </c>
      <c r="H911" t="s">
        <v>61</v>
      </c>
      <c r="I911">
        <v>3</v>
      </c>
      <c r="J911" t="s">
        <v>50</v>
      </c>
    </row>
    <row r="912" spans="1:10" x14ac:dyDescent="0.25">
      <c r="A912" t="s">
        <v>7355</v>
      </c>
      <c r="B912">
        <f>135448.375439358*(1/100/100)</f>
        <v>13.544837543935801</v>
      </c>
      <c r="C912">
        <v>11019</v>
      </c>
      <c r="D912" t="s">
        <v>3649</v>
      </c>
      <c r="E912">
        <v>31216</v>
      </c>
      <c r="F912" t="s">
        <v>660</v>
      </c>
      <c r="G912">
        <v>312</v>
      </c>
      <c r="H912" t="s">
        <v>61</v>
      </c>
      <c r="I912">
        <v>3</v>
      </c>
      <c r="J912" t="s">
        <v>50</v>
      </c>
    </row>
    <row r="913" spans="1:10" x14ac:dyDescent="0.25">
      <c r="A913" t="s">
        <v>7355</v>
      </c>
      <c r="B913">
        <f>48816.1808480674*(1/100/100)</f>
        <v>4.8816180848067408</v>
      </c>
      <c r="C913">
        <v>11020</v>
      </c>
      <c r="D913" t="s">
        <v>3628</v>
      </c>
      <c r="E913">
        <v>31205</v>
      </c>
      <c r="F913" t="s">
        <v>654</v>
      </c>
      <c r="G913">
        <v>312</v>
      </c>
      <c r="H913" t="s">
        <v>61</v>
      </c>
      <c r="I913">
        <v>3</v>
      </c>
      <c r="J913" t="s">
        <v>50</v>
      </c>
    </row>
    <row r="914" spans="1:10" x14ac:dyDescent="0.25">
      <c r="A914" t="s">
        <v>7355</v>
      </c>
      <c r="B914">
        <f>73753.3681184857*(1/100/100)</f>
        <v>7.3753368118485705</v>
      </c>
      <c r="C914">
        <v>11021</v>
      </c>
      <c r="D914" t="s">
        <v>3629</v>
      </c>
      <c r="E914">
        <v>31205</v>
      </c>
      <c r="F914" t="s">
        <v>654</v>
      </c>
      <c r="G914">
        <v>312</v>
      </c>
      <c r="H914" t="s">
        <v>61</v>
      </c>
      <c r="I914">
        <v>3</v>
      </c>
      <c r="J914" t="s">
        <v>50</v>
      </c>
    </row>
    <row r="915" spans="1:10" x14ac:dyDescent="0.25">
      <c r="A915" t="s">
        <v>7355</v>
      </c>
      <c r="B915">
        <f>95241.511170389*(1/100/100)</f>
        <v>9.524151117038901</v>
      </c>
      <c r="C915">
        <v>11022</v>
      </c>
      <c r="D915" t="s">
        <v>3635</v>
      </c>
      <c r="E915">
        <v>31207</v>
      </c>
      <c r="F915" t="s">
        <v>656</v>
      </c>
      <c r="G915">
        <v>312</v>
      </c>
      <c r="H915" t="s">
        <v>61</v>
      </c>
      <c r="I915">
        <v>3</v>
      </c>
      <c r="J915" t="s">
        <v>50</v>
      </c>
    </row>
    <row r="916" spans="1:10" x14ac:dyDescent="0.25">
      <c r="A916" t="s">
        <v>7355</v>
      </c>
      <c r="B916">
        <f>303104.427173737*(1/100/100)</f>
        <v>30.310442717373704</v>
      </c>
      <c r="C916">
        <v>11023</v>
      </c>
      <c r="D916" t="s">
        <v>650</v>
      </c>
      <c r="E916">
        <v>31201</v>
      </c>
      <c r="F916" t="s">
        <v>650</v>
      </c>
      <c r="G916">
        <v>312</v>
      </c>
      <c r="H916" t="s">
        <v>61</v>
      </c>
      <c r="I916">
        <v>3</v>
      </c>
      <c r="J916" t="s">
        <v>50</v>
      </c>
    </row>
    <row r="917" spans="1:10" x14ac:dyDescent="0.25">
      <c r="A917" t="s">
        <v>7355</v>
      </c>
      <c r="B917">
        <f>137525.585476785*(1/100/100)</f>
        <v>13.7525585476785</v>
      </c>
      <c r="C917">
        <v>11024</v>
      </c>
      <c r="D917" t="s">
        <v>3607</v>
      </c>
      <c r="E917">
        <v>31202</v>
      </c>
      <c r="F917" t="s">
        <v>651</v>
      </c>
      <c r="G917">
        <v>312</v>
      </c>
      <c r="H917" t="s">
        <v>61</v>
      </c>
      <c r="I917">
        <v>3</v>
      </c>
      <c r="J917" t="s">
        <v>50</v>
      </c>
    </row>
    <row r="918" spans="1:10" x14ac:dyDescent="0.25">
      <c r="A918" t="s">
        <v>7355</v>
      </c>
      <c r="B918">
        <f>61810.4040698185*(1/100/100)</f>
        <v>6.1810404069818503</v>
      </c>
      <c r="C918">
        <v>11025</v>
      </c>
      <c r="D918" t="s">
        <v>3630</v>
      </c>
      <c r="E918">
        <v>31206</v>
      </c>
      <c r="F918" t="s">
        <v>655</v>
      </c>
      <c r="G918">
        <v>312</v>
      </c>
      <c r="H918" t="s">
        <v>61</v>
      </c>
      <c r="I918">
        <v>3</v>
      </c>
      <c r="J918" t="s">
        <v>50</v>
      </c>
    </row>
    <row r="919" spans="1:10" x14ac:dyDescent="0.25">
      <c r="A919" t="s">
        <v>7355</v>
      </c>
      <c r="B919">
        <f>354789.236440152*(1/100/100)</f>
        <v>35.478923644015204</v>
      </c>
      <c r="C919">
        <v>11026</v>
      </c>
      <c r="D919" t="s">
        <v>655</v>
      </c>
      <c r="E919">
        <v>31206</v>
      </c>
      <c r="F919" t="s">
        <v>655</v>
      </c>
      <c r="G919">
        <v>312</v>
      </c>
      <c r="H919" t="s">
        <v>61</v>
      </c>
      <c r="I919">
        <v>3</v>
      </c>
      <c r="J919" t="s">
        <v>50</v>
      </c>
    </row>
    <row r="920" spans="1:10" x14ac:dyDescent="0.25">
      <c r="A920" t="s">
        <v>7355</v>
      </c>
      <c r="B920">
        <f>74668.2090921665*(1/100/100)</f>
        <v>7.4668209092166498</v>
      </c>
      <c r="C920">
        <v>11027</v>
      </c>
      <c r="D920" t="s">
        <v>3606</v>
      </c>
      <c r="E920">
        <v>31201</v>
      </c>
      <c r="F920" t="s">
        <v>650</v>
      </c>
      <c r="G920">
        <v>312</v>
      </c>
      <c r="H920" t="s">
        <v>61</v>
      </c>
      <c r="I920">
        <v>3</v>
      </c>
      <c r="J920" t="s">
        <v>50</v>
      </c>
    </row>
    <row r="921" spans="1:10" x14ac:dyDescent="0.25">
      <c r="A921" t="s">
        <v>7355</v>
      </c>
      <c r="B921">
        <f>76093.5131686476*(1/100/100)</f>
        <v>7.6093513168647595</v>
      </c>
      <c r="C921">
        <v>11028</v>
      </c>
      <c r="D921" t="s">
        <v>3608</v>
      </c>
      <c r="E921">
        <v>31202</v>
      </c>
      <c r="F921" t="s">
        <v>651</v>
      </c>
      <c r="G921">
        <v>312</v>
      </c>
      <c r="H921" t="s">
        <v>61</v>
      </c>
      <c r="I921">
        <v>3</v>
      </c>
      <c r="J921" t="s">
        <v>50</v>
      </c>
    </row>
    <row r="922" spans="1:10" x14ac:dyDescent="0.25">
      <c r="A922" t="s">
        <v>7355</v>
      </c>
      <c r="B922">
        <f>690476.418306793*(1/100/100)</f>
        <v>69.047641830679297</v>
      </c>
      <c r="C922">
        <v>11029</v>
      </c>
      <c r="D922" t="s">
        <v>658</v>
      </c>
      <c r="E922">
        <v>31214</v>
      </c>
      <c r="F922" t="s">
        <v>658</v>
      </c>
      <c r="G922">
        <v>312</v>
      </c>
      <c r="H922" t="s">
        <v>61</v>
      </c>
      <c r="I922">
        <v>3</v>
      </c>
      <c r="J922" t="s">
        <v>50</v>
      </c>
    </row>
    <row r="923" spans="1:10" x14ac:dyDescent="0.25">
      <c r="A923" t="s">
        <v>7355</v>
      </c>
      <c r="B923">
        <f>14572.6858543078*(1/100/100)</f>
        <v>1.4572685854307801</v>
      </c>
      <c r="C923">
        <v>11030</v>
      </c>
      <c r="D923" t="s">
        <v>2056</v>
      </c>
      <c r="E923">
        <v>31203</v>
      </c>
      <c r="F923" t="s">
        <v>652</v>
      </c>
      <c r="G923">
        <v>312</v>
      </c>
      <c r="H923" t="s">
        <v>61</v>
      </c>
      <c r="I923">
        <v>3</v>
      </c>
      <c r="J923" t="s">
        <v>50</v>
      </c>
    </row>
    <row r="924" spans="1:10" x14ac:dyDescent="0.25">
      <c r="A924" t="s">
        <v>7355</v>
      </c>
      <c r="B924">
        <f>22474.4629226292*(1/100/100)</f>
        <v>2.2474462922629201</v>
      </c>
      <c r="C924">
        <v>11031</v>
      </c>
      <c r="D924" t="s">
        <v>3230</v>
      </c>
      <c r="E924">
        <v>31203</v>
      </c>
      <c r="F924" t="s">
        <v>652</v>
      </c>
      <c r="G924">
        <v>312</v>
      </c>
      <c r="H924" t="s">
        <v>61</v>
      </c>
      <c r="I924">
        <v>3</v>
      </c>
      <c r="J924" t="s">
        <v>50</v>
      </c>
    </row>
    <row r="925" spans="1:10" x14ac:dyDescent="0.25">
      <c r="A925" t="s">
        <v>7355</v>
      </c>
      <c r="B925">
        <f>214239.61493324*(1/100/100)</f>
        <v>21.423961493324001</v>
      </c>
      <c r="C925">
        <v>11032</v>
      </c>
      <c r="D925" t="s">
        <v>652</v>
      </c>
      <c r="E925">
        <v>31203</v>
      </c>
      <c r="F925" t="s">
        <v>652</v>
      </c>
      <c r="G925">
        <v>312</v>
      </c>
      <c r="H925" t="s">
        <v>61</v>
      </c>
      <c r="I925">
        <v>3</v>
      </c>
      <c r="J925" t="s">
        <v>50</v>
      </c>
    </row>
    <row r="926" spans="1:10" x14ac:dyDescent="0.25">
      <c r="A926" t="s">
        <v>7355</v>
      </c>
      <c r="B926">
        <f>3720.87289761812*(1/100/100)</f>
        <v>0.37208728976181205</v>
      </c>
      <c r="C926">
        <v>11033</v>
      </c>
      <c r="D926" t="s">
        <v>3612</v>
      </c>
      <c r="E926">
        <v>31203</v>
      </c>
      <c r="F926" t="s">
        <v>652</v>
      </c>
      <c r="G926">
        <v>312</v>
      </c>
      <c r="H926" t="s">
        <v>61</v>
      </c>
      <c r="I926">
        <v>3</v>
      </c>
      <c r="J926" t="s">
        <v>50</v>
      </c>
    </row>
    <row r="927" spans="1:10" x14ac:dyDescent="0.25">
      <c r="A927" t="s">
        <v>7355</v>
      </c>
      <c r="B927">
        <f>20330.58973518*(1/100/100)</f>
        <v>2.033058973518</v>
      </c>
      <c r="C927">
        <v>11034</v>
      </c>
      <c r="D927" t="s">
        <v>3613</v>
      </c>
      <c r="E927">
        <v>31203</v>
      </c>
      <c r="F927" t="s">
        <v>652</v>
      </c>
      <c r="G927">
        <v>312</v>
      </c>
      <c r="H927" t="s">
        <v>61</v>
      </c>
      <c r="I927">
        <v>3</v>
      </c>
      <c r="J927" t="s">
        <v>50</v>
      </c>
    </row>
    <row r="928" spans="1:10" x14ac:dyDescent="0.25">
      <c r="A928" t="s">
        <v>7355</v>
      </c>
      <c r="B928">
        <f>44319.3235370143*(1/100/100)</f>
        <v>4.4319323537014306</v>
      </c>
      <c r="C928">
        <v>11035</v>
      </c>
      <c r="D928" t="s">
        <v>3614</v>
      </c>
      <c r="E928">
        <v>31203</v>
      </c>
      <c r="F928" t="s">
        <v>652</v>
      </c>
      <c r="G928">
        <v>312</v>
      </c>
      <c r="H928" t="s">
        <v>61</v>
      </c>
      <c r="I928">
        <v>3</v>
      </c>
      <c r="J928" t="s">
        <v>50</v>
      </c>
    </row>
    <row r="929" spans="1:10" x14ac:dyDescent="0.25">
      <c r="A929" t="s">
        <v>7355</v>
      </c>
      <c r="B929">
        <f>38829.0814813592*(1/100/100)</f>
        <v>3.8829081481359204</v>
      </c>
      <c r="C929">
        <v>11036</v>
      </c>
      <c r="D929" t="s">
        <v>3367</v>
      </c>
      <c r="E929">
        <v>31203</v>
      </c>
      <c r="F929" t="s">
        <v>652</v>
      </c>
      <c r="G929">
        <v>312</v>
      </c>
      <c r="H929" t="s">
        <v>61</v>
      </c>
      <c r="I929">
        <v>3</v>
      </c>
      <c r="J929" t="s">
        <v>50</v>
      </c>
    </row>
    <row r="930" spans="1:10" x14ac:dyDescent="0.25">
      <c r="A930" t="s">
        <v>7355</v>
      </c>
      <c r="B930">
        <f>1679.94374013184*(1/100/100)</f>
        <v>0.16799437401318401</v>
      </c>
      <c r="C930">
        <v>11037</v>
      </c>
      <c r="D930" t="s">
        <v>3615</v>
      </c>
      <c r="E930">
        <v>31203</v>
      </c>
      <c r="F930" t="s">
        <v>652</v>
      </c>
      <c r="G930">
        <v>312</v>
      </c>
      <c r="H930" t="s">
        <v>61</v>
      </c>
      <c r="I930">
        <v>3</v>
      </c>
      <c r="J930" t="s">
        <v>50</v>
      </c>
    </row>
    <row r="931" spans="1:10" x14ac:dyDescent="0.25">
      <c r="A931" t="s">
        <v>7355</v>
      </c>
      <c r="B931">
        <f>40060.793861031*(1/100/100)</f>
        <v>4.0060793861031003</v>
      </c>
      <c r="C931">
        <v>11038</v>
      </c>
      <c r="D931" t="s">
        <v>2228</v>
      </c>
      <c r="E931">
        <v>31203</v>
      </c>
      <c r="F931" t="s">
        <v>652</v>
      </c>
      <c r="G931">
        <v>312</v>
      </c>
      <c r="H931" t="s">
        <v>61</v>
      </c>
      <c r="I931">
        <v>3</v>
      </c>
      <c r="J931" t="s">
        <v>50</v>
      </c>
    </row>
    <row r="932" spans="1:10" x14ac:dyDescent="0.25">
      <c r="A932" t="s">
        <v>7355</v>
      </c>
      <c r="B932">
        <f>30850.0965772491*(1/100/100)</f>
        <v>3.08500965772491</v>
      </c>
      <c r="C932">
        <v>11039</v>
      </c>
      <c r="D932" t="s">
        <v>3616</v>
      </c>
      <c r="E932">
        <v>31203</v>
      </c>
      <c r="F932" t="s">
        <v>652</v>
      </c>
      <c r="G932">
        <v>312</v>
      </c>
      <c r="H932" t="s">
        <v>61</v>
      </c>
      <c r="I932">
        <v>3</v>
      </c>
      <c r="J932" t="s">
        <v>50</v>
      </c>
    </row>
    <row r="933" spans="1:10" x14ac:dyDescent="0.25">
      <c r="A933" t="s">
        <v>7355</v>
      </c>
      <c r="B933">
        <f>71540.613954993*(1/100/100)</f>
        <v>7.1540613954992995</v>
      </c>
      <c r="C933">
        <v>11040</v>
      </c>
      <c r="D933" t="s">
        <v>3617</v>
      </c>
      <c r="E933">
        <v>31203</v>
      </c>
      <c r="F933" t="s">
        <v>652</v>
      </c>
      <c r="G933">
        <v>312</v>
      </c>
      <c r="H933" t="s">
        <v>61</v>
      </c>
      <c r="I933">
        <v>3</v>
      </c>
      <c r="J933" t="s">
        <v>50</v>
      </c>
    </row>
    <row r="934" spans="1:10" x14ac:dyDescent="0.25">
      <c r="A934" t="s">
        <v>7355</v>
      </c>
      <c r="B934">
        <f>61792.0932942782*(1/100/100)</f>
        <v>6.1792093294278203</v>
      </c>
      <c r="C934">
        <v>11101</v>
      </c>
      <c r="D934" t="s">
        <v>3666</v>
      </c>
      <c r="E934">
        <v>31234</v>
      </c>
      <c r="F934" t="s">
        <v>667</v>
      </c>
      <c r="G934">
        <v>312</v>
      </c>
      <c r="H934" t="s">
        <v>61</v>
      </c>
      <c r="I934">
        <v>3</v>
      </c>
      <c r="J934" t="s">
        <v>50</v>
      </c>
    </row>
    <row r="935" spans="1:10" x14ac:dyDescent="0.25">
      <c r="A935" t="s">
        <v>7355</v>
      </c>
      <c r="B935">
        <f>65344.0327546361*(1/100/100)</f>
        <v>6.5344032754636103</v>
      </c>
      <c r="C935">
        <v>11102</v>
      </c>
      <c r="D935" t="s">
        <v>3661</v>
      </c>
      <c r="E935">
        <v>31228</v>
      </c>
      <c r="F935" t="s">
        <v>664</v>
      </c>
      <c r="G935">
        <v>312</v>
      </c>
      <c r="H935" t="s">
        <v>61</v>
      </c>
      <c r="I935">
        <v>3</v>
      </c>
      <c r="J935" t="s">
        <v>50</v>
      </c>
    </row>
    <row r="936" spans="1:10" x14ac:dyDescent="0.25">
      <c r="A936" t="s">
        <v>7355</v>
      </c>
      <c r="B936">
        <f>74036.5677116018*(1/100/100)</f>
        <v>7.4036567711601808</v>
      </c>
      <c r="C936">
        <v>11103</v>
      </c>
      <c r="D936" t="s">
        <v>3667</v>
      </c>
      <c r="E936">
        <v>31234</v>
      </c>
      <c r="F936" t="s">
        <v>667</v>
      </c>
      <c r="G936">
        <v>312</v>
      </c>
      <c r="H936" t="s">
        <v>61</v>
      </c>
      <c r="I936">
        <v>3</v>
      </c>
      <c r="J936" t="s">
        <v>50</v>
      </c>
    </row>
    <row r="937" spans="1:10" x14ac:dyDescent="0.25">
      <c r="A937" t="s">
        <v>7355</v>
      </c>
      <c r="B937">
        <f>20903.5770253598*(1/100/100)</f>
        <v>2.0903577025359801</v>
      </c>
      <c r="C937">
        <v>11104</v>
      </c>
      <c r="D937" t="s">
        <v>3618</v>
      </c>
      <c r="E937">
        <v>31204</v>
      </c>
      <c r="F937" t="s">
        <v>653</v>
      </c>
      <c r="G937">
        <v>312</v>
      </c>
      <c r="H937" t="s">
        <v>61</v>
      </c>
      <c r="I937">
        <v>3</v>
      </c>
      <c r="J937" t="s">
        <v>50</v>
      </c>
    </row>
    <row r="938" spans="1:10" x14ac:dyDescent="0.25">
      <c r="A938" t="s">
        <v>7355</v>
      </c>
      <c r="B938">
        <f>40179.1585119351*(1/100/100)</f>
        <v>4.0179158511935098</v>
      </c>
      <c r="C938">
        <v>11105</v>
      </c>
      <c r="D938" t="s">
        <v>3636</v>
      </c>
      <c r="E938">
        <v>31208</v>
      </c>
      <c r="F938" t="s">
        <v>657</v>
      </c>
      <c r="G938">
        <v>312</v>
      </c>
      <c r="H938" t="s">
        <v>61</v>
      </c>
      <c r="I938">
        <v>3</v>
      </c>
      <c r="J938" t="s">
        <v>50</v>
      </c>
    </row>
    <row r="939" spans="1:10" x14ac:dyDescent="0.25">
      <c r="A939" t="s">
        <v>7355</v>
      </c>
      <c r="B939">
        <f>29114.5975384398*(1/100/100)</f>
        <v>2.9114597538439804</v>
      </c>
      <c r="C939">
        <v>11106</v>
      </c>
      <c r="D939" t="s">
        <v>3619</v>
      </c>
      <c r="E939">
        <v>31204</v>
      </c>
      <c r="F939" t="s">
        <v>653</v>
      </c>
      <c r="G939">
        <v>312</v>
      </c>
      <c r="H939" t="s">
        <v>61</v>
      </c>
      <c r="I939">
        <v>3</v>
      </c>
      <c r="J939" t="s">
        <v>50</v>
      </c>
    </row>
    <row r="940" spans="1:10" x14ac:dyDescent="0.25">
      <c r="A940" t="s">
        <v>7355</v>
      </c>
      <c r="B940">
        <f>1919.42283612082*(1/100/100)</f>
        <v>0.19194228361208202</v>
      </c>
      <c r="C940">
        <v>11107</v>
      </c>
      <c r="D940" t="s">
        <v>3620</v>
      </c>
      <c r="E940">
        <v>31204</v>
      </c>
      <c r="F940" t="s">
        <v>653</v>
      </c>
      <c r="G940">
        <v>312</v>
      </c>
      <c r="H940" t="s">
        <v>61</v>
      </c>
      <c r="I940">
        <v>3</v>
      </c>
      <c r="J940" t="s">
        <v>50</v>
      </c>
    </row>
    <row r="941" spans="1:10" x14ac:dyDescent="0.25">
      <c r="A941" t="s">
        <v>7355</v>
      </c>
      <c r="B941">
        <f>50352.2004178451*(1/100/100)</f>
        <v>5.0352200417845108</v>
      </c>
      <c r="C941">
        <v>11108</v>
      </c>
      <c r="D941" t="s">
        <v>3637</v>
      </c>
      <c r="E941">
        <v>31208</v>
      </c>
      <c r="F941" t="s">
        <v>657</v>
      </c>
      <c r="G941">
        <v>312</v>
      </c>
      <c r="H941" t="s">
        <v>61</v>
      </c>
      <c r="I941">
        <v>3</v>
      </c>
      <c r="J941" t="s">
        <v>50</v>
      </c>
    </row>
    <row r="942" spans="1:10" x14ac:dyDescent="0.25">
      <c r="A942" t="s">
        <v>7355</v>
      </c>
      <c r="B942">
        <f>50327.4941001246*(1/100/100)</f>
        <v>5.0327494100124603</v>
      </c>
      <c r="C942">
        <v>11109</v>
      </c>
      <c r="D942" t="s">
        <v>3668</v>
      </c>
      <c r="E942">
        <v>31234</v>
      </c>
      <c r="F942" t="s">
        <v>667</v>
      </c>
      <c r="G942">
        <v>312</v>
      </c>
      <c r="H942" t="s">
        <v>61</v>
      </c>
      <c r="I942">
        <v>3</v>
      </c>
      <c r="J942" t="s">
        <v>50</v>
      </c>
    </row>
    <row r="943" spans="1:10" x14ac:dyDescent="0.25">
      <c r="A943" t="s">
        <v>7355</v>
      </c>
      <c r="B943">
        <f>45252.4446676345*(1/100/100)</f>
        <v>4.5252444667634508</v>
      </c>
      <c r="C943">
        <v>11110</v>
      </c>
      <c r="D943" t="s">
        <v>3644</v>
      </c>
      <c r="E943">
        <v>31215</v>
      </c>
      <c r="F943" t="s">
        <v>659</v>
      </c>
      <c r="G943">
        <v>312</v>
      </c>
      <c r="H943" t="s">
        <v>61</v>
      </c>
      <c r="I943">
        <v>3</v>
      </c>
      <c r="J943" t="s">
        <v>50</v>
      </c>
    </row>
    <row r="944" spans="1:10" x14ac:dyDescent="0.25">
      <c r="A944" t="s">
        <v>7355</v>
      </c>
      <c r="B944">
        <f>152494.276139688*(1/100/100)</f>
        <v>15.249427613968802</v>
      </c>
      <c r="C944">
        <v>11111</v>
      </c>
      <c r="D944" t="s">
        <v>3638</v>
      </c>
      <c r="E944">
        <v>31208</v>
      </c>
      <c r="F944" t="s">
        <v>657</v>
      </c>
      <c r="G944">
        <v>312</v>
      </c>
      <c r="H944" t="s">
        <v>61</v>
      </c>
      <c r="I944">
        <v>3</v>
      </c>
      <c r="J944" t="s">
        <v>50</v>
      </c>
    </row>
    <row r="945" spans="1:10" x14ac:dyDescent="0.25">
      <c r="A945" t="s">
        <v>7355</v>
      </c>
      <c r="B945">
        <f>48049.9988265034*(1/100/100)</f>
        <v>4.8049998826503399</v>
      </c>
      <c r="C945">
        <v>11112</v>
      </c>
      <c r="D945" t="s">
        <v>3653</v>
      </c>
      <c r="E945">
        <v>31226</v>
      </c>
      <c r="F945" t="s">
        <v>662</v>
      </c>
      <c r="G945">
        <v>312</v>
      </c>
      <c r="H945" t="s">
        <v>61</v>
      </c>
      <c r="I945">
        <v>3</v>
      </c>
      <c r="J945" t="s">
        <v>50</v>
      </c>
    </row>
    <row r="946" spans="1:10" x14ac:dyDescent="0.25">
      <c r="A946" t="s">
        <v>7355</v>
      </c>
      <c r="B946">
        <f>43187.8158975254*(1/100/100)</f>
        <v>4.3187815897525397</v>
      </c>
      <c r="C946">
        <v>11113</v>
      </c>
      <c r="D946" t="s">
        <v>3654</v>
      </c>
      <c r="E946">
        <v>31226</v>
      </c>
      <c r="F946" t="s">
        <v>662</v>
      </c>
      <c r="G946">
        <v>312</v>
      </c>
      <c r="H946" t="s">
        <v>61</v>
      </c>
      <c r="I946">
        <v>3</v>
      </c>
      <c r="J946" t="s">
        <v>50</v>
      </c>
    </row>
    <row r="947" spans="1:10" x14ac:dyDescent="0.25">
      <c r="A947" t="s">
        <v>7355</v>
      </c>
      <c r="B947">
        <f>90064.3409379775*(1/100/100)</f>
        <v>9.0064340937977505</v>
      </c>
      <c r="C947">
        <v>11114</v>
      </c>
      <c r="D947" t="s">
        <v>3621</v>
      </c>
      <c r="E947">
        <v>31204</v>
      </c>
      <c r="F947" t="s">
        <v>653</v>
      </c>
      <c r="G947">
        <v>312</v>
      </c>
      <c r="H947" t="s">
        <v>61</v>
      </c>
      <c r="I947">
        <v>3</v>
      </c>
      <c r="J947" t="s">
        <v>50</v>
      </c>
    </row>
    <row r="948" spans="1:10" x14ac:dyDescent="0.25">
      <c r="A948" t="s">
        <v>7355</v>
      </c>
      <c r="B948">
        <f>64243.3909247818*(1/100/100)</f>
        <v>6.4243390924781805</v>
      </c>
      <c r="C948">
        <v>11115</v>
      </c>
      <c r="D948" t="s">
        <v>3655</v>
      </c>
      <c r="E948">
        <v>31226</v>
      </c>
      <c r="F948" t="s">
        <v>662</v>
      </c>
      <c r="G948">
        <v>312</v>
      </c>
      <c r="H948" t="s">
        <v>61</v>
      </c>
      <c r="I948">
        <v>3</v>
      </c>
      <c r="J948" t="s">
        <v>50</v>
      </c>
    </row>
    <row r="949" spans="1:10" x14ac:dyDescent="0.25">
      <c r="A949" t="s">
        <v>7355</v>
      </c>
      <c r="B949">
        <f>114449.850243807*(1/100/100)</f>
        <v>11.444985024380701</v>
      </c>
      <c r="C949">
        <v>11116</v>
      </c>
      <c r="D949" t="s">
        <v>667</v>
      </c>
      <c r="E949">
        <v>31234</v>
      </c>
      <c r="F949" t="s">
        <v>667</v>
      </c>
      <c r="G949">
        <v>312</v>
      </c>
      <c r="H949" t="s">
        <v>61</v>
      </c>
      <c r="I949">
        <v>3</v>
      </c>
      <c r="J949" t="s">
        <v>50</v>
      </c>
    </row>
    <row r="950" spans="1:10" x14ac:dyDescent="0.25">
      <c r="A950" t="s">
        <v>7355</v>
      </c>
      <c r="B950">
        <f>7584.77866036989*(1/100/100)</f>
        <v>0.75847786603698897</v>
      </c>
      <c r="C950">
        <v>11117</v>
      </c>
      <c r="D950" t="s">
        <v>3662</v>
      </c>
      <c r="E950">
        <v>31228</v>
      </c>
      <c r="F950" t="s">
        <v>664</v>
      </c>
      <c r="G950">
        <v>312</v>
      </c>
      <c r="H950" t="s">
        <v>61</v>
      </c>
      <c r="I950">
        <v>3</v>
      </c>
      <c r="J950" t="s">
        <v>50</v>
      </c>
    </row>
    <row r="951" spans="1:10" x14ac:dyDescent="0.25">
      <c r="A951" t="s">
        <v>7355</v>
      </c>
      <c r="B951">
        <f>115839.860255592*(1/100/100)</f>
        <v>11.5839860255592</v>
      </c>
      <c r="C951">
        <v>11118</v>
      </c>
      <c r="D951" t="s">
        <v>659</v>
      </c>
      <c r="E951">
        <v>31215</v>
      </c>
      <c r="F951" t="s">
        <v>659</v>
      </c>
      <c r="G951">
        <v>312</v>
      </c>
      <c r="H951" t="s">
        <v>61</v>
      </c>
      <c r="I951">
        <v>3</v>
      </c>
      <c r="J951" t="s">
        <v>50</v>
      </c>
    </row>
    <row r="952" spans="1:10" x14ac:dyDescent="0.25">
      <c r="A952" t="s">
        <v>7355</v>
      </c>
      <c r="B952">
        <f>61381.4813612821*(1/100/100)</f>
        <v>6.1381481361282102</v>
      </c>
      <c r="C952">
        <v>11120</v>
      </c>
      <c r="D952" t="s">
        <v>3656</v>
      </c>
      <c r="E952">
        <v>31226</v>
      </c>
      <c r="F952" t="s">
        <v>662</v>
      </c>
      <c r="G952">
        <v>312</v>
      </c>
      <c r="H952" t="s">
        <v>61</v>
      </c>
      <c r="I952">
        <v>3</v>
      </c>
      <c r="J952" t="s">
        <v>50</v>
      </c>
    </row>
    <row r="953" spans="1:10" x14ac:dyDescent="0.25">
      <c r="A953" t="s">
        <v>7355</v>
      </c>
      <c r="B953">
        <f>63353.1219568527*(1/100/100)</f>
        <v>6.3353121956852707</v>
      </c>
      <c r="C953">
        <v>11121</v>
      </c>
      <c r="D953" t="s">
        <v>3657</v>
      </c>
      <c r="E953">
        <v>31226</v>
      </c>
      <c r="F953" t="s">
        <v>662</v>
      </c>
      <c r="G953">
        <v>312</v>
      </c>
      <c r="H953" t="s">
        <v>61</v>
      </c>
      <c r="I953">
        <v>3</v>
      </c>
      <c r="J953" t="s">
        <v>50</v>
      </c>
    </row>
    <row r="954" spans="1:10" x14ac:dyDescent="0.25">
      <c r="A954" t="s">
        <v>7355</v>
      </c>
      <c r="B954">
        <f>113073.531739027*(1/100/100)</f>
        <v>11.307353173902701</v>
      </c>
      <c r="C954">
        <v>11123</v>
      </c>
      <c r="D954" t="s">
        <v>653</v>
      </c>
      <c r="E954">
        <v>31204</v>
      </c>
      <c r="F954" t="s">
        <v>653</v>
      </c>
      <c r="G954">
        <v>312</v>
      </c>
      <c r="H954" t="s">
        <v>61</v>
      </c>
      <c r="I954">
        <v>3</v>
      </c>
      <c r="J954" t="s">
        <v>50</v>
      </c>
    </row>
    <row r="955" spans="1:10" x14ac:dyDescent="0.25">
      <c r="A955" t="s">
        <v>7355</v>
      </c>
      <c r="B955">
        <f>31151.7016418153*(1/100/100)</f>
        <v>3.1151701641815301</v>
      </c>
      <c r="C955">
        <v>11124</v>
      </c>
      <c r="D955" t="s">
        <v>3622</v>
      </c>
      <c r="E955">
        <v>31204</v>
      </c>
      <c r="F955" t="s">
        <v>653</v>
      </c>
      <c r="G955">
        <v>312</v>
      </c>
      <c r="H955" t="s">
        <v>61</v>
      </c>
      <c r="I955">
        <v>3</v>
      </c>
      <c r="J955" t="s">
        <v>50</v>
      </c>
    </row>
    <row r="956" spans="1:10" x14ac:dyDescent="0.25">
      <c r="A956" t="s">
        <v>7355</v>
      </c>
      <c r="B956">
        <f>78931.0045598597*(1/100/100)</f>
        <v>7.8931004559859712</v>
      </c>
      <c r="C956">
        <v>11125</v>
      </c>
      <c r="D956" t="s">
        <v>3658</v>
      </c>
      <c r="E956">
        <v>31226</v>
      </c>
      <c r="F956" t="s">
        <v>662</v>
      </c>
      <c r="G956">
        <v>312</v>
      </c>
      <c r="H956" t="s">
        <v>61</v>
      </c>
      <c r="I956">
        <v>3</v>
      </c>
      <c r="J956" t="s">
        <v>50</v>
      </c>
    </row>
    <row r="957" spans="1:10" x14ac:dyDescent="0.25">
      <c r="A957" t="s">
        <v>7355</v>
      </c>
      <c r="B957">
        <f>32828.4347420387*(1/100/100)</f>
        <v>3.2828434742038701</v>
      </c>
      <c r="C957">
        <v>11126</v>
      </c>
      <c r="D957" t="s">
        <v>3061</v>
      </c>
      <c r="E957">
        <v>31204</v>
      </c>
      <c r="F957" t="s">
        <v>653</v>
      </c>
      <c r="G957">
        <v>312</v>
      </c>
      <c r="H957" t="s">
        <v>61</v>
      </c>
      <c r="I957">
        <v>3</v>
      </c>
      <c r="J957" t="s">
        <v>50</v>
      </c>
    </row>
    <row r="958" spans="1:10" x14ac:dyDescent="0.25">
      <c r="A958" t="s">
        <v>7355</v>
      </c>
      <c r="B958">
        <f>50746.1961953893*(1/100/100)</f>
        <v>5.0746196195389297</v>
      </c>
      <c r="C958">
        <v>11127</v>
      </c>
      <c r="D958" t="s">
        <v>3659</v>
      </c>
      <c r="E958">
        <v>31226</v>
      </c>
      <c r="F958" t="s">
        <v>662</v>
      </c>
      <c r="G958">
        <v>312</v>
      </c>
      <c r="H958" t="s">
        <v>61</v>
      </c>
      <c r="I958">
        <v>3</v>
      </c>
      <c r="J958" t="s">
        <v>50</v>
      </c>
    </row>
    <row r="959" spans="1:10" x14ac:dyDescent="0.25">
      <c r="A959" t="s">
        <v>7355</v>
      </c>
      <c r="B959">
        <f>35360.4507152629*(1/100/100)</f>
        <v>3.5360450715262903</v>
      </c>
      <c r="C959">
        <v>11128</v>
      </c>
      <c r="D959" t="s">
        <v>3639</v>
      </c>
      <c r="E959">
        <v>31208</v>
      </c>
      <c r="F959" t="s">
        <v>657</v>
      </c>
      <c r="G959">
        <v>312</v>
      </c>
      <c r="H959" t="s">
        <v>61</v>
      </c>
      <c r="I959">
        <v>3</v>
      </c>
      <c r="J959" t="s">
        <v>50</v>
      </c>
    </row>
    <row r="960" spans="1:10" x14ac:dyDescent="0.25">
      <c r="A960" t="s">
        <v>7355</v>
      </c>
      <c r="B960">
        <f>64484.2580574541*(1/100/100)</f>
        <v>6.4484258057454102</v>
      </c>
      <c r="C960">
        <v>11129</v>
      </c>
      <c r="D960" t="s">
        <v>3640</v>
      </c>
      <c r="E960">
        <v>31208</v>
      </c>
      <c r="F960" t="s">
        <v>657</v>
      </c>
      <c r="G960">
        <v>312</v>
      </c>
      <c r="H960" t="s">
        <v>61</v>
      </c>
      <c r="I960">
        <v>3</v>
      </c>
      <c r="J960" t="s">
        <v>50</v>
      </c>
    </row>
    <row r="961" spans="1:10" x14ac:dyDescent="0.25">
      <c r="A961" t="s">
        <v>7355</v>
      </c>
      <c r="B961">
        <f>27252.2736142544*(1/100/100)</f>
        <v>2.7252273614254401</v>
      </c>
      <c r="C961">
        <v>11130</v>
      </c>
      <c r="D961" t="s">
        <v>3623</v>
      </c>
      <c r="E961">
        <v>31204</v>
      </c>
      <c r="F961" t="s">
        <v>653</v>
      </c>
      <c r="G961">
        <v>312</v>
      </c>
      <c r="H961" t="s">
        <v>61</v>
      </c>
      <c r="I961">
        <v>3</v>
      </c>
      <c r="J961" t="s">
        <v>50</v>
      </c>
    </row>
    <row r="962" spans="1:10" x14ac:dyDescent="0.25">
      <c r="A962" t="s">
        <v>7355</v>
      </c>
      <c r="B962">
        <f>40239.7709573885*(1/100/100)</f>
        <v>4.0239770957388501</v>
      </c>
      <c r="C962">
        <v>11131</v>
      </c>
      <c r="D962" t="s">
        <v>3449</v>
      </c>
      <c r="E962">
        <v>31204</v>
      </c>
      <c r="F962" t="s">
        <v>653</v>
      </c>
      <c r="G962">
        <v>312</v>
      </c>
      <c r="H962" t="s">
        <v>61</v>
      </c>
      <c r="I962">
        <v>3</v>
      </c>
      <c r="J962" t="s">
        <v>50</v>
      </c>
    </row>
    <row r="963" spans="1:10" x14ac:dyDescent="0.25">
      <c r="A963" t="s">
        <v>7355</v>
      </c>
      <c r="B963">
        <f>52709.4769795364*(1/100/100)</f>
        <v>5.2709476979536403</v>
      </c>
      <c r="C963">
        <v>11132</v>
      </c>
      <c r="D963" t="s">
        <v>3650</v>
      </c>
      <c r="E963">
        <v>31224</v>
      </c>
      <c r="F963" t="s">
        <v>661</v>
      </c>
      <c r="G963">
        <v>312</v>
      </c>
      <c r="H963" t="s">
        <v>61</v>
      </c>
      <c r="I963">
        <v>3</v>
      </c>
      <c r="J963" t="s">
        <v>50</v>
      </c>
    </row>
    <row r="964" spans="1:10" x14ac:dyDescent="0.25">
      <c r="A964" t="s">
        <v>7355</v>
      </c>
      <c r="B964">
        <f>151721.074031827*(1/100/100)</f>
        <v>15.172107403182702</v>
      </c>
      <c r="C964">
        <v>11133</v>
      </c>
      <c r="D964" t="s">
        <v>3651</v>
      </c>
      <c r="E964">
        <v>31224</v>
      </c>
      <c r="F964" t="s">
        <v>661</v>
      </c>
      <c r="G964">
        <v>312</v>
      </c>
      <c r="H964" t="s">
        <v>61</v>
      </c>
      <c r="I964">
        <v>3</v>
      </c>
      <c r="J964" t="s">
        <v>50</v>
      </c>
    </row>
    <row r="965" spans="1:10" x14ac:dyDescent="0.25">
      <c r="A965" t="s">
        <v>7355</v>
      </c>
      <c r="B965">
        <f>50156.5533518709*(1/100/100)</f>
        <v>5.0156553351870903</v>
      </c>
      <c r="C965">
        <v>11134</v>
      </c>
      <c r="D965" t="s">
        <v>3641</v>
      </c>
      <c r="E965">
        <v>31208</v>
      </c>
      <c r="F965" t="s">
        <v>657</v>
      </c>
      <c r="G965">
        <v>312</v>
      </c>
      <c r="H965" t="s">
        <v>61</v>
      </c>
      <c r="I965">
        <v>3</v>
      </c>
      <c r="J965" t="s">
        <v>50</v>
      </c>
    </row>
    <row r="966" spans="1:10" x14ac:dyDescent="0.25">
      <c r="A966" t="s">
        <v>7355</v>
      </c>
      <c r="B966">
        <f>109067.845533857*(1/100/100)</f>
        <v>10.906784553385702</v>
      </c>
      <c r="C966">
        <v>11135</v>
      </c>
      <c r="D966" t="s">
        <v>3642</v>
      </c>
      <c r="E966">
        <v>31208</v>
      </c>
      <c r="F966" t="s">
        <v>657</v>
      </c>
      <c r="G966">
        <v>312</v>
      </c>
      <c r="H966" t="s">
        <v>61</v>
      </c>
      <c r="I966">
        <v>3</v>
      </c>
      <c r="J966" t="s">
        <v>50</v>
      </c>
    </row>
    <row r="967" spans="1:10" x14ac:dyDescent="0.25">
      <c r="A967" t="s">
        <v>7355</v>
      </c>
      <c r="B967">
        <f>81187.5780442632*(1/100/100)</f>
        <v>8.1187578044263198</v>
      </c>
      <c r="C967">
        <v>11136</v>
      </c>
      <c r="D967" t="s">
        <v>3660</v>
      </c>
      <c r="E967">
        <v>31226</v>
      </c>
      <c r="F967" t="s">
        <v>662</v>
      </c>
      <c r="G967">
        <v>312</v>
      </c>
      <c r="H967" t="s">
        <v>61</v>
      </c>
      <c r="I967">
        <v>3</v>
      </c>
      <c r="J967" t="s">
        <v>50</v>
      </c>
    </row>
    <row r="968" spans="1:10" x14ac:dyDescent="0.25">
      <c r="A968" t="s">
        <v>7355</v>
      </c>
      <c r="B968">
        <f>141514.91045912*(1/100/100)</f>
        <v>14.151491045912001</v>
      </c>
      <c r="C968">
        <v>11137</v>
      </c>
      <c r="D968" t="s">
        <v>662</v>
      </c>
      <c r="E968">
        <v>31226</v>
      </c>
      <c r="F968" t="s">
        <v>662</v>
      </c>
      <c r="G968">
        <v>312</v>
      </c>
      <c r="H968" t="s">
        <v>61</v>
      </c>
      <c r="I968">
        <v>3</v>
      </c>
      <c r="J968" t="s">
        <v>50</v>
      </c>
    </row>
    <row r="969" spans="1:10" x14ac:dyDescent="0.25">
      <c r="A969" t="s">
        <v>7355</v>
      </c>
      <c r="B969">
        <f>209291.466203141*(1/100/100)</f>
        <v>20.9291466203141</v>
      </c>
      <c r="C969">
        <v>11138</v>
      </c>
      <c r="D969" t="s">
        <v>663</v>
      </c>
      <c r="E969">
        <v>31227</v>
      </c>
      <c r="F969" t="s">
        <v>663</v>
      </c>
      <c r="G969">
        <v>312</v>
      </c>
      <c r="H969" t="s">
        <v>61</v>
      </c>
      <c r="I969">
        <v>3</v>
      </c>
      <c r="J969" t="s">
        <v>50</v>
      </c>
    </row>
    <row r="970" spans="1:10" x14ac:dyDescent="0.25">
      <c r="A970" t="s">
        <v>7355</v>
      </c>
      <c r="B970">
        <f>32555.6448981912*(1/100/100)</f>
        <v>3.2555644898191201</v>
      </c>
      <c r="C970">
        <v>11139</v>
      </c>
      <c r="D970" t="s">
        <v>3663</v>
      </c>
      <c r="E970">
        <v>31228</v>
      </c>
      <c r="F970" t="s">
        <v>664</v>
      </c>
      <c r="G970">
        <v>312</v>
      </c>
      <c r="H970" t="s">
        <v>61</v>
      </c>
      <c r="I970">
        <v>3</v>
      </c>
      <c r="J970" t="s">
        <v>50</v>
      </c>
    </row>
    <row r="971" spans="1:10" x14ac:dyDescent="0.25">
      <c r="A971" t="s">
        <v>7355</v>
      </c>
      <c r="B971">
        <f>24162.5611739296*(1/100/100)</f>
        <v>2.41625611739296</v>
      </c>
      <c r="C971">
        <v>11140</v>
      </c>
      <c r="D971" t="s">
        <v>3624</v>
      </c>
      <c r="E971">
        <v>31204</v>
      </c>
      <c r="F971" t="s">
        <v>653</v>
      </c>
      <c r="G971">
        <v>312</v>
      </c>
      <c r="H971" t="s">
        <v>61</v>
      </c>
      <c r="I971">
        <v>3</v>
      </c>
      <c r="J971" t="s">
        <v>50</v>
      </c>
    </row>
    <row r="972" spans="1:10" x14ac:dyDescent="0.25">
      <c r="A972" t="s">
        <v>7355</v>
      </c>
      <c r="B972">
        <f>97202.4891686384*(1/100/100)</f>
        <v>9.7202489168638415</v>
      </c>
      <c r="C972">
        <v>11141</v>
      </c>
      <c r="D972" t="s">
        <v>664</v>
      </c>
      <c r="E972">
        <v>31228</v>
      </c>
      <c r="F972" t="s">
        <v>664</v>
      </c>
      <c r="G972">
        <v>312</v>
      </c>
      <c r="H972" t="s">
        <v>61</v>
      </c>
      <c r="I972">
        <v>3</v>
      </c>
      <c r="J972" t="s">
        <v>50</v>
      </c>
    </row>
    <row r="973" spans="1:10" x14ac:dyDescent="0.25">
      <c r="A973" t="s">
        <v>7355</v>
      </c>
      <c r="B973">
        <f>1330407.73439842*(1/100/100)</f>
        <v>133.04077343984201</v>
      </c>
      <c r="C973">
        <v>11142</v>
      </c>
      <c r="D973" t="s">
        <v>666</v>
      </c>
      <c r="E973">
        <v>31230</v>
      </c>
      <c r="F973" t="s">
        <v>666</v>
      </c>
      <c r="G973">
        <v>312</v>
      </c>
      <c r="H973" t="s">
        <v>61</v>
      </c>
      <c r="I973">
        <v>3</v>
      </c>
      <c r="J973" t="s">
        <v>50</v>
      </c>
    </row>
    <row r="974" spans="1:10" x14ac:dyDescent="0.25">
      <c r="A974" t="s">
        <v>7355</v>
      </c>
      <c r="B974">
        <f>61845.8619352728*(1/100/100)</f>
        <v>6.1845861935272799</v>
      </c>
      <c r="C974">
        <v>11143</v>
      </c>
      <c r="D974" t="s">
        <v>3669</v>
      </c>
      <c r="E974">
        <v>31234</v>
      </c>
      <c r="F974" t="s">
        <v>667</v>
      </c>
      <c r="G974">
        <v>312</v>
      </c>
      <c r="H974" t="s">
        <v>61</v>
      </c>
      <c r="I974">
        <v>3</v>
      </c>
      <c r="J974" t="s">
        <v>50</v>
      </c>
    </row>
    <row r="975" spans="1:10" x14ac:dyDescent="0.25">
      <c r="A975" t="s">
        <v>7355</v>
      </c>
      <c r="B975">
        <f>20538.2570516515*(1/100/100)</f>
        <v>2.0538257051651501</v>
      </c>
      <c r="C975">
        <v>11145</v>
      </c>
      <c r="D975" t="s">
        <v>252</v>
      </c>
      <c r="E975">
        <v>31215</v>
      </c>
      <c r="F975" t="s">
        <v>659</v>
      </c>
      <c r="G975">
        <v>312</v>
      </c>
      <c r="H975" t="s">
        <v>61</v>
      </c>
      <c r="I975">
        <v>3</v>
      </c>
      <c r="J975" t="s">
        <v>50</v>
      </c>
    </row>
    <row r="976" spans="1:10" x14ac:dyDescent="0.25">
      <c r="A976" t="s">
        <v>7355</v>
      </c>
      <c r="B976">
        <f>33153.4132433359*(1/100/100)</f>
        <v>3.3153413243335899</v>
      </c>
      <c r="C976">
        <v>11146</v>
      </c>
      <c r="D976" t="s">
        <v>3645</v>
      </c>
      <c r="E976">
        <v>31215</v>
      </c>
      <c r="F976" t="s">
        <v>659</v>
      </c>
      <c r="G976">
        <v>312</v>
      </c>
      <c r="H976" t="s">
        <v>61</v>
      </c>
      <c r="I976">
        <v>3</v>
      </c>
      <c r="J976" t="s">
        <v>50</v>
      </c>
    </row>
    <row r="977" spans="1:10" x14ac:dyDescent="0.25">
      <c r="A977" t="s">
        <v>7355</v>
      </c>
      <c r="B977">
        <f>44150.627887523*(1/100/100)</f>
        <v>4.4150627887522997</v>
      </c>
      <c r="C977">
        <v>11147</v>
      </c>
      <c r="D977" t="s">
        <v>3646</v>
      </c>
      <c r="E977">
        <v>31215</v>
      </c>
      <c r="F977" t="s">
        <v>659</v>
      </c>
      <c r="G977">
        <v>312</v>
      </c>
      <c r="H977" t="s">
        <v>61</v>
      </c>
      <c r="I977">
        <v>3</v>
      </c>
      <c r="J977" t="s">
        <v>50</v>
      </c>
    </row>
    <row r="978" spans="1:10" x14ac:dyDescent="0.25">
      <c r="A978" t="s">
        <v>7355</v>
      </c>
      <c r="B978">
        <f>33162.9853370105*(1/100/100)</f>
        <v>3.3162985337010498</v>
      </c>
      <c r="C978">
        <v>11148</v>
      </c>
      <c r="D978" t="s">
        <v>3643</v>
      </c>
      <c r="E978">
        <v>31208</v>
      </c>
      <c r="F978" t="s">
        <v>657</v>
      </c>
      <c r="G978">
        <v>312</v>
      </c>
      <c r="H978" t="s">
        <v>61</v>
      </c>
      <c r="I978">
        <v>3</v>
      </c>
      <c r="J978" t="s">
        <v>50</v>
      </c>
    </row>
    <row r="979" spans="1:10" x14ac:dyDescent="0.25">
      <c r="A979" t="s">
        <v>7355</v>
      </c>
      <c r="B979">
        <f>60578.2082504536*(1/100/100)</f>
        <v>6.0578208250453605</v>
      </c>
      <c r="C979">
        <v>11149</v>
      </c>
      <c r="D979" t="s">
        <v>3503</v>
      </c>
      <c r="E979">
        <v>31208</v>
      </c>
      <c r="F979" t="s">
        <v>657</v>
      </c>
      <c r="G979">
        <v>312</v>
      </c>
      <c r="H979" t="s">
        <v>61</v>
      </c>
      <c r="I979">
        <v>3</v>
      </c>
      <c r="J979" t="s">
        <v>50</v>
      </c>
    </row>
    <row r="980" spans="1:10" x14ac:dyDescent="0.25">
      <c r="A980" t="s">
        <v>7355</v>
      </c>
      <c r="B980">
        <f>34165.8082623444*(1/100/100)</f>
        <v>3.4165808262344401</v>
      </c>
      <c r="C980">
        <v>11150</v>
      </c>
      <c r="D980" t="s">
        <v>3664</v>
      </c>
      <c r="E980">
        <v>31230</v>
      </c>
      <c r="F980" t="s">
        <v>666</v>
      </c>
      <c r="G980">
        <v>312</v>
      </c>
      <c r="H980" t="s">
        <v>61</v>
      </c>
      <c r="I980">
        <v>3</v>
      </c>
      <c r="J980" t="s">
        <v>50</v>
      </c>
    </row>
    <row r="981" spans="1:10" x14ac:dyDescent="0.25">
      <c r="A981" t="s">
        <v>7355</v>
      </c>
      <c r="B981">
        <f>126212.59466945*(1/100/100)</f>
        <v>12.621259466945</v>
      </c>
      <c r="C981">
        <v>11151</v>
      </c>
      <c r="D981" t="s">
        <v>3665</v>
      </c>
      <c r="E981">
        <v>31230</v>
      </c>
      <c r="F981" t="s">
        <v>666</v>
      </c>
      <c r="G981">
        <v>312</v>
      </c>
      <c r="H981" t="s">
        <v>61</v>
      </c>
      <c r="I981">
        <v>3</v>
      </c>
      <c r="J981" t="s">
        <v>50</v>
      </c>
    </row>
    <row r="982" spans="1:10" x14ac:dyDescent="0.25">
      <c r="A982" t="s">
        <v>7355</v>
      </c>
      <c r="B982">
        <f>68404.1120522633*(1/100/100)</f>
        <v>6.8404112052263306</v>
      </c>
      <c r="C982">
        <v>11152</v>
      </c>
      <c r="D982" t="s">
        <v>3652</v>
      </c>
      <c r="E982">
        <v>31224</v>
      </c>
      <c r="F982" t="s">
        <v>661</v>
      </c>
      <c r="G982">
        <v>312</v>
      </c>
      <c r="H982" t="s">
        <v>61</v>
      </c>
      <c r="I982">
        <v>3</v>
      </c>
      <c r="J982" t="s">
        <v>50</v>
      </c>
    </row>
    <row r="983" spans="1:10" x14ac:dyDescent="0.25">
      <c r="A983" t="s">
        <v>7355</v>
      </c>
      <c r="B983">
        <f>39894.3422143206*(1/100/100)</f>
        <v>3.9894342214320599</v>
      </c>
      <c r="C983">
        <v>12001</v>
      </c>
      <c r="D983" t="s">
        <v>3744</v>
      </c>
      <c r="E983">
        <v>31324</v>
      </c>
      <c r="F983" t="s">
        <v>682</v>
      </c>
      <c r="G983">
        <v>313</v>
      </c>
      <c r="H983" t="s">
        <v>62</v>
      </c>
      <c r="I983">
        <v>3</v>
      </c>
      <c r="J983" t="s">
        <v>50</v>
      </c>
    </row>
    <row r="984" spans="1:10" x14ac:dyDescent="0.25">
      <c r="A984" t="s">
        <v>7355</v>
      </c>
      <c r="B984">
        <f>25836.8227656545*(1/100/100)</f>
        <v>2.5836822765654501</v>
      </c>
      <c r="C984">
        <v>12002</v>
      </c>
      <c r="D984" t="s">
        <v>3745</v>
      </c>
      <c r="E984">
        <v>31324</v>
      </c>
      <c r="F984" t="s">
        <v>682</v>
      </c>
      <c r="G984">
        <v>313</v>
      </c>
      <c r="H984" t="s">
        <v>62</v>
      </c>
      <c r="I984">
        <v>3</v>
      </c>
      <c r="J984" t="s">
        <v>50</v>
      </c>
    </row>
    <row r="985" spans="1:10" x14ac:dyDescent="0.25">
      <c r="A985" t="s">
        <v>7355</v>
      </c>
      <c r="B985">
        <f>558.70244559592*(1/100/100)</f>
        <v>5.5870244559592004E-2</v>
      </c>
      <c r="C985">
        <v>12003</v>
      </c>
      <c r="D985" t="s">
        <v>3732</v>
      </c>
      <c r="E985">
        <v>31321</v>
      </c>
      <c r="F985" t="s">
        <v>679</v>
      </c>
      <c r="G985">
        <v>313</v>
      </c>
      <c r="H985" t="s">
        <v>62</v>
      </c>
      <c r="I985">
        <v>3</v>
      </c>
      <c r="J985" t="s">
        <v>50</v>
      </c>
    </row>
    <row r="986" spans="1:10" x14ac:dyDescent="0.25">
      <c r="A986" t="s">
        <v>7355</v>
      </c>
      <c r="B986">
        <f>14543.0921461708*(1/100/100)</f>
        <v>1.4543092146170802</v>
      </c>
      <c r="C986">
        <v>12004</v>
      </c>
      <c r="D986" t="s">
        <v>3746</v>
      </c>
      <c r="E986">
        <v>31324</v>
      </c>
      <c r="F986" t="s">
        <v>682</v>
      </c>
      <c r="G986">
        <v>313</v>
      </c>
      <c r="H986" t="s">
        <v>62</v>
      </c>
      <c r="I986">
        <v>3</v>
      </c>
      <c r="J986" t="s">
        <v>50</v>
      </c>
    </row>
    <row r="987" spans="1:10" x14ac:dyDescent="0.25">
      <c r="A987" t="s">
        <v>7355</v>
      </c>
      <c r="B987">
        <f>25570.7171474812*(1/100/100)</f>
        <v>2.5570717147481199</v>
      </c>
      <c r="C987">
        <v>12005</v>
      </c>
      <c r="D987" t="s">
        <v>3733</v>
      </c>
      <c r="E987">
        <v>31321</v>
      </c>
      <c r="F987" t="s">
        <v>679</v>
      </c>
      <c r="G987">
        <v>313</v>
      </c>
      <c r="H987" t="s">
        <v>62</v>
      </c>
      <c r="I987">
        <v>3</v>
      </c>
      <c r="J987" t="s">
        <v>50</v>
      </c>
    </row>
    <row r="988" spans="1:10" x14ac:dyDescent="0.25">
      <c r="A988" t="s">
        <v>7355</v>
      </c>
      <c r="B988">
        <f>81626.889957597*(1/100/100)</f>
        <v>8.1626889957596998</v>
      </c>
      <c r="C988">
        <v>12006</v>
      </c>
      <c r="D988" t="s">
        <v>3728</v>
      </c>
      <c r="E988">
        <v>31319</v>
      </c>
      <c r="F988" t="s">
        <v>678</v>
      </c>
      <c r="G988">
        <v>313</v>
      </c>
      <c r="H988" t="s">
        <v>62</v>
      </c>
      <c r="I988">
        <v>3</v>
      </c>
      <c r="J988" t="s">
        <v>50</v>
      </c>
    </row>
    <row r="989" spans="1:10" x14ac:dyDescent="0.25">
      <c r="A989" t="s">
        <v>7355</v>
      </c>
      <c r="B989">
        <f>43566.6085406986*(1/100/100)</f>
        <v>4.3566608540698608</v>
      </c>
      <c r="C989">
        <v>12007</v>
      </c>
      <c r="D989" t="s">
        <v>3729</v>
      </c>
      <c r="E989">
        <v>31319</v>
      </c>
      <c r="F989" t="s">
        <v>678</v>
      </c>
      <c r="G989">
        <v>313</v>
      </c>
      <c r="H989" t="s">
        <v>62</v>
      </c>
      <c r="I989">
        <v>3</v>
      </c>
      <c r="J989" t="s">
        <v>50</v>
      </c>
    </row>
    <row r="990" spans="1:10" x14ac:dyDescent="0.25">
      <c r="A990" t="s">
        <v>7355</v>
      </c>
      <c r="B990">
        <f>71910.7422940961*(1/100/100)</f>
        <v>7.1910742294096099</v>
      </c>
      <c r="C990">
        <v>12008</v>
      </c>
      <c r="D990" t="s">
        <v>3730</v>
      </c>
      <c r="E990">
        <v>31319</v>
      </c>
      <c r="F990" t="s">
        <v>678</v>
      </c>
      <c r="G990">
        <v>313</v>
      </c>
      <c r="H990" t="s">
        <v>62</v>
      </c>
      <c r="I990">
        <v>3</v>
      </c>
      <c r="J990" t="s">
        <v>50</v>
      </c>
    </row>
    <row r="991" spans="1:10" x14ac:dyDescent="0.25">
      <c r="A991" t="s">
        <v>7355</v>
      </c>
      <c r="B991">
        <f>19844.398439047*(1/100/100)</f>
        <v>1.9844398439047</v>
      </c>
      <c r="C991">
        <v>12009</v>
      </c>
      <c r="D991" t="s">
        <v>3747</v>
      </c>
      <c r="E991">
        <v>31324</v>
      </c>
      <c r="F991" t="s">
        <v>682</v>
      </c>
      <c r="G991">
        <v>313</v>
      </c>
      <c r="H991" t="s">
        <v>62</v>
      </c>
      <c r="I991">
        <v>3</v>
      </c>
      <c r="J991" t="s">
        <v>50</v>
      </c>
    </row>
    <row r="992" spans="1:10" x14ac:dyDescent="0.25">
      <c r="A992" t="s">
        <v>7355</v>
      </c>
      <c r="B992">
        <f>29811.1886306639*(1/100/100)</f>
        <v>2.9811188630663898</v>
      </c>
      <c r="C992">
        <v>12010</v>
      </c>
      <c r="D992" t="s">
        <v>3364</v>
      </c>
      <c r="E992">
        <v>31311</v>
      </c>
      <c r="F992" t="s">
        <v>676</v>
      </c>
      <c r="G992">
        <v>313</v>
      </c>
      <c r="H992" t="s">
        <v>62</v>
      </c>
      <c r="I992">
        <v>3</v>
      </c>
      <c r="J992" t="s">
        <v>50</v>
      </c>
    </row>
    <row r="993" spans="1:10" x14ac:dyDescent="0.25">
      <c r="A993" t="s">
        <v>7355</v>
      </c>
      <c r="B993">
        <f>13304.1564649798*(1/100/100)</f>
        <v>1.3304156464979802</v>
      </c>
      <c r="C993">
        <v>12011</v>
      </c>
      <c r="D993" t="s">
        <v>3711</v>
      </c>
      <c r="E993">
        <v>31311</v>
      </c>
      <c r="F993" t="s">
        <v>676</v>
      </c>
      <c r="G993">
        <v>313</v>
      </c>
      <c r="H993" t="s">
        <v>62</v>
      </c>
      <c r="I993">
        <v>3</v>
      </c>
      <c r="J993" t="s">
        <v>50</v>
      </c>
    </row>
    <row r="994" spans="1:10" x14ac:dyDescent="0.25">
      <c r="A994" t="s">
        <v>7355</v>
      </c>
      <c r="B994">
        <f>231664.39603791*(1/100/100)</f>
        <v>23.166439603791002</v>
      </c>
      <c r="C994">
        <v>12012</v>
      </c>
      <c r="D994" t="s">
        <v>676</v>
      </c>
      <c r="E994">
        <v>31311</v>
      </c>
      <c r="F994" t="s">
        <v>676</v>
      </c>
      <c r="G994">
        <v>313</v>
      </c>
      <c r="H994" t="s">
        <v>62</v>
      </c>
      <c r="I994">
        <v>3</v>
      </c>
      <c r="J994" t="s">
        <v>50</v>
      </c>
    </row>
    <row r="995" spans="1:10" x14ac:dyDescent="0.25">
      <c r="A995" t="s">
        <v>7355</v>
      </c>
      <c r="B995">
        <f>103685.423800338*(1/100/100)</f>
        <v>10.368542380033801</v>
      </c>
      <c r="C995">
        <v>12013</v>
      </c>
      <c r="D995" t="s">
        <v>3712</v>
      </c>
      <c r="E995">
        <v>31311</v>
      </c>
      <c r="F995" t="s">
        <v>676</v>
      </c>
      <c r="G995">
        <v>313</v>
      </c>
      <c r="H995" t="s">
        <v>62</v>
      </c>
      <c r="I995">
        <v>3</v>
      </c>
      <c r="J995" t="s">
        <v>50</v>
      </c>
    </row>
    <row r="996" spans="1:10" x14ac:dyDescent="0.25">
      <c r="A996" t="s">
        <v>7355</v>
      </c>
      <c r="B996">
        <f>11939.8242219869*(1/100/100)</f>
        <v>1.1939824221986901</v>
      </c>
      <c r="C996">
        <v>12014</v>
      </c>
      <c r="D996" t="s">
        <v>3713</v>
      </c>
      <c r="E996">
        <v>31311</v>
      </c>
      <c r="F996" t="s">
        <v>676</v>
      </c>
      <c r="G996">
        <v>313</v>
      </c>
      <c r="H996" t="s">
        <v>62</v>
      </c>
      <c r="I996">
        <v>3</v>
      </c>
      <c r="J996" t="s">
        <v>50</v>
      </c>
    </row>
    <row r="997" spans="1:10" x14ac:dyDescent="0.25">
      <c r="A997" t="s">
        <v>7355</v>
      </c>
      <c r="B997">
        <f>37349.0175504622*(1/100/100)</f>
        <v>3.7349017550462205</v>
      </c>
      <c r="C997">
        <v>12015</v>
      </c>
      <c r="D997" t="s">
        <v>3790</v>
      </c>
      <c r="E997">
        <v>31336</v>
      </c>
      <c r="F997" t="s">
        <v>686</v>
      </c>
      <c r="G997">
        <v>313</v>
      </c>
      <c r="H997" t="s">
        <v>62</v>
      </c>
      <c r="I997">
        <v>3</v>
      </c>
      <c r="J997" t="s">
        <v>50</v>
      </c>
    </row>
    <row r="998" spans="1:10" x14ac:dyDescent="0.25">
      <c r="A998" t="s">
        <v>7355</v>
      </c>
      <c r="B998">
        <f>29831.8159390029*(1/100/100)</f>
        <v>2.9831815939002899</v>
      </c>
      <c r="C998">
        <v>12016</v>
      </c>
      <c r="D998" t="s">
        <v>3748</v>
      </c>
      <c r="E998">
        <v>31324</v>
      </c>
      <c r="F998" t="s">
        <v>682</v>
      </c>
      <c r="G998">
        <v>313</v>
      </c>
      <c r="H998" t="s">
        <v>62</v>
      </c>
      <c r="I998">
        <v>3</v>
      </c>
      <c r="J998" t="s">
        <v>50</v>
      </c>
    </row>
    <row r="999" spans="1:10" x14ac:dyDescent="0.25">
      <c r="A999" t="s">
        <v>7355</v>
      </c>
      <c r="B999">
        <f>12980.2630348539*(1/100/100)</f>
        <v>1.2980263034853901</v>
      </c>
      <c r="C999">
        <v>12017</v>
      </c>
      <c r="D999" t="s">
        <v>3714</v>
      </c>
      <c r="E999">
        <v>31311</v>
      </c>
      <c r="F999" t="s">
        <v>676</v>
      </c>
      <c r="G999">
        <v>313</v>
      </c>
      <c r="H999" t="s">
        <v>62</v>
      </c>
      <c r="I999">
        <v>3</v>
      </c>
      <c r="J999" t="s">
        <v>50</v>
      </c>
    </row>
    <row r="1000" spans="1:10" x14ac:dyDescent="0.25">
      <c r="A1000" t="s">
        <v>7355</v>
      </c>
      <c r="B1000">
        <f>78561.9366442371*(1/100/100)</f>
        <v>7.85619366442371</v>
      </c>
      <c r="C1000">
        <v>12018</v>
      </c>
      <c r="D1000" t="s">
        <v>3804</v>
      </c>
      <c r="E1000">
        <v>31340</v>
      </c>
      <c r="F1000" t="s">
        <v>3805</v>
      </c>
      <c r="G1000">
        <v>313</v>
      </c>
      <c r="H1000" t="s">
        <v>62</v>
      </c>
      <c r="I1000">
        <v>3</v>
      </c>
      <c r="J1000" t="s">
        <v>50</v>
      </c>
    </row>
    <row r="1001" spans="1:10" x14ac:dyDescent="0.25">
      <c r="A1001" t="s">
        <v>7355</v>
      </c>
      <c r="B1001">
        <f>49030.2886896552*(1/100/100)</f>
        <v>4.9030288689655199</v>
      </c>
      <c r="C1001">
        <v>12019</v>
      </c>
      <c r="D1001" t="s">
        <v>678</v>
      </c>
      <c r="E1001">
        <v>31319</v>
      </c>
      <c r="F1001" t="s">
        <v>678</v>
      </c>
      <c r="G1001">
        <v>313</v>
      </c>
      <c r="H1001" t="s">
        <v>62</v>
      </c>
      <c r="I1001">
        <v>3</v>
      </c>
      <c r="J1001" t="s">
        <v>50</v>
      </c>
    </row>
    <row r="1002" spans="1:10" x14ac:dyDescent="0.25">
      <c r="A1002" t="s">
        <v>7355</v>
      </c>
      <c r="B1002">
        <f>46459.6845949596*(1/100/100)</f>
        <v>4.6459684594959603</v>
      </c>
      <c r="C1002">
        <v>12020</v>
      </c>
      <c r="D1002" t="s">
        <v>3749</v>
      </c>
      <c r="E1002">
        <v>31324</v>
      </c>
      <c r="F1002" t="s">
        <v>682</v>
      </c>
      <c r="G1002">
        <v>313</v>
      </c>
      <c r="H1002" t="s">
        <v>62</v>
      </c>
      <c r="I1002">
        <v>3</v>
      </c>
      <c r="J1002" t="s">
        <v>50</v>
      </c>
    </row>
    <row r="1003" spans="1:10" x14ac:dyDescent="0.25">
      <c r="A1003" t="s">
        <v>7355</v>
      </c>
      <c r="B1003">
        <f>25989.9567809341*(1/100/100)</f>
        <v>2.5989956780934098</v>
      </c>
      <c r="C1003">
        <v>12021</v>
      </c>
      <c r="D1003" t="s">
        <v>3734</v>
      </c>
      <c r="E1003">
        <v>31321</v>
      </c>
      <c r="F1003" t="s">
        <v>679</v>
      </c>
      <c r="G1003">
        <v>313</v>
      </c>
      <c r="H1003" t="s">
        <v>62</v>
      </c>
      <c r="I1003">
        <v>3</v>
      </c>
      <c r="J1003" t="s">
        <v>50</v>
      </c>
    </row>
    <row r="1004" spans="1:10" x14ac:dyDescent="0.25">
      <c r="A1004" t="s">
        <v>7355</v>
      </c>
      <c r="B1004">
        <f>50233.0386966392*(1/100/100)</f>
        <v>5.0233038696639207</v>
      </c>
      <c r="C1004">
        <v>12022</v>
      </c>
      <c r="D1004" t="s">
        <v>679</v>
      </c>
      <c r="E1004">
        <v>31321</v>
      </c>
      <c r="F1004" t="s">
        <v>679</v>
      </c>
      <c r="G1004">
        <v>313</v>
      </c>
      <c r="H1004" t="s">
        <v>62</v>
      </c>
      <c r="I1004">
        <v>3</v>
      </c>
      <c r="J1004" t="s">
        <v>50</v>
      </c>
    </row>
    <row r="1005" spans="1:10" x14ac:dyDescent="0.25">
      <c r="A1005" t="s">
        <v>7355</v>
      </c>
      <c r="B1005">
        <f>12747.4124025753*(1/100/100)</f>
        <v>1.2747412402575302</v>
      </c>
      <c r="C1005">
        <v>12023</v>
      </c>
      <c r="D1005" t="s">
        <v>3750</v>
      </c>
      <c r="E1005">
        <v>31324</v>
      </c>
      <c r="F1005" t="s">
        <v>682</v>
      </c>
      <c r="G1005">
        <v>313</v>
      </c>
      <c r="H1005" t="s">
        <v>62</v>
      </c>
      <c r="I1005">
        <v>3</v>
      </c>
      <c r="J1005" t="s">
        <v>50</v>
      </c>
    </row>
    <row r="1006" spans="1:10" x14ac:dyDescent="0.25">
      <c r="A1006" t="s">
        <v>7355</v>
      </c>
      <c r="B1006">
        <f>11139.6662022125*(1/100/100)</f>
        <v>1.1139666202212501</v>
      </c>
      <c r="C1006">
        <v>12024</v>
      </c>
      <c r="D1006" t="s">
        <v>3715</v>
      </c>
      <c r="E1006">
        <v>31311</v>
      </c>
      <c r="F1006" t="s">
        <v>676</v>
      </c>
      <c r="G1006">
        <v>313</v>
      </c>
      <c r="H1006" t="s">
        <v>62</v>
      </c>
      <c r="I1006">
        <v>3</v>
      </c>
      <c r="J1006" t="s">
        <v>50</v>
      </c>
    </row>
    <row r="1007" spans="1:10" x14ac:dyDescent="0.25">
      <c r="A1007" t="s">
        <v>7355</v>
      </c>
      <c r="B1007">
        <f>47730.8628061025*(1/100/100)</f>
        <v>4.7730862806102508</v>
      </c>
      <c r="C1007">
        <v>12025</v>
      </c>
      <c r="D1007" t="s">
        <v>3751</v>
      </c>
      <c r="E1007">
        <v>31324</v>
      </c>
      <c r="F1007" t="s">
        <v>682</v>
      </c>
      <c r="G1007">
        <v>313</v>
      </c>
      <c r="H1007" t="s">
        <v>62</v>
      </c>
      <c r="I1007">
        <v>3</v>
      </c>
      <c r="J1007" t="s">
        <v>50</v>
      </c>
    </row>
    <row r="1008" spans="1:10" x14ac:dyDescent="0.25">
      <c r="A1008" t="s">
        <v>7355</v>
      </c>
      <c r="B1008">
        <f>8748.83481414286*(1/100/100)</f>
        <v>0.87488348141428596</v>
      </c>
      <c r="C1008">
        <v>12026</v>
      </c>
      <c r="D1008" t="s">
        <v>3716</v>
      </c>
      <c r="E1008">
        <v>31311</v>
      </c>
      <c r="F1008" t="s">
        <v>676</v>
      </c>
      <c r="G1008">
        <v>313</v>
      </c>
      <c r="H1008" t="s">
        <v>62</v>
      </c>
      <c r="I1008">
        <v>3</v>
      </c>
      <c r="J1008" t="s">
        <v>50</v>
      </c>
    </row>
    <row r="1009" spans="1:10" x14ac:dyDescent="0.25">
      <c r="A1009" t="s">
        <v>7355</v>
      </c>
      <c r="B1009">
        <f>42209.5816509638*(1/100/100)</f>
        <v>4.2209581650963806</v>
      </c>
      <c r="C1009">
        <v>12027</v>
      </c>
      <c r="D1009" t="s">
        <v>3752</v>
      </c>
      <c r="E1009">
        <v>31324</v>
      </c>
      <c r="F1009" t="s">
        <v>682</v>
      </c>
      <c r="G1009">
        <v>313</v>
      </c>
      <c r="H1009" t="s">
        <v>62</v>
      </c>
      <c r="I1009">
        <v>3</v>
      </c>
      <c r="J1009" t="s">
        <v>50</v>
      </c>
    </row>
    <row r="1010" spans="1:10" x14ac:dyDescent="0.25">
      <c r="A1010" t="s">
        <v>7355</v>
      </c>
      <c r="B1010">
        <f>42925.424915129*(1/100/100)</f>
        <v>4.2925424915128998</v>
      </c>
      <c r="C1010">
        <v>12028</v>
      </c>
      <c r="D1010" t="s">
        <v>3791</v>
      </c>
      <c r="E1010">
        <v>31336</v>
      </c>
      <c r="F1010" t="s">
        <v>686</v>
      </c>
      <c r="G1010">
        <v>313</v>
      </c>
      <c r="H1010" t="s">
        <v>62</v>
      </c>
      <c r="I1010">
        <v>3</v>
      </c>
      <c r="J1010" t="s">
        <v>50</v>
      </c>
    </row>
    <row r="1011" spans="1:10" x14ac:dyDescent="0.25">
      <c r="A1011" t="s">
        <v>7355</v>
      </c>
      <c r="B1011">
        <f>13447.0878939746*(1/100/100)</f>
        <v>1.3447087893974601</v>
      </c>
      <c r="C1011">
        <v>12029</v>
      </c>
      <c r="D1011" t="s">
        <v>3717</v>
      </c>
      <c r="E1011">
        <v>31311</v>
      </c>
      <c r="F1011" t="s">
        <v>676</v>
      </c>
      <c r="G1011">
        <v>313</v>
      </c>
      <c r="H1011" t="s">
        <v>62</v>
      </c>
      <c r="I1011">
        <v>3</v>
      </c>
      <c r="J1011" t="s">
        <v>50</v>
      </c>
    </row>
    <row r="1012" spans="1:10" x14ac:dyDescent="0.25">
      <c r="A1012" t="s">
        <v>7355</v>
      </c>
      <c r="B1012">
        <f>20229.3156559229*(1/100/100)</f>
        <v>2.0229315655922901</v>
      </c>
      <c r="C1012">
        <v>12030</v>
      </c>
      <c r="D1012" t="s">
        <v>3718</v>
      </c>
      <c r="E1012">
        <v>31311</v>
      </c>
      <c r="F1012" t="s">
        <v>676</v>
      </c>
      <c r="G1012">
        <v>313</v>
      </c>
      <c r="H1012" t="s">
        <v>62</v>
      </c>
      <c r="I1012">
        <v>3</v>
      </c>
      <c r="J1012" t="s">
        <v>50</v>
      </c>
    </row>
    <row r="1013" spans="1:10" x14ac:dyDescent="0.25">
      <c r="A1013" t="s">
        <v>7355</v>
      </c>
      <c r="B1013">
        <f>19185.6148973046*(1/100/100)</f>
        <v>1.9185614897304601</v>
      </c>
      <c r="C1013">
        <v>12032</v>
      </c>
      <c r="D1013" t="s">
        <v>3719</v>
      </c>
      <c r="E1013">
        <v>31311</v>
      </c>
      <c r="F1013" t="s">
        <v>676</v>
      </c>
      <c r="G1013">
        <v>313</v>
      </c>
      <c r="H1013" t="s">
        <v>62</v>
      </c>
      <c r="I1013">
        <v>3</v>
      </c>
      <c r="J1013" t="s">
        <v>50</v>
      </c>
    </row>
    <row r="1014" spans="1:10" x14ac:dyDescent="0.25">
      <c r="A1014" t="s">
        <v>7355</v>
      </c>
      <c r="B1014">
        <f>27901.8949641476*(1/100/100)</f>
        <v>2.7901894964147602</v>
      </c>
      <c r="C1014">
        <v>12033</v>
      </c>
      <c r="D1014" t="s">
        <v>3720</v>
      </c>
      <c r="E1014">
        <v>31311</v>
      </c>
      <c r="F1014" t="s">
        <v>676</v>
      </c>
      <c r="G1014">
        <v>313</v>
      </c>
      <c r="H1014" t="s">
        <v>62</v>
      </c>
      <c r="I1014">
        <v>3</v>
      </c>
      <c r="J1014" t="s">
        <v>50</v>
      </c>
    </row>
    <row r="1015" spans="1:10" x14ac:dyDescent="0.25">
      <c r="A1015" t="s">
        <v>7355</v>
      </c>
      <c r="B1015">
        <f>27113.4168903179*(1/100/100)</f>
        <v>2.7113416890317903</v>
      </c>
      <c r="C1015">
        <v>12034</v>
      </c>
      <c r="D1015" t="s">
        <v>3721</v>
      </c>
      <c r="E1015">
        <v>31311</v>
      </c>
      <c r="F1015" t="s">
        <v>676</v>
      </c>
      <c r="G1015">
        <v>313</v>
      </c>
      <c r="H1015" t="s">
        <v>62</v>
      </c>
      <c r="I1015">
        <v>3</v>
      </c>
      <c r="J1015" t="s">
        <v>50</v>
      </c>
    </row>
    <row r="1016" spans="1:10" x14ac:dyDescent="0.25">
      <c r="A1016" t="s">
        <v>7355</v>
      </c>
      <c r="B1016">
        <f>49581.1791099271*(1/100/100)</f>
        <v>4.9581179109927103</v>
      </c>
      <c r="C1016">
        <v>12035</v>
      </c>
      <c r="D1016" t="s">
        <v>3792</v>
      </c>
      <c r="E1016">
        <v>31336</v>
      </c>
      <c r="F1016" t="s">
        <v>686</v>
      </c>
      <c r="G1016">
        <v>313</v>
      </c>
      <c r="H1016" t="s">
        <v>62</v>
      </c>
      <c r="I1016">
        <v>3</v>
      </c>
      <c r="J1016" t="s">
        <v>50</v>
      </c>
    </row>
    <row r="1017" spans="1:10" x14ac:dyDescent="0.25">
      <c r="A1017" t="s">
        <v>7355</v>
      </c>
      <c r="B1017">
        <f>11196.4392433229*(1/100/100)</f>
        <v>1.1196439243322902</v>
      </c>
      <c r="C1017">
        <v>12036</v>
      </c>
      <c r="D1017" t="s">
        <v>3566</v>
      </c>
      <c r="E1017">
        <v>31311</v>
      </c>
      <c r="F1017" t="s">
        <v>676</v>
      </c>
      <c r="G1017">
        <v>313</v>
      </c>
      <c r="H1017" t="s">
        <v>62</v>
      </c>
      <c r="I1017">
        <v>3</v>
      </c>
      <c r="J1017" t="s">
        <v>50</v>
      </c>
    </row>
    <row r="1018" spans="1:10" x14ac:dyDescent="0.25">
      <c r="A1018" t="s">
        <v>7355</v>
      </c>
      <c r="B1018">
        <f>27189.1994297756*(1/100/100)</f>
        <v>2.7189199429775601</v>
      </c>
      <c r="C1018">
        <v>12037</v>
      </c>
      <c r="D1018" t="s">
        <v>3753</v>
      </c>
      <c r="E1018">
        <v>31324</v>
      </c>
      <c r="F1018" t="s">
        <v>682</v>
      </c>
      <c r="G1018">
        <v>313</v>
      </c>
      <c r="H1018" t="s">
        <v>62</v>
      </c>
      <c r="I1018">
        <v>3</v>
      </c>
      <c r="J1018" t="s">
        <v>50</v>
      </c>
    </row>
    <row r="1019" spans="1:10" x14ac:dyDescent="0.25">
      <c r="A1019" t="s">
        <v>7355</v>
      </c>
      <c r="B1019">
        <f>56395.6696101125*(1/100/100)</f>
        <v>5.6395669610112504</v>
      </c>
      <c r="C1019">
        <v>12038</v>
      </c>
      <c r="D1019" t="s">
        <v>3793</v>
      </c>
      <c r="E1019">
        <v>31336</v>
      </c>
      <c r="F1019" t="s">
        <v>686</v>
      </c>
      <c r="G1019">
        <v>313</v>
      </c>
      <c r="H1019" t="s">
        <v>62</v>
      </c>
      <c r="I1019">
        <v>3</v>
      </c>
      <c r="J1019" t="s">
        <v>50</v>
      </c>
    </row>
    <row r="1020" spans="1:10" x14ac:dyDescent="0.25">
      <c r="A1020" t="s">
        <v>7355</v>
      </c>
      <c r="B1020">
        <f>35060.8833234096*(1/100/100)</f>
        <v>3.5060883323409602</v>
      </c>
      <c r="C1020">
        <v>12039</v>
      </c>
      <c r="D1020" t="s">
        <v>3735</v>
      </c>
      <c r="E1020">
        <v>31321</v>
      </c>
      <c r="F1020" t="s">
        <v>679</v>
      </c>
      <c r="G1020">
        <v>313</v>
      </c>
      <c r="H1020" t="s">
        <v>62</v>
      </c>
      <c r="I1020">
        <v>3</v>
      </c>
      <c r="J1020" t="s">
        <v>50</v>
      </c>
    </row>
    <row r="1021" spans="1:10" x14ac:dyDescent="0.25">
      <c r="A1021" t="s">
        <v>7355</v>
      </c>
      <c r="B1021">
        <f>29369.6955311933*(1/100/100)</f>
        <v>2.9369695531193303</v>
      </c>
      <c r="C1021">
        <v>12040</v>
      </c>
      <c r="D1021" t="s">
        <v>3722</v>
      </c>
      <c r="E1021">
        <v>31311</v>
      </c>
      <c r="F1021" t="s">
        <v>676</v>
      </c>
      <c r="G1021">
        <v>313</v>
      </c>
      <c r="H1021" t="s">
        <v>62</v>
      </c>
      <c r="I1021">
        <v>3</v>
      </c>
      <c r="J1021" t="s">
        <v>50</v>
      </c>
    </row>
    <row r="1022" spans="1:10" x14ac:dyDescent="0.25">
      <c r="A1022" t="s">
        <v>7355</v>
      </c>
      <c r="B1022">
        <f>11645.8887452363*(1/100/100)</f>
        <v>1.1645888745236299</v>
      </c>
      <c r="C1022">
        <v>12041</v>
      </c>
      <c r="D1022" t="s">
        <v>3794</v>
      </c>
      <c r="E1022">
        <v>31336</v>
      </c>
      <c r="F1022" t="s">
        <v>686</v>
      </c>
      <c r="G1022">
        <v>313</v>
      </c>
      <c r="H1022" t="s">
        <v>62</v>
      </c>
      <c r="I1022">
        <v>3</v>
      </c>
      <c r="J1022" t="s">
        <v>50</v>
      </c>
    </row>
    <row r="1023" spans="1:10" x14ac:dyDescent="0.25">
      <c r="A1023" t="s">
        <v>7355</v>
      </c>
      <c r="B1023">
        <f>89476.5714043554*(1/100/100)</f>
        <v>8.9476571404355401</v>
      </c>
      <c r="C1023">
        <v>12042</v>
      </c>
      <c r="D1023" t="s">
        <v>686</v>
      </c>
      <c r="E1023">
        <v>31336</v>
      </c>
      <c r="F1023" t="s">
        <v>686</v>
      </c>
      <c r="G1023">
        <v>313</v>
      </c>
      <c r="H1023" t="s">
        <v>62</v>
      </c>
      <c r="I1023">
        <v>3</v>
      </c>
      <c r="J1023" t="s">
        <v>50</v>
      </c>
    </row>
    <row r="1024" spans="1:10" x14ac:dyDescent="0.25">
      <c r="A1024" t="s">
        <v>7355</v>
      </c>
      <c r="B1024">
        <f>11736.080737728*(1/100/100)</f>
        <v>1.1736080737728001</v>
      </c>
      <c r="C1024">
        <v>12043</v>
      </c>
      <c r="D1024" t="s">
        <v>3723</v>
      </c>
      <c r="E1024">
        <v>31311</v>
      </c>
      <c r="F1024" t="s">
        <v>676</v>
      </c>
      <c r="G1024">
        <v>313</v>
      </c>
      <c r="H1024" t="s">
        <v>62</v>
      </c>
      <c r="I1024">
        <v>3</v>
      </c>
      <c r="J1024" t="s">
        <v>50</v>
      </c>
    </row>
    <row r="1025" spans="1:10" x14ac:dyDescent="0.25">
      <c r="A1025" t="s">
        <v>7355</v>
      </c>
      <c r="B1025">
        <f>27596.0949870447*(1/100/100)</f>
        <v>2.7596094987044704</v>
      </c>
      <c r="C1025">
        <v>12044</v>
      </c>
      <c r="D1025" t="s">
        <v>3724</v>
      </c>
      <c r="E1025">
        <v>31311</v>
      </c>
      <c r="F1025" t="s">
        <v>676</v>
      </c>
      <c r="G1025">
        <v>313</v>
      </c>
      <c r="H1025" t="s">
        <v>62</v>
      </c>
      <c r="I1025">
        <v>3</v>
      </c>
      <c r="J1025" t="s">
        <v>50</v>
      </c>
    </row>
    <row r="1026" spans="1:10" x14ac:dyDescent="0.25">
      <c r="A1026" t="s">
        <v>7355</v>
      </c>
      <c r="B1026">
        <f>15505.5292294966*(1/100/100)</f>
        <v>1.5505529229496602</v>
      </c>
      <c r="C1026">
        <v>12045</v>
      </c>
      <c r="D1026" t="s">
        <v>3754</v>
      </c>
      <c r="E1026">
        <v>31324</v>
      </c>
      <c r="F1026" t="s">
        <v>682</v>
      </c>
      <c r="G1026">
        <v>313</v>
      </c>
      <c r="H1026" t="s">
        <v>62</v>
      </c>
      <c r="I1026">
        <v>3</v>
      </c>
      <c r="J1026" t="s">
        <v>50</v>
      </c>
    </row>
    <row r="1027" spans="1:10" x14ac:dyDescent="0.25">
      <c r="A1027" t="s">
        <v>7355</v>
      </c>
      <c r="B1027">
        <f>39737.1830080584*(1/100/100)</f>
        <v>3.9737183008058397</v>
      </c>
      <c r="C1027">
        <v>12046</v>
      </c>
      <c r="D1027" t="s">
        <v>3731</v>
      </c>
      <c r="E1027">
        <v>31319</v>
      </c>
      <c r="F1027" t="s">
        <v>678</v>
      </c>
      <c r="G1027">
        <v>313</v>
      </c>
      <c r="H1027" t="s">
        <v>62</v>
      </c>
      <c r="I1027">
        <v>3</v>
      </c>
      <c r="J1027" t="s">
        <v>50</v>
      </c>
    </row>
    <row r="1028" spans="1:10" x14ac:dyDescent="0.25">
      <c r="A1028" t="s">
        <v>7355</v>
      </c>
      <c r="B1028">
        <f>27692.7104226406*(1/100/100)</f>
        <v>2.7692710422640601</v>
      </c>
      <c r="C1028">
        <v>12047</v>
      </c>
      <c r="D1028" t="s">
        <v>3725</v>
      </c>
      <c r="E1028">
        <v>31311</v>
      </c>
      <c r="F1028" t="s">
        <v>676</v>
      </c>
      <c r="G1028">
        <v>313</v>
      </c>
      <c r="H1028" t="s">
        <v>62</v>
      </c>
      <c r="I1028">
        <v>3</v>
      </c>
      <c r="J1028" t="s">
        <v>50</v>
      </c>
    </row>
    <row r="1029" spans="1:10" x14ac:dyDescent="0.25">
      <c r="A1029" t="s">
        <v>7355</v>
      </c>
      <c r="B1029">
        <f>14678.7485586659*(1/100/100)</f>
        <v>1.4678748558665902</v>
      </c>
      <c r="C1029">
        <v>12049</v>
      </c>
      <c r="D1029" t="s">
        <v>3795</v>
      </c>
      <c r="E1029">
        <v>31336</v>
      </c>
      <c r="F1029" t="s">
        <v>686</v>
      </c>
      <c r="G1029">
        <v>313</v>
      </c>
      <c r="H1029" t="s">
        <v>62</v>
      </c>
      <c r="I1029">
        <v>3</v>
      </c>
      <c r="J1029" t="s">
        <v>50</v>
      </c>
    </row>
    <row r="1030" spans="1:10" x14ac:dyDescent="0.25">
      <c r="A1030" t="s">
        <v>7355</v>
      </c>
      <c r="B1030">
        <f>22122.3602572634*(1/100/100)</f>
        <v>2.21223602572634</v>
      </c>
      <c r="C1030">
        <v>12050</v>
      </c>
      <c r="D1030" t="s">
        <v>3755</v>
      </c>
      <c r="E1030">
        <v>31324</v>
      </c>
      <c r="F1030" t="s">
        <v>682</v>
      </c>
      <c r="G1030">
        <v>313</v>
      </c>
      <c r="H1030" t="s">
        <v>62</v>
      </c>
      <c r="I1030">
        <v>3</v>
      </c>
      <c r="J1030" t="s">
        <v>50</v>
      </c>
    </row>
    <row r="1031" spans="1:10" x14ac:dyDescent="0.25">
      <c r="A1031" t="s">
        <v>7355</v>
      </c>
      <c r="B1031">
        <f>44700.3476425546*(1/100/100)</f>
        <v>4.4700347642554608</v>
      </c>
      <c r="C1031">
        <v>12052</v>
      </c>
      <c r="D1031" t="s">
        <v>3806</v>
      </c>
      <c r="E1031">
        <v>31340</v>
      </c>
      <c r="F1031" t="s">
        <v>3805</v>
      </c>
      <c r="G1031">
        <v>313</v>
      </c>
      <c r="H1031" t="s">
        <v>62</v>
      </c>
      <c r="I1031">
        <v>3</v>
      </c>
      <c r="J1031" t="s">
        <v>50</v>
      </c>
    </row>
    <row r="1032" spans="1:10" x14ac:dyDescent="0.25">
      <c r="A1032" t="s">
        <v>7355</v>
      </c>
      <c r="B1032">
        <f>5106.66556676048*(1/100/100)</f>
        <v>0.51066655667604799</v>
      </c>
      <c r="C1032">
        <v>12053</v>
      </c>
      <c r="D1032" t="s">
        <v>3736</v>
      </c>
      <c r="E1032">
        <v>31321</v>
      </c>
      <c r="F1032" t="s">
        <v>679</v>
      </c>
      <c r="G1032">
        <v>313</v>
      </c>
      <c r="H1032" t="s">
        <v>62</v>
      </c>
      <c r="I1032">
        <v>3</v>
      </c>
      <c r="J1032" t="s">
        <v>50</v>
      </c>
    </row>
    <row r="1033" spans="1:10" x14ac:dyDescent="0.25">
      <c r="A1033" t="s">
        <v>7355</v>
      </c>
      <c r="B1033">
        <f>17878.254641703*(1/100/100)</f>
        <v>1.7878254641703</v>
      </c>
      <c r="C1033">
        <v>12054</v>
      </c>
      <c r="D1033" t="s">
        <v>3756</v>
      </c>
      <c r="E1033">
        <v>31324</v>
      </c>
      <c r="F1033" t="s">
        <v>682</v>
      </c>
      <c r="G1033">
        <v>313</v>
      </c>
      <c r="H1033" t="s">
        <v>62</v>
      </c>
      <c r="I1033">
        <v>3</v>
      </c>
      <c r="J1033" t="s">
        <v>50</v>
      </c>
    </row>
    <row r="1034" spans="1:10" x14ac:dyDescent="0.25">
      <c r="A1034" t="s">
        <v>7355</v>
      </c>
      <c r="B1034">
        <f>22183.3959686357*(1/100/100)</f>
        <v>2.2183395968635704</v>
      </c>
      <c r="C1034">
        <v>12055</v>
      </c>
      <c r="D1034" t="s">
        <v>3807</v>
      </c>
      <c r="E1034">
        <v>31340</v>
      </c>
      <c r="F1034" t="s">
        <v>3805</v>
      </c>
      <c r="G1034">
        <v>313</v>
      </c>
      <c r="H1034" t="s">
        <v>62</v>
      </c>
      <c r="I1034">
        <v>3</v>
      </c>
      <c r="J1034" t="s">
        <v>50</v>
      </c>
    </row>
    <row r="1035" spans="1:10" x14ac:dyDescent="0.25">
      <c r="A1035" t="s">
        <v>7355</v>
      </c>
      <c r="B1035">
        <f>121650.630960044*(1/100/100)</f>
        <v>12.165063096004401</v>
      </c>
      <c r="C1035">
        <v>12056</v>
      </c>
      <c r="D1035" t="s">
        <v>3808</v>
      </c>
      <c r="E1035">
        <v>31340</v>
      </c>
      <c r="F1035" t="s">
        <v>3805</v>
      </c>
      <c r="G1035">
        <v>313</v>
      </c>
      <c r="H1035" t="s">
        <v>62</v>
      </c>
      <c r="I1035">
        <v>3</v>
      </c>
      <c r="J1035" t="s">
        <v>50</v>
      </c>
    </row>
    <row r="1036" spans="1:10" x14ac:dyDescent="0.25">
      <c r="A1036" t="s">
        <v>7355</v>
      </c>
      <c r="B1036">
        <f>12934.1819981848*(1/100/100)</f>
        <v>1.2934181998184802</v>
      </c>
      <c r="C1036">
        <v>12057</v>
      </c>
      <c r="D1036" t="s">
        <v>3757</v>
      </c>
      <c r="E1036">
        <v>31324</v>
      </c>
      <c r="F1036" t="s">
        <v>682</v>
      </c>
      <c r="G1036">
        <v>313</v>
      </c>
      <c r="H1036" t="s">
        <v>62</v>
      </c>
      <c r="I1036">
        <v>3</v>
      </c>
      <c r="J1036" t="s">
        <v>50</v>
      </c>
    </row>
    <row r="1037" spans="1:10" x14ac:dyDescent="0.25">
      <c r="A1037" t="s">
        <v>7355</v>
      </c>
      <c r="B1037">
        <f>36491.7983189037*(1/100/100)</f>
        <v>3.6491798318903697</v>
      </c>
      <c r="C1037">
        <v>12058</v>
      </c>
      <c r="D1037" t="s">
        <v>3809</v>
      </c>
      <c r="E1037">
        <v>31340</v>
      </c>
      <c r="F1037" t="s">
        <v>3805</v>
      </c>
      <c r="G1037">
        <v>313</v>
      </c>
      <c r="H1037" t="s">
        <v>62</v>
      </c>
      <c r="I1037">
        <v>3</v>
      </c>
      <c r="J1037" t="s">
        <v>50</v>
      </c>
    </row>
    <row r="1038" spans="1:10" x14ac:dyDescent="0.25">
      <c r="A1038" t="s">
        <v>7355</v>
      </c>
      <c r="B1038">
        <f>8204.37301043147*(1/100/100)</f>
        <v>0.82043730104314716</v>
      </c>
      <c r="C1038">
        <v>12059</v>
      </c>
      <c r="D1038" t="s">
        <v>3796</v>
      </c>
      <c r="E1038">
        <v>31336</v>
      </c>
      <c r="F1038" t="s">
        <v>686</v>
      </c>
      <c r="G1038">
        <v>313</v>
      </c>
      <c r="H1038" t="s">
        <v>62</v>
      </c>
      <c r="I1038">
        <v>3</v>
      </c>
      <c r="J1038" t="s">
        <v>50</v>
      </c>
    </row>
    <row r="1039" spans="1:10" x14ac:dyDescent="0.25">
      <c r="A1039" t="s">
        <v>7355</v>
      </c>
      <c r="B1039">
        <f>7693.51674289154*(1/100/100)</f>
        <v>0.76935167428915407</v>
      </c>
      <c r="C1039">
        <v>12060</v>
      </c>
      <c r="D1039" t="s">
        <v>3758</v>
      </c>
      <c r="E1039">
        <v>31324</v>
      </c>
      <c r="F1039" t="s">
        <v>682</v>
      </c>
      <c r="G1039">
        <v>313</v>
      </c>
      <c r="H1039" t="s">
        <v>62</v>
      </c>
      <c r="I1039">
        <v>3</v>
      </c>
      <c r="J1039" t="s">
        <v>50</v>
      </c>
    </row>
    <row r="1040" spans="1:10" x14ac:dyDescent="0.25">
      <c r="A1040" t="s">
        <v>7355</v>
      </c>
      <c r="B1040">
        <f>22401.5184070909*(1/100/100)</f>
        <v>2.2401518407090903</v>
      </c>
      <c r="C1040">
        <v>12061</v>
      </c>
      <c r="D1040" t="s">
        <v>3759</v>
      </c>
      <c r="E1040">
        <v>31324</v>
      </c>
      <c r="F1040" t="s">
        <v>682</v>
      </c>
      <c r="G1040">
        <v>313</v>
      </c>
      <c r="H1040" t="s">
        <v>62</v>
      </c>
      <c r="I1040">
        <v>3</v>
      </c>
      <c r="J1040" t="s">
        <v>50</v>
      </c>
    </row>
    <row r="1041" spans="1:10" x14ac:dyDescent="0.25">
      <c r="A1041" t="s">
        <v>7355</v>
      </c>
      <c r="B1041">
        <f>39697.9535654151*(1/100/100)</f>
        <v>3.9697953565415101</v>
      </c>
      <c r="C1041">
        <v>12062</v>
      </c>
      <c r="D1041" t="s">
        <v>3760</v>
      </c>
      <c r="E1041">
        <v>31324</v>
      </c>
      <c r="F1041" t="s">
        <v>682</v>
      </c>
      <c r="G1041">
        <v>313</v>
      </c>
      <c r="H1041" t="s">
        <v>62</v>
      </c>
      <c r="I1041">
        <v>3</v>
      </c>
      <c r="J1041" t="s">
        <v>50</v>
      </c>
    </row>
    <row r="1042" spans="1:10" x14ac:dyDescent="0.25">
      <c r="A1042" t="s">
        <v>7355</v>
      </c>
      <c r="B1042">
        <f>7396.5154216431*(1/100/100)</f>
        <v>0.73965154216431006</v>
      </c>
      <c r="C1042">
        <v>12063</v>
      </c>
      <c r="D1042" t="s">
        <v>3018</v>
      </c>
      <c r="E1042">
        <v>31324</v>
      </c>
      <c r="F1042" t="s">
        <v>682</v>
      </c>
      <c r="G1042">
        <v>313</v>
      </c>
      <c r="H1042" t="s">
        <v>62</v>
      </c>
      <c r="I1042">
        <v>3</v>
      </c>
      <c r="J1042" t="s">
        <v>50</v>
      </c>
    </row>
    <row r="1043" spans="1:10" x14ac:dyDescent="0.25">
      <c r="A1043" t="s">
        <v>7355</v>
      </c>
      <c r="B1043">
        <f>31385.312575647*(1/100/100)</f>
        <v>3.1385312575647002</v>
      </c>
      <c r="C1043">
        <v>12064</v>
      </c>
      <c r="D1043" t="s">
        <v>3737</v>
      </c>
      <c r="E1043">
        <v>31321</v>
      </c>
      <c r="F1043" t="s">
        <v>679</v>
      </c>
      <c r="G1043">
        <v>313</v>
      </c>
      <c r="H1043" t="s">
        <v>62</v>
      </c>
      <c r="I1043">
        <v>3</v>
      </c>
      <c r="J1043" t="s">
        <v>50</v>
      </c>
    </row>
    <row r="1044" spans="1:10" x14ac:dyDescent="0.25">
      <c r="A1044" t="s">
        <v>7355</v>
      </c>
      <c r="B1044">
        <f>97866.3946993974*(1/100/100)</f>
        <v>9.7866394699397397</v>
      </c>
      <c r="C1044">
        <v>12101</v>
      </c>
      <c r="D1044" t="s">
        <v>3705</v>
      </c>
      <c r="E1044">
        <v>31310</v>
      </c>
      <c r="F1044" t="s">
        <v>675</v>
      </c>
      <c r="G1044">
        <v>313</v>
      </c>
      <c r="H1044" t="s">
        <v>62</v>
      </c>
      <c r="I1044">
        <v>3</v>
      </c>
      <c r="J1044" t="s">
        <v>50</v>
      </c>
    </row>
    <row r="1045" spans="1:10" x14ac:dyDescent="0.25">
      <c r="A1045" t="s">
        <v>7355</v>
      </c>
      <c r="B1045">
        <f>9464.7969922813*(1/100/100)</f>
        <v>0.94647969922813013</v>
      </c>
      <c r="C1045">
        <v>12102</v>
      </c>
      <c r="D1045" t="s">
        <v>3706</v>
      </c>
      <c r="E1045">
        <v>31310</v>
      </c>
      <c r="F1045" t="s">
        <v>675</v>
      </c>
      <c r="G1045">
        <v>313</v>
      </c>
      <c r="H1045" t="s">
        <v>62</v>
      </c>
      <c r="I1045">
        <v>3</v>
      </c>
      <c r="J1045" t="s">
        <v>50</v>
      </c>
    </row>
    <row r="1046" spans="1:10" x14ac:dyDescent="0.25">
      <c r="A1046" t="s">
        <v>7355</v>
      </c>
      <c r="B1046">
        <f>94500.768546252*(1/100/100)</f>
        <v>9.4500768546252001</v>
      </c>
      <c r="C1046">
        <v>12103</v>
      </c>
      <c r="D1046" t="s">
        <v>696</v>
      </c>
      <c r="E1046">
        <v>31356</v>
      </c>
      <c r="F1046" t="s">
        <v>696</v>
      </c>
      <c r="G1046">
        <v>313</v>
      </c>
      <c r="H1046" t="s">
        <v>62</v>
      </c>
      <c r="I1046">
        <v>3</v>
      </c>
      <c r="J1046" t="s">
        <v>50</v>
      </c>
    </row>
    <row r="1047" spans="1:10" x14ac:dyDescent="0.25">
      <c r="A1047" t="s">
        <v>7355</v>
      </c>
      <c r="B1047">
        <f>9126.60960289701*(1/100/100)</f>
        <v>0.91266096028970101</v>
      </c>
      <c r="C1047">
        <v>12104</v>
      </c>
      <c r="D1047" t="s">
        <v>3846</v>
      </c>
      <c r="E1047">
        <v>31356</v>
      </c>
      <c r="F1047" t="s">
        <v>696</v>
      </c>
      <c r="G1047">
        <v>313</v>
      </c>
      <c r="H1047" t="s">
        <v>62</v>
      </c>
      <c r="I1047">
        <v>3</v>
      </c>
      <c r="J1047" t="s">
        <v>50</v>
      </c>
    </row>
    <row r="1048" spans="1:10" x14ac:dyDescent="0.25">
      <c r="A1048" t="s">
        <v>7355</v>
      </c>
      <c r="B1048">
        <f>55073.010096488*(1/100/100)</f>
        <v>5.5073010096488</v>
      </c>
      <c r="C1048">
        <v>12105</v>
      </c>
      <c r="D1048" t="s">
        <v>672</v>
      </c>
      <c r="E1048">
        <v>31304</v>
      </c>
      <c r="F1048" t="s">
        <v>672</v>
      </c>
      <c r="G1048">
        <v>313</v>
      </c>
      <c r="H1048" t="s">
        <v>62</v>
      </c>
      <c r="I1048">
        <v>3</v>
      </c>
      <c r="J1048" t="s">
        <v>50</v>
      </c>
    </row>
    <row r="1049" spans="1:10" x14ac:dyDescent="0.25">
      <c r="A1049" t="s">
        <v>7355</v>
      </c>
      <c r="B1049">
        <f>88638.4851089353*(1/100/100)</f>
        <v>8.863848510893531</v>
      </c>
      <c r="C1049">
        <v>12106</v>
      </c>
      <c r="D1049" t="s">
        <v>2911</v>
      </c>
      <c r="E1049">
        <v>30101</v>
      </c>
      <c r="F1049" t="s">
        <v>456</v>
      </c>
      <c r="G1049">
        <v>301</v>
      </c>
      <c r="H1049" t="s">
        <v>49</v>
      </c>
      <c r="I1049">
        <v>3</v>
      </c>
      <c r="J1049" t="s">
        <v>50</v>
      </c>
    </row>
    <row r="1050" spans="1:10" x14ac:dyDescent="0.25">
      <c r="A1050" t="s">
        <v>7355</v>
      </c>
      <c r="B1050">
        <f>42345.6518865619*(1/100/100)</f>
        <v>4.2345651886561901</v>
      </c>
      <c r="C1050">
        <v>12108</v>
      </c>
      <c r="D1050" t="s">
        <v>675</v>
      </c>
      <c r="E1050">
        <v>31310</v>
      </c>
      <c r="F1050" t="s">
        <v>675</v>
      </c>
      <c r="G1050">
        <v>313</v>
      </c>
      <c r="H1050" t="s">
        <v>62</v>
      </c>
      <c r="I1050">
        <v>3</v>
      </c>
      <c r="J1050" t="s">
        <v>50</v>
      </c>
    </row>
    <row r="1051" spans="1:10" x14ac:dyDescent="0.25">
      <c r="A1051" t="s">
        <v>7355</v>
      </c>
      <c r="B1051">
        <f>56531.8148808071*(1/100/100)</f>
        <v>5.6531814880807101</v>
      </c>
      <c r="C1051">
        <v>12109</v>
      </c>
      <c r="D1051" t="s">
        <v>2912</v>
      </c>
      <c r="E1051">
        <v>30101</v>
      </c>
      <c r="F1051" t="s">
        <v>456</v>
      </c>
      <c r="G1051">
        <v>301</v>
      </c>
      <c r="H1051" t="s">
        <v>49</v>
      </c>
      <c r="I1051">
        <v>3</v>
      </c>
      <c r="J1051" t="s">
        <v>50</v>
      </c>
    </row>
    <row r="1052" spans="1:10" x14ac:dyDescent="0.25">
      <c r="A1052" t="s">
        <v>7355</v>
      </c>
      <c r="B1052">
        <f>53769.2476169336*(1/100/100)</f>
        <v>5.3769247616933606</v>
      </c>
      <c r="C1052">
        <v>12112</v>
      </c>
      <c r="D1052" t="s">
        <v>3810</v>
      </c>
      <c r="E1052">
        <v>31343</v>
      </c>
      <c r="F1052" t="s">
        <v>689</v>
      </c>
      <c r="G1052">
        <v>313</v>
      </c>
      <c r="H1052" t="s">
        <v>62</v>
      </c>
      <c r="I1052">
        <v>3</v>
      </c>
      <c r="J1052" t="s">
        <v>50</v>
      </c>
    </row>
    <row r="1053" spans="1:10" x14ac:dyDescent="0.25">
      <c r="A1053" t="s">
        <v>7355</v>
      </c>
      <c r="B1053">
        <f>733311.063263276*(1/100/100)</f>
        <v>73.3311063263276</v>
      </c>
      <c r="C1053">
        <v>12114</v>
      </c>
      <c r="D1053" t="s">
        <v>2913</v>
      </c>
      <c r="E1053">
        <v>30101</v>
      </c>
      <c r="F1053" t="s">
        <v>456</v>
      </c>
      <c r="G1053">
        <v>301</v>
      </c>
      <c r="H1053" t="s">
        <v>49</v>
      </c>
      <c r="I1053">
        <v>3</v>
      </c>
      <c r="J1053" t="s">
        <v>50</v>
      </c>
    </row>
    <row r="1054" spans="1:10" x14ac:dyDescent="0.25">
      <c r="A1054" t="s">
        <v>7355</v>
      </c>
      <c r="B1054">
        <f>71331.6731322218*(1/100/100)</f>
        <v>7.13316731322218</v>
      </c>
      <c r="C1054">
        <v>12115</v>
      </c>
      <c r="D1054" t="s">
        <v>2914</v>
      </c>
      <c r="E1054">
        <v>30101</v>
      </c>
      <c r="F1054" t="s">
        <v>456</v>
      </c>
      <c r="G1054">
        <v>301</v>
      </c>
      <c r="H1054" t="s">
        <v>49</v>
      </c>
      <c r="I1054">
        <v>3</v>
      </c>
      <c r="J1054" t="s">
        <v>50</v>
      </c>
    </row>
    <row r="1055" spans="1:10" x14ac:dyDescent="0.25">
      <c r="A1055" t="s">
        <v>7355</v>
      </c>
      <c r="B1055">
        <f>21563.3084811682*(1/100/100)</f>
        <v>2.15633084811682</v>
      </c>
      <c r="C1055">
        <v>12116</v>
      </c>
      <c r="D1055" t="s">
        <v>3691</v>
      </c>
      <c r="E1055">
        <v>31304</v>
      </c>
      <c r="F1055" t="s">
        <v>672</v>
      </c>
      <c r="G1055">
        <v>313</v>
      </c>
      <c r="H1055" t="s">
        <v>62</v>
      </c>
      <c r="I1055">
        <v>3</v>
      </c>
      <c r="J1055" t="s">
        <v>50</v>
      </c>
    </row>
    <row r="1056" spans="1:10" x14ac:dyDescent="0.25">
      <c r="A1056" t="s">
        <v>7355</v>
      </c>
      <c r="B1056">
        <f>38867.2501195161*(1/100/100)</f>
        <v>3.8867250119516106</v>
      </c>
      <c r="C1056">
        <v>12117</v>
      </c>
      <c r="D1056" t="s">
        <v>3692</v>
      </c>
      <c r="E1056">
        <v>31304</v>
      </c>
      <c r="F1056" t="s">
        <v>672</v>
      </c>
      <c r="G1056">
        <v>313</v>
      </c>
      <c r="H1056" t="s">
        <v>62</v>
      </c>
      <c r="I1056">
        <v>3</v>
      </c>
      <c r="J1056" t="s">
        <v>50</v>
      </c>
    </row>
    <row r="1057" spans="1:10" x14ac:dyDescent="0.25">
      <c r="A1057" t="s">
        <v>7355</v>
      </c>
      <c r="B1057">
        <f>15256.6786348951*(1/100/100)</f>
        <v>1.52566786348951</v>
      </c>
      <c r="C1057">
        <v>12118</v>
      </c>
      <c r="D1057" t="s">
        <v>3553</v>
      </c>
      <c r="E1057">
        <v>31350</v>
      </c>
      <c r="F1057" t="s">
        <v>693</v>
      </c>
      <c r="G1057">
        <v>313</v>
      </c>
      <c r="H1057" t="s">
        <v>62</v>
      </c>
      <c r="I1057">
        <v>3</v>
      </c>
      <c r="J1057" t="s">
        <v>50</v>
      </c>
    </row>
    <row r="1058" spans="1:10" x14ac:dyDescent="0.25">
      <c r="A1058" t="s">
        <v>7355</v>
      </c>
      <c r="B1058">
        <f>22998.3584800698*(1/100/100)</f>
        <v>2.29983584800698</v>
      </c>
      <c r="C1058">
        <v>12119</v>
      </c>
      <c r="D1058" t="s">
        <v>3797</v>
      </c>
      <c r="E1058">
        <v>31337</v>
      </c>
      <c r="F1058" t="s">
        <v>687</v>
      </c>
      <c r="G1058">
        <v>313</v>
      </c>
      <c r="H1058" t="s">
        <v>62</v>
      </c>
      <c r="I1058">
        <v>3</v>
      </c>
      <c r="J1058" t="s">
        <v>50</v>
      </c>
    </row>
    <row r="1059" spans="1:10" x14ac:dyDescent="0.25">
      <c r="A1059" t="s">
        <v>7355</v>
      </c>
      <c r="B1059">
        <f>52006.6650670821*(1/100/100)</f>
        <v>5.2006665067082105</v>
      </c>
      <c r="C1059">
        <v>12120</v>
      </c>
      <c r="D1059" t="s">
        <v>3822</v>
      </c>
      <c r="E1059">
        <v>31350</v>
      </c>
      <c r="F1059" t="s">
        <v>693</v>
      </c>
      <c r="G1059">
        <v>313</v>
      </c>
      <c r="H1059" t="s">
        <v>62</v>
      </c>
      <c r="I1059">
        <v>3</v>
      </c>
      <c r="J1059" t="s">
        <v>50</v>
      </c>
    </row>
    <row r="1060" spans="1:10" x14ac:dyDescent="0.25">
      <c r="A1060" t="s">
        <v>7355</v>
      </c>
      <c r="B1060">
        <f>11383.9178011778*(1/100/100)</f>
        <v>1.1383917801177801</v>
      </c>
      <c r="C1060">
        <v>12121</v>
      </c>
      <c r="D1060" t="s">
        <v>3823</v>
      </c>
      <c r="E1060">
        <v>31350</v>
      </c>
      <c r="F1060" t="s">
        <v>693</v>
      </c>
      <c r="G1060">
        <v>313</v>
      </c>
      <c r="H1060" t="s">
        <v>62</v>
      </c>
      <c r="I1060">
        <v>3</v>
      </c>
      <c r="J1060" t="s">
        <v>50</v>
      </c>
    </row>
    <row r="1061" spans="1:10" x14ac:dyDescent="0.25">
      <c r="A1061" t="s">
        <v>7355</v>
      </c>
      <c r="B1061">
        <f>27901.002772882*(1/100/100)</f>
        <v>2.7901002772882002</v>
      </c>
      <c r="C1061">
        <v>12122</v>
      </c>
      <c r="D1061" t="s">
        <v>2855</v>
      </c>
      <c r="E1061">
        <v>31343</v>
      </c>
      <c r="F1061" t="s">
        <v>689</v>
      </c>
      <c r="G1061">
        <v>313</v>
      </c>
      <c r="H1061" t="s">
        <v>62</v>
      </c>
      <c r="I1061">
        <v>3</v>
      </c>
      <c r="J1061" t="s">
        <v>50</v>
      </c>
    </row>
    <row r="1062" spans="1:10" x14ac:dyDescent="0.25">
      <c r="A1062" t="s">
        <v>7355</v>
      </c>
      <c r="B1062">
        <f>91137.9498063551*(1/100/100)</f>
        <v>9.113794980635511</v>
      </c>
      <c r="C1062">
        <v>12123</v>
      </c>
      <c r="D1062" t="s">
        <v>2915</v>
      </c>
      <c r="E1062">
        <v>30101</v>
      </c>
      <c r="F1062" t="s">
        <v>456</v>
      </c>
      <c r="G1062">
        <v>301</v>
      </c>
      <c r="H1062" t="s">
        <v>49</v>
      </c>
      <c r="I1062">
        <v>3</v>
      </c>
      <c r="J1062" t="s">
        <v>50</v>
      </c>
    </row>
    <row r="1063" spans="1:10" x14ac:dyDescent="0.25">
      <c r="A1063" t="s">
        <v>7355</v>
      </c>
      <c r="B1063">
        <f>17505.1359973311*(1/100/100)</f>
        <v>1.7505135997331103</v>
      </c>
      <c r="C1063">
        <v>12124</v>
      </c>
      <c r="D1063" t="s">
        <v>3824</v>
      </c>
      <c r="E1063">
        <v>31350</v>
      </c>
      <c r="F1063" t="s">
        <v>693</v>
      </c>
      <c r="G1063">
        <v>313</v>
      </c>
      <c r="H1063" t="s">
        <v>62</v>
      </c>
      <c r="I1063">
        <v>3</v>
      </c>
      <c r="J1063" t="s">
        <v>50</v>
      </c>
    </row>
    <row r="1064" spans="1:10" x14ac:dyDescent="0.25">
      <c r="A1064" t="s">
        <v>7355</v>
      </c>
      <c r="B1064">
        <f>14367.3799766161*(1/100/100)</f>
        <v>1.4367379976616099</v>
      </c>
      <c r="C1064">
        <v>12125</v>
      </c>
      <c r="D1064" t="s">
        <v>3811</v>
      </c>
      <c r="E1064">
        <v>31343</v>
      </c>
      <c r="F1064" t="s">
        <v>689</v>
      </c>
      <c r="G1064">
        <v>313</v>
      </c>
      <c r="H1064" t="s">
        <v>62</v>
      </c>
      <c r="I1064">
        <v>3</v>
      </c>
      <c r="J1064" t="s">
        <v>50</v>
      </c>
    </row>
    <row r="1065" spans="1:10" x14ac:dyDescent="0.25">
      <c r="A1065" t="s">
        <v>7355</v>
      </c>
      <c r="B1065">
        <f>101789.78115434*(1/100/100)</f>
        <v>10.178978115434001</v>
      </c>
      <c r="C1065">
        <v>12126</v>
      </c>
      <c r="D1065" t="s">
        <v>3798</v>
      </c>
      <c r="E1065">
        <v>31337</v>
      </c>
      <c r="F1065" t="s">
        <v>687</v>
      </c>
      <c r="G1065">
        <v>313</v>
      </c>
      <c r="H1065" t="s">
        <v>62</v>
      </c>
      <c r="I1065">
        <v>3</v>
      </c>
      <c r="J1065" t="s">
        <v>50</v>
      </c>
    </row>
    <row r="1066" spans="1:10" x14ac:dyDescent="0.25">
      <c r="A1066" t="s">
        <v>7355</v>
      </c>
      <c r="B1066">
        <f>109799.399263953*(1/100/100)</f>
        <v>10.979939926395302</v>
      </c>
      <c r="C1066">
        <v>12127</v>
      </c>
      <c r="D1066" t="s">
        <v>3799</v>
      </c>
      <c r="E1066">
        <v>31337</v>
      </c>
      <c r="F1066" t="s">
        <v>687</v>
      </c>
      <c r="G1066">
        <v>313</v>
      </c>
      <c r="H1066" t="s">
        <v>62</v>
      </c>
      <c r="I1066">
        <v>3</v>
      </c>
      <c r="J1066" t="s">
        <v>50</v>
      </c>
    </row>
    <row r="1067" spans="1:10" x14ac:dyDescent="0.25">
      <c r="A1067" t="s">
        <v>7355</v>
      </c>
      <c r="B1067">
        <f>10291.3779959808*(1/100/100)</f>
        <v>1.0291377995980799</v>
      </c>
      <c r="C1067">
        <v>12128</v>
      </c>
      <c r="D1067" t="s">
        <v>2916</v>
      </c>
      <c r="E1067">
        <v>30101</v>
      </c>
      <c r="F1067" t="s">
        <v>456</v>
      </c>
      <c r="G1067">
        <v>301</v>
      </c>
      <c r="H1067" t="s">
        <v>49</v>
      </c>
      <c r="I1067">
        <v>3</v>
      </c>
      <c r="J1067" t="s">
        <v>50</v>
      </c>
    </row>
    <row r="1068" spans="1:10" x14ac:dyDescent="0.25">
      <c r="A1068" t="s">
        <v>7355</v>
      </c>
      <c r="B1068">
        <f>22954.8283404391*(1/100/100)</f>
        <v>2.2954828340439102</v>
      </c>
      <c r="C1068">
        <v>12129</v>
      </c>
      <c r="D1068" t="s">
        <v>3707</v>
      </c>
      <c r="E1068">
        <v>31310</v>
      </c>
      <c r="F1068" t="s">
        <v>675</v>
      </c>
      <c r="G1068">
        <v>313</v>
      </c>
      <c r="H1068" t="s">
        <v>62</v>
      </c>
      <c r="I1068">
        <v>3</v>
      </c>
      <c r="J1068" t="s">
        <v>50</v>
      </c>
    </row>
    <row r="1069" spans="1:10" x14ac:dyDescent="0.25">
      <c r="A1069" t="s">
        <v>7355</v>
      </c>
      <c r="B1069">
        <f>103692.218478013*(1/100/100)</f>
        <v>10.369221847801301</v>
      </c>
      <c r="C1069">
        <v>12130</v>
      </c>
      <c r="D1069" t="s">
        <v>689</v>
      </c>
      <c r="E1069">
        <v>31343</v>
      </c>
      <c r="F1069" t="s">
        <v>689</v>
      </c>
      <c r="G1069">
        <v>313</v>
      </c>
      <c r="H1069" t="s">
        <v>62</v>
      </c>
      <c r="I1069">
        <v>3</v>
      </c>
      <c r="J1069" t="s">
        <v>50</v>
      </c>
    </row>
    <row r="1070" spans="1:10" x14ac:dyDescent="0.25">
      <c r="A1070" t="s">
        <v>7355</v>
      </c>
      <c r="B1070">
        <f>205091.733901642*(1/100/100)</f>
        <v>20.5091733901642</v>
      </c>
      <c r="C1070">
        <v>12132</v>
      </c>
      <c r="D1070" t="s">
        <v>2316</v>
      </c>
      <c r="E1070">
        <v>30101</v>
      </c>
      <c r="F1070" t="s">
        <v>456</v>
      </c>
      <c r="G1070">
        <v>301</v>
      </c>
      <c r="H1070" t="s">
        <v>49</v>
      </c>
      <c r="I1070">
        <v>3</v>
      </c>
      <c r="J1070" t="s">
        <v>50</v>
      </c>
    </row>
    <row r="1071" spans="1:10" x14ac:dyDescent="0.25">
      <c r="A1071" t="s">
        <v>7355</v>
      </c>
      <c r="B1071">
        <f>25288.9186280331*(1/100/100)</f>
        <v>2.5288918628033104</v>
      </c>
      <c r="C1071">
        <v>12133</v>
      </c>
      <c r="D1071" t="s">
        <v>3825</v>
      </c>
      <c r="E1071">
        <v>31350</v>
      </c>
      <c r="F1071" t="s">
        <v>693</v>
      </c>
      <c r="G1071">
        <v>313</v>
      </c>
      <c r="H1071" t="s">
        <v>62</v>
      </c>
      <c r="I1071">
        <v>3</v>
      </c>
      <c r="J1071" t="s">
        <v>50</v>
      </c>
    </row>
    <row r="1072" spans="1:10" x14ac:dyDescent="0.25">
      <c r="A1072" t="s">
        <v>7355</v>
      </c>
      <c r="B1072">
        <f>30591.2345391008*(1/100/100)</f>
        <v>3.0591234539100798</v>
      </c>
      <c r="C1072">
        <v>12134</v>
      </c>
      <c r="D1072" t="s">
        <v>3708</v>
      </c>
      <c r="E1072">
        <v>31310</v>
      </c>
      <c r="F1072" t="s">
        <v>675</v>
      </c>
      <c r="G1072">
        <v>313</v>
      </c>
      <c r="H1072" t="s">
        <v>62</v>
      </c>
      <c r="I1072">
        <v>3</v>
      </c>
      <c r="J1072" t="s">
        <v>50</v>
      </c>
    </row>
    <row r="1073" spans="1:10" x14ac:dyDescent="0.25">
      <c r="A1073" t="s">
        <v>7355</v>
      </c>
      <c r="B1073">
        <f>89590.9704139092*(1/100/100)</f>
        <v>8.9590970413909208</v>
      </c>
      <c r="C1073">
        <v>12135</v>
      </c>
      <c r="D1073" t="s">
        <v>692</v>
      </c>
      <c r="E1073">
        <v>31347</v>
      </c>
      <c r="F1073" t="s">
        <v>692</v>
      </c>
      <c r="G1073">
        <v>313</v>
      </c>
      <c r="H1073" t="s">
        <v>62</v>
      </c>
      <c r="I1073">
        <v>3</v>
      </c>
      <c r="J1073" t="s">
        <v>50</v>
      </c>
    </row>
    <row r="1074" spans="1:10" x14ac:dyDescent="0.25">
      <c r="A1074" t="s">
        <v>7355</v>
      </c>
      <c r="B1074">
        <f>115989.926746085*(1/100/100)</f>
        <v>11.5989926746085</v>
      </c>
      <c r="C1074">
        <v>12136</v>
      </c>
      <c r="D1074" t="s">
        <v>3709</v>
      </c>
      <c r="E1074">
        <v>31310</v>
      </c>
      <c r="F1074" t="s">
        <v>675</v>
      </c>
      <c r="G1074">
        <v>313</v>
      </c>
      <c r="H1074" t="s">
        <v>62</v>
      </c>
      <c r="I1074">
        <v>3</v>
      </c>
      <c r="J1074" t="s">
        <v>50</v>
      </c>
    </row>
    <row r="1075" spans="1:10" x14ac:dyDescent="0.25">
      <c r="A1075" t="s">
        <v>7355</v>
      </c>
      <c r="B1075">
        <f>10592.3897624685*(1/100/100)</f>
        <v>1.0592389762468499</v>
      </c>
      <c r="C1075">
        <v>12137</v>
      </c>
      <c r="D1075" t="s">
        <v>3710</v>
      </c>
      <c r="E1075">
        <v>31310</v>
      </c>
      <c r="F1075" t="s">
        <v>675</v>
      </c>
      <c r="G1075">
        <v>313</v>
      </c>
      <c r="H1075" t="s">
        <v>62</v>
      </c>
      <c r="I1075">
        <v>3</v>
      </c>
      <c r="J1075" t="s">
        <v>50</v>
      </c>
    </row>
    <row r="1076" spans="1:10" x14ac:dyDescent="0.25">
      <c r="A1076" t="s">
        <v>7355</v>
      </c>
      <c r="B1076">
        <f>602466.5337458*(1/100/100)</f>
        <v>60.246653374580006</v>
      </c>
      <c r="C1076">
        <v>12138</v>
      </c>
      <c r="D1076" t="s">
        <v>2917</v>
      </c>
      <c r="E1076">
        <v>30101</v>
      </c>
      <c r="F1076" t="s">
        <v>456</v>
      </c>
      <c r="G1076">
        <v>301</v>
      </c>
      <c r="H1076" t="s">
        <v>49</v>
      </c>
      <c r="I1076">
        <v>3</v>
      </c>
      <c r="J1076" t="s">
        <v>50</v>
      </c>
    </row>
    <row r="1077" spans="1:10" x14ac:dyDescent="0.25">
      <c r="A1077" t="s">
        <v>7355</v>
      </c>
      <c r="B1077">
        <f>36150.7032463822*(1/100/100)</f>
        <v>3.6150703246382205</v>
      </c>
      <c r="C1077">
        <v>12139</v>
      </c>
      <c r="D1077" t="s">
        <v>693</v>
      </c>
      <c r="E1077">
        <v>31350</v>
      </c>
      <c r="F1077" t="s">
        <v>693</v>
      </c>
      <c r="G1077">
        <v>313</v>
      </c>
      <c r="H1077" t="s">
        <v>62</v>
      </c>
      <c r="I1077">
        <v>3</v>
      </c>
      <c r="J1077" t="s">
        <v>50</v>
      </c>
    </row>
    <row r="1078" spans="1:10" x14ac:dyDescent="0.25">
      <c r="A1078" t="s">
        <v>7355</v>
      </c>
      <c r="B1078">
        <f>97243.0040190683*(1/100/100)</f>
        <v>9.7243004019068309</v>
      </c>
      <c r="C1078">
        <v>12140</v>
      </c>
      <c r="D1078" t="s">
        <v>3831</v>
      </c>
      <c r="E1078">
        <v>31351</v>
      </c>
      <c r="F1078" t="s">
        <v>694</v>
      </c>
      <c r="G1078">
        <v>313</v>
      </c>
      <c r="H1078" t="s">
        <v>62</v>
      </c>
      <c r="I1078">
        <v>3</v>
      </c>
      <c r="J1078" t="s">
        <v>50</v>
      </c>
    </row>
    <row r="1079" spans="1:10" x14ac:dyDescent="0.25">
      <c r="A1079" t="s">
        <v>7355</v>
      </c>
      <c r="B1079">
        <f>46811.6803001021*(1/100/100)</f>
        <v>4.6811680300102108</v>
      </c>
      <c r="C1079">
        <v>12141</v>
      </c>
      <c r="D1079" t="s">
        <v>3674</v>
      </c>
      <c r="E1079">
        <v>31302</v>
      </c>
      <c r="F1079" t="s">
        <v>670</v>
      </c>
      <c r="G1079">
        <v>313</v>
      </c>
      <c r="H1079" t="s">
        <v>62</v>
      </c>
      <c r="I1079">
        <v>3</v>
      </c>
      <c r="J1079" t="s">
        <v>50</v>
      </c>
    </row>
    <row r="1080" spans="1:10" x14ac:dyDescent="0.25">
      <c r="A1080" t="s">
        <v>7355</v>
      </c>
      <c r="B1080">
        <f>22873.4955120911*(1/100/100)</f>
        <v>2.2873495512091102</v>
      </c>
      <c r="C1080">
        <v>12142</v>
      </c>
      <c r="D1080" t="s">
        <v>3675</v>
      </c>
      <c r="E1080">
        <v>31302</v>
      </c>
      <c r="F1080" t="s">
        <v>670</v>
      </c>
      <c r="G1080">
        <v>313</v>
      </c>
      <c r="H1080" t="s">
        <v>62</v>
      </c>
      <c r="I1080">
        <v>3</v>
      </c>
      <c r="J1080" t="s">
        <v>50</v>
      </c>
    </row>
    <row r="1081" spans="1:10" x14ac:dyDescent="0.25">
      <c r="A1081" t="s">
        <v>7355</v>
      </c>
      <c r="B1081">
        <f>18678.6701182319*(1/100/100)</f>
        <v>1.8678670118231901</v>
      </c>
      <c r="C1081">
        <v>12143</v>
      </c>
      <c r="D1081" t="s">
        <v>3676</v>
      </c>
      <c r="E1081">
        <v>31302</v>
      </c>
      <c r="F1081" t="s">
        <v>670</v>
      </c>
      <c r="G1081">
        <v>313</v>
      </c>
      <c r="H1081" t="s">
        <v>62</v>
      </c>
      <c r="I1081">
        <v>3</v>
      </c>
      <c r="J1081" t="s">
        <v>50</v>
      </c>
    </row>
    <row r="1082" spans="1:10" x14ac:dyDescent="0.25">
      <c r="A1082" t="s">
        <v>7355</v>
      </c>
      <c r="B1082">
        <f>25568.615498403*(1/100/100)</f>
        <v>2.5568615498403</v>
      </c>
      <c r="C1082">
        <v>12144</v>
      </c>
      <c r="D1082" t="s">
        <v>3677</v>
      </c>
      <c r="E1082">
        <v>31302</v>
      </c>
      <c r="F1082" t="s">
        <v>670</v>
      </c>
      <c r="G1082">
        <v>313</v>
      </c>
      <c r="H1082" t="s">
        <v>62</v>
      </c>
      <c r="I1082">
        <v>3</v>
      </c>
      <c r="J1082" t="s">
        <v>50</v>
      </c>
    </row>
    <row r="1083" spans="1:10" x14ac:dyDescent="0.25">
      <c r="A1083" t="s">
        <v>7355</v>
      </c>
      <c r="B1083">
        <f>17044.6999016246*(1/100/100)</f>
        <v>1.7044699901624603</v>
      </c>
      <c r="C1083">
        <v>12145</v>
      </c>
      <c r="D1083" t="s">
        <v>3700</v>
      </c>
      <c r="E1083">
        <v>31309</v>
      </c>
      <c r="F1083" t="s">
        <v>674</v>
      </c>
      <c r="G1083">
        <v>313</v>
      </c>
      <c r="H1083" t="s">
        <v>62</v>
      </c>
      <c r="I1083">
        <v>3</v>
      </c>
      <c r="J1083" t="s">
        <v>50</v>
      </c>
    </row>
    <row r="1084" spans="1:10" x14ac:dyDescent="0.25">
      <c r="A1084" t="s">
        <v>7355</v>
      </c>
      <c r="B1084">
        <f>20967.4505771556*(1/100/100)</f>
        <v>2.0967450577155602</v>
      </c>
      <c r="C1084">
        <v>12146</v>
      </c>
      <c r="D1084" t="s">
        <v>2918</v>
      </c>
      <c r="E1084">
        <v>30101</v>
      </c>
      <c r="F1084" t="s">
        <v>456</v>
      </c>
      <c r="G1084">
        <v>301</v>
      </c>
      <c r="H1084" t="s">
        <v>49</v>
      </c>
      <c r="I1084">
        <v>3</v>
      </c>
      <c r="J1084" t="s">
        <v>50</v>
      </c>
    </row>
    <row r="1085" spans="1:10" x14ac:dyDescent="0.25">
      <c r="A1085" t="s">
        <v>7355</v>
      </c>
      <c r="B1085">
        <f>76765.3699096819*(1/100/100)</f>
        <v>7.6765369909681906</v>
      </c>
      <c r="C1085">
        <v>12147</v>
      </c>
      <c r="D1085" t="s">
        <v>685</v>
      </c>
      <c r="E1085">
        <v>31333</v>
      </c>
      <c r="F1085" t="s">
        <v>685</v>
      </c>
      <c r="G1085">
        <v>313</v>
      </c>
      <c r="H1085" t="s">
        <v>62</v>
      </c>
      <c r="I1085">
        <v>3</v>
      </c>
      <c r="J1085" t="s">
        <v>50</v>
      </c>
    </row>
    <row r="1086" spans="1:10" x14ac:dyDescent="0.25">
      <c r="A1086" t="s">
        <v>7355</v>
      </c>
      <c r="B1086">
        <f>20839.4298921732*(1/100/100)</f>
        <v>2.08394298921732</v>
      </c>
      <c r="C1086">
        <v>12148</v>
      </c>
      <c r="D1086" t="s">
        <v>254</v>
      </c>
      <c r="E1086">
        <v>31327</v>
      </c>
      <c r="F1086" t="s">
        <v>684</v>
      </c>
      <c r="G1086">
        <v>313</v>
      </c>
      <c r="H1086" t="s">
        <v>62</v>
      </c>
      <c r="I1086">
        <v>3</v>
      </c>
      <c r="J1086" t="s">
        <v>50</v>
      </c>
    </row>
    <row r="1087" spans="1:10" x14ac:dyDescent="0.25">
      <c r="A1087" t="s">
        <v>7355</v>
      </c>
      <c r="B1087">
        <f>41773.5413860042*(1/100/100)</f>
        <v>4.1773541386004203</v>
      </c>
      <c r="C1087">
        <v>12149</v>
      </c>
      <c r="D1087" t="s">
        <v>3683</v>
      </c>
      <c r="E1087">
        <v>31303</v>
      </c>
      <c r="F1087" t="s">
        <v>671</v>
      </c>
      <c r="G1087">
        <v>313</v>
      </c>
      <c r="H1087" t="s">
        <v>62</v>
      </c>
      <c r="I1087">
        <v>3</v>
      </c>
      <c r="J1087" t="s">
        <v>50</v>
      </c>
    </row>
    <row r="1088" spans="1:10" x14ac:dyDescent="0.25">
      <c r="A1088" t="s">
        <v>7355</v>
      </c>
      <c r="B1088">
        <f>56984.7922707238*(1/100/100)</f>
        <v>5.6984792270723803</v>
      </c>
      <c r="C1088">
        <v>12150</v>
      </c>
      <c r="D1088" t="s">
        <v>3684</v>
      </c>
      <c r="E1088">
        <v>31303</v>
      </c>
      <c r="F1088" t="s">
        <v>671</v>
      </c>
      <c r="G1088">
        <v>313</v>
      </c>
      <c r="H1088" t="s">
        <v>62</v>
      </c>
      <c r="I1088">
        <v>3</v>
      </c>
      <c r="J1088" t="s">
        <v>50</v>
      </c>
    </row>
    <row r="1089" spans="1:10" x14ac:dyDescent="0.25">
      <c r="A1089" t="s">
        <v>7355</v>
      </c>
      <c r="B1089">
        <f>14551.9110283947*(1/100/100)</f>
        <v>1.45519110283947</v>
      </c>
      <c r="C1089">
        <v>12151</v>
      </c>
      <c r="D1089" t="s">
        <v>933</v>
      </c>
      <c r="E1089">
        <v>31333</v>
      </c>
      <c r="F1089" t="s">
        <v>685</v>
      </c>
      <c r="G1089">
        <v>313</v>
      </c>
      <c r="H1089" t="s">
        <v>62</v>
      </c>
      <c r="I1089">
        <v>3</v>
      </c>
      <c r="J1089" t="s">
        <v>50</v>
      </c>
    </row>
    <row r="1090" spans="1:10" x14ac:dyDescent="0.25">
      <c r="A1090" t="s">
        <v>7355</v>
      </c>
      <c r="B1090">
        <f>22943.5631708558*(1/100/100)</f>
        <v>2.2943563170855801</v>
      </c>
      <c r="C1090">
        <v>12152</v>
      </c>
      <c r="D1090" t="s">
        <v>3701</v>
      </c>
      <c r="E1090">
        <v>31309</v>
      </c>
      <c r="F1090" t="s">
        <v>674</v>
      </c>
      <c r="G1090">
        <v>313</v>
      </c>
      <c r="H1090" t="s">
        <v>62</v>
      </c>
      <c r="I1090">
        <v>3</v>
      </c>
      <c r="J1090" t="s">
        <v>50</v>
      </c>
    </row>
    <row r="1091" spans="1:10" x14ac:dyDescent="0.25">
      <c r="A1091" t="s">
        <v>7355</v>
      </c>
      <c r="B1091">
        <f>27908.9635275637*(1/100/100)</f>
        <v>2.7908963527563704</v>
      </c>
      <c r="C1091">
        <v>12153</v>
      </c>
      <c r="D1091" t="s">
        <v>3785</v>
      </c>
      <c r="E1091">
        <v>31333</v>
      </c>
      <c r="F1091" t="s">
        <v>685</v>
      </c>
      <c r="G1091">
        <v>313</v>
      </c>
      <c r="H1091" t="s">
        <v>62</v>
      </c>
      <c r="I1091">
        <v>3</v>
      </c>
      <c r="J1091" t="s">
        <v>50</v>
      </c>
    </row>
    <row r="1092" spans="1:10" x14ac:dyDescent="0.25">
      <c r="A1092" t="s">
        <v>7355</v>
      </c>
      <c r="B1092">
        <f>129088.009442914*(1/100/100)</f>
        <v>12.9088009442914</v>
      </c>
      <c r="C1092">
        <v>12154</v>
      </c>
      <c r="D1092" t="s">
        <v>3112</v>
      </c>
      <c r="E1092">
        <v>31309</v>
      </c>
      <c r="F1092" t="s">
        <v>674</v>
      </c>
      <c r="G1092">
        <v>313</v>
      </c>
      <c r="H1092" t="s">
        <v>62</v>
      </c>
      <c r="I1092">
        <v>3</v>
      </c>
      <c r="J1092" t="s">
        <v>50</v>
      </c>
    </row>
    <row r="1093" spans="1:10" x14ac:dyDescent="0.25">
      <c r="A1093" t="s">
        <v>7355</v>
      </c>
      <c r="B1093">
        <f>6965.42331552022*(1/100/100)</f>
        <v>0.69654233155202205</v>
      </c>
      <c r="C1093">
        <v>12155</v>
      </c>
      <c r="D1093" t="s">
        <v>3685</v>
      </c>
      <c r="E1093">
        <v>31303</v>
      </c>
      <c r="F1093" t="s">
        <v>671</v>
      </c>
      <c r="G1093">
        <v>313</v>
      </c>
      <c r="H1093" t="s">
        <v>62</v>
      </c>
      <c r="I1093">
        <v>3</v>
      </c>
      <c r="J1093" t="s">
        <v>50</v>
      </c>
    </row>
    <row r="1094" spans="1:10" x14ac:dyDescent="0.25">
      <c r="A1094" t="s">
        <v>7355</v>
      </c>
      <c r="B1094">
        <f>16251.3688225808*(1/100/100)</f>
        <v>1.6251368822580801</v>
      </c>
      <c r="C1094">
        <v>12156</v>
      </c>
      <c r="D1094" t="s">
        <v>3702</v>
      </c>
      <c r="E1094">
        <v>31309</v>
      </c>
      <c r="F1094" t="s">
        <v>674</v>
      </c>
      <c r="G1094">
        <v>313</v>
      </c>
      <c r="H1094" t="s">
        <v>62</v>
      </c>
      <c r="I1094">
        <v>3</v>
      </c>
      <c r="J1094" t="s">
        <v>50</v>
      </c>
    </row>
    <row r="1095" spans="1:10" x14ac:dyDescent="0.25">
      <c r="A1095" t="s">
        <v>7355</v>
      </c>
      <c r="B1095">
        <f>55542.7447879315*(1/100/100)</f>
        <v>5.5542744787931504</v>
      </c>
      <c r="C1095">
        <v>12157</v>
      </c>
      <c r="D1095" t="s">
        <v>3786</v>
      </c>
      <c r="E1095">
        <v>31333</v>
      </c>
      <c r="F1095" t="s">
        <v>685</v>
      </c>
      <c r="G1095">
        <v>313</v>
      </c>
      <c r="H1095" t="s">
        <v>62</v>
      </c>
      <c r="I1095">
        <v>3</v>
      </c>
      <c r="J1095" t="s">
        <v>50</v>
      </c>
    </row>
    <row r="1096" spans="1:10" x14ac:dyDescent="0.25">
      <c r="A1096" t="s">
        <v>7355</v>
      </c>
      <c r="B1096">
        <f>52933.9054746733*(1/100/100)</f>
        <v>5.2933905474673306</v>
      </c>
      <c r="C1096">
        <v>12158</v>
      </c>
      <c r="D1096" t="s">
        <v>2398</v>
      </c>
      <c r="E1096">
        <v>30101</v>
      </c>
      <c r="F1096" t="s">
        <v>456</v>
      </c>
      <c r="G1096">
        <v>301</v>
      </c>
      <c r="H1096" t="s">
        <v>49</v>
      </c>
      <c r="I1096">
        <v>3</v>
      </c>
      <c r="J1096" t="s">
        <v>50</v>
      </c>
    </row>
    <row r="1097" spans="1:10" x14ac:dyDescent="0.25">
      <c r="A1097" t="s">
        <v>7355</v>
      </c>
      <c r="B1097">
        <f>18125.9231077895*(1/100/100)</f>
        <v>1.8125923107789499</v>
      </c>
      <c r="C1097">
        <v>12159</v>
      </c>
      <c r="D1097" t="s">
        <v>3787</v>
      </c>
      <c r="E1097">
        <v>31333</v>
      </c>
      <c r="F1097" t="s">
        <v>685</v>
      </c>
      <c r="G1097">
        <v>313</v>
      </c>
      <c r="H1097" t="s">
        <v>62</v>
      </c>
      <c r="I1097">
        <v>3</v>
      </c>
      <c r="J1097" t="s">
        <v>50</v>
      </c>
    </row>
    <row r="1098" spans="1:10" x14ac:dyDescent="0.25">
      <c r="A1098" t="s">
        <v>7355</v>
      </c>
      <c r="B1098">
        <f>46478.8245951948*(1/100/100)</f>
        <v>4.6478824595194803</v>
      </c>
      <c r="C1098">
        <v>12160</v>
      </c>
      <c r="D1098" t="s">
        <v>3788</v>
      </c>
      <c r="E1098">
        <v>31333</v>
      </c>
      <c r="F1098" t="s">
        <v>685</v>
      </c>
      <c r="G1098">
        <v>313</v>
      </c>
      <c r="H1098" t="s">
        <v>62</v>
      </c>
      <c r="I1098">
        <v>3</v>
      </c>
      <c r="J1098" t="s">
        <v>50</v>
      </c>
    </row>
    <row r="1099" spans="1:10" x14ac:dyDescent="0.25">
      <c r="A1099" t="s">
        <v>7355</v>
      </c>
      <c r="B1099">
        <f>9650.43641472201*(1/100/100)</f>
        <v>0.96504364147220101</v>
      </c>
      <c r="C1099">
        <v>12161</v>
      </c>
      <c r="D1099" t="s">
        <v>3686</v>
      </c>
      <c r="E1099">
        <v>31303</v>
      </c>
      <c r="F1099" t="s">
        <v>671</v>
      </c>
      <c r="G1099">
        <v>313</v>
      </c>
      <c r="H1099" t="s">
        <v>62</v>
      </c>
      <c r="I1099">
        <v>3</v>
      </c>
      <c r="J1099" t="s">
        <v>50</v>
      </c>
    </row>
    <row r="1100" spans="1:10" x14ac:dyDescent="0.25">
      <c r="A1100" t="s">
        <v>7355</v>
      </c>
      <c r="B1100">
        <f>207304.713693885*(1/100/100)</f>
        <v>20.7304713693885</v>
      </c>
      <c r="C1100">
        <v>12162</v>
      </c>
      <c r="D1100" t="s">
        <v>3776</v>
      </c>
      <c r="E1100">
        <v>31327</v>
      </c>
      <c r="F1100" t="s">
        <v>684</v>
      </c>
      <c r="G1100">
        <v>313</v>
      </c>
      <c r="H1100" t="s">
        <v>62</v>
      </c>
      <c r="I1100">
        <v>3</v>
      </c>
      <c r="J1100" t="s">
        <v>50</v>
      </c>
    </row>
    <row r="1101" spans="1:10" x14ac:dyDescent="0.25">
      <c r="A1101" t="s">
        <v>7355</v>
      </c>
      <c r="B1101">
        <f>44360.2602218963*(1/100/100)</f>
        <v>4.4360260221896306</v>
      </c>
      <c r="C1101">
        <v>12163</v>
      </c>
      <c r="D1101" t="s">
        <v>3777</v>
      </c>
      <c r="E1101">
        <v>31327</v>
      </c>
      <c r="F1101" t="s">
        <v>684</v>
      </c>
      <c r="G1101">
        <v>313</v>
      </c>
      <c r="H1101" t="s">
        <v>62</v>
      </c>
      <c r="I1101">
        <v>3</v>
      </c>
      <c r="J1101" t="s">
        <v>50</v>
      </c>
    </row>
    <row r="1102" spans="1:10" x14ac:dyDescent="0.25">
      <c r="A1102" t="s">
        <v>7355</v>
      </c>
      <c r="B1102">
        <f>22650.8807608139*(1/100/100)</f>
        <v>2.2650880760813901</v>
      </c>
      <c r="C1102">
        <v>12164</v>
      </c>
      <c r="D1102" t="s">
        <v>3789</v>
      </c>
      <c r="E1102">
        <v>31333</v>
      </c>
      <c r="F1102" t="s">
        <v>685</v>
      </c>
      <c r="G1102">
        <v>313</v>
      </c>
      <c r="H1102" t="s">
        <v>62</v>
      </c>
      <c r="I1102">
        <v>3</v>
      </c>
      <c r="J1102" t="s">
        <v>50</v>
      </c>
    </row>
    <row r="1103" spans="1:10" x14ac:dyDescent="0.25">
      <c r="A1103" t="s">
        <v>7355</v>
      </c>
      <c r="B1103">
        <f>7706.59923417958*(1/100/100)</f>
        <v>0.77065992341795808</v>
      </c>
      <c r="C1103">
        <v>12165</v>
      </c>
      <c r="D1103" t="s">
        <v>3687</v>
      </c>
      <c r="E1103">
        <v>31303</v>
      </c>
      <c r="F1103" t="s">
        <v>671</v>
      </c>
      <c r="G1103">
        <v>313</v>
      </c>
      <c r="H1103" t="s">
        <v>62</v>
      </c>
      <c r="I1103">
        <v>3</v>
      </c>
      <c r="J1103" t="s">
        <v>50</v>
      </c>
    </row>
    <row r="1104" spans="1:10" x14ac:dyDescent="0.25">
      <c r="A1104" t="s">
        <v>7355</v>
      </c>
      <c r="B1104">
        <f>84424.2282252128*(1/100/100)</f>
        <v>8.4424228225212818</v>
      </c>
      <c r="C1104">
        <v>12166</v>
      </c>
      <c r="D1104" t="s">
        <v>3703</v>
      </c>
      <c r="E1104">
        <v>31309</v>
      </c>
      <c r="F1104" t="s">
        <v>674</v>
      </c>
      <c r="G1104">
        <v>313</v>
      </c>
      <c r="H1104" t="s">
        <v>62</v>
      </c>
      <c r="I1104">
        <v>3</v>
      </c>
      <c r="J1104" t="s">
        <v>50</v>
      </c>
    </row>
    <row r="1105" spans="1:10" x14ac:dyDescent="0.25">
      <c r="A1105" t="s">
        <v>7355</v>
      </c>
      <c r="B1105">
        <f>63648.1630284752*(1/100/100)</f>
        <v>6.3648163028475206</v>
      </c>
      <c r="C1105">
        <v>12167</v>
      </c>
      <c r="D1105" t="s">
        <v>3800</v>
      </c>
      <c r="E1105">
        <v>31338</v>
      </c>
      <c r="F1105" t="s">
        <v>688</v>
      </c>
      <c r="G1105">
        <v>313</v>
      </c>
      <c r="H1105" t="s">
        <v>62</v>
      </c>
      <c r="I1105">
        <v>3</v>
      </c>
      <c r="J1105" t="s">
        <v>50</v>
      </c>
    </row>
    <row r="1106" spans="1:10" x14ac:dyDescent="0.25">
      <c r="A1106" t="s">
        <v>7355</v>
      </c>
      <c r="B1106">
        <f>23641.3604548456*(1/100/100)</f>
        <v>2.3641360454845599</v>
      </c>
      <c r="C1106">
        <v>12168</v>
      </c>
      <c r="D1106" t="s">
        <v>3801</v>
      </c>
      <c r="E1106">
        <v>31338</v>
      </c>
      <c r="F1106" t="s">
        <v>688</v>
      </c>
      <c r="G1106">
        <v>313</v>
      </c>
      <c r="H1106" t="s">
        <v>62</v>
      </c>
      <c r="I1106">
        <v>3</v>
      </c>
      <c r="J1106" t="s">
        <v>50</v>
      </c>
    </row>
    <row r="1107" spans="1:10" x14ac:dyDescent="0.25">
      <c r="A1107" t="s">
        <v>7355</v>
      </c>
      <c r="B1107">
        <f>14812.9006107141*(1/100/100)</f>
        <v>1.4812900610714099</v>
      </c>
      <c r="C1107">
        <v>12169</v>
      </c>
      <c r="D1107" t="s">
        <v>3688</v>
      </c>
      <c r="E1107">
        <v>31303</v>
      </c>
      <c r="F1107" t="s">
        <v>671</v>
      </c>
      <c r="G1107">
        <v>313</v>
      </c>
      <c r="H1107" t="s">
        <v>62</v>
      </c>
      <c r="I1107">
        <v>3</v>
      </c>
      <c r="J1107" t="s">
        <v>50</v>
      </c>
    </row>
    <row r="1108" spans="1:10" x14ac:dyDescent="0.25">
      <c r="A1108" t="s">
        <v>7355</v>
      </c>
      <c r="B1108">
        <f>28180.7199620025*(1/100/100)</f>
        <v>2.8180719962002501</v>
      </c>
      <c r="C1108">
        <v>12170</v>
      </c>
      <c r="D1108" t="s">
        <v>3689</v>
      </c>
      <c r="E1108">
        <v>31303</v>
      </c>
      <c r="F1108" t="s">
        <v>671</v>
      </c>
      <c r="G1108">
        <v>313</v>
      </c>
      <c r="H1108" t="s">
        <v>62</v>
      </c>
      <c r="I1108">
        <v>3</v>
      </c>
      <c r="J1108" t="s">
        <v>50</v>
      </c>
    </row>
    <row r="1109" spans="1:10" x14ac:dyDescent="0.25">
      <c r="A1109" t="s">
        <v>7355</v>
      </c>
      <c r="B1109">
        <f>33210.8022898204*(1/100/100)</f>
        <v>3.3210802289820402</v>
      </c>
      <c r="C1109">
        <v>12171</v>
      </c>
      <c r="D1109" t="s">
        <v>3704</v>
      </c>
      <c r="E1109">
        <v>31309</v>
      </c>
      <c r="F1109" t="s">
        <v>674</v>
      </c>
      <c r="G1109">
        <v>313</v>
      </c>
      <c r="H1109" t="s">
        <v>62</v>
      </c>
      <c r="I1109">
        <v>3</v>
      </c>
      <c r="J1109" t="s">
        <v>50</v>
      </c>
    </row>
    <row r="1110" spans="1:10" x14ac:dyDescent="0.25">
      <c r="A1110" t="s">
        <v>7355</v>
      </c>
      <c r="B1110">
        <f>51141.646747858*(1/100/100)</f>
        <v>5.1141646747858003</v>
      </c>
      <c r="C1110">
        <v>12172</v>
      </c>
      <c r="D1110" t="s">
        <v>2919</v>
      </c>
      <c r="E1110">
        <v>30101</v>
      </c>
      <c r="F1110" t="s">
        <v>456</v>
      </c>
      <c r="G1110">
        <v>301</v>
      </c>
      <c r="H1110" t="s">
        <v>49</v>
      </c>
      <c r="I1110">
        <v>3</v>
      </c>
      <c r="J1110" t="s">
        <v>50</v>
      </c>
    </row>
    <row r="1111" spans="1:10" x14ac:dyDescent="0.25">
      <c r="A1111" t="s">
        <v>7355</v>
      </c>
      <c r="B1111">
        <f>16025.3128126411*(1/100/100)</f>
        <v>1.6025312812641099</v>
      </c>
      <c r="C1111">
        <v>12173</v>
      </c>
      <c r="D1111" t="s">
        <v>3690</v>
      </c>
      <c r="E1111">
        <v>31303</v>
      </c>
      <c r="F1111" t="s">
        <v>671</v>
      </c>
      <c r="G1111">
        <v>313</v>
      </c>
      <c r="H1111" t="s">
        <v>62</v>
      </c>
      <c r="I1111">
        <v>3</v>
      </c>
      <c r="J1111" t="s">
        <v>50</v>
      </c>
    </row>
    <row r="1112" spans="1:10" x14ac:dyDescent="0.25">
      <c r="A1112" t="s">
        <v>7355</v>
      </c>
      <c r="B1112">
        <f>7064.38012009307*(1/100/100)</f>
        <v>0.706438012009307</v>
      </c>
      <c r="C1112">
        <v>12174</v>
      </c>
      <c r="D1112" t="s">
        <v>3812</v>
      </c>
      <c r="E1112">
        <v>31343</v>
      </c>
      <c r="F1112" t="s">
        <v>689</v>
      </c>
      <c r="G1112">
        <v>313</v>
      </c>
      <c r="H1112" t="s">
        <v>62</v>
      </c>
      <c r="I1112">
        <v>3</v>
      </c>
      <c r="J1112" t="s">
        <v>50</v>
      </c>
    </row>
    <row r="1113" spans="1:10" x14ac:dyDescent="0.25">
      <c r="A1113" t="s">
        <v>7355</v>
      </c>
      <c r="B1113">
        <f>15900.5602065203*(1/100/100)</f>
        <v>1.59005602065203</v>
      </c>
      <c r="C1113">
        <v>12175</v>
      </c>
      <c r="D1113" t="s">
        <v>3813</v>
      </c>
      <c r="E1113">
        <v>31343</v>
      </c>
      <c r="F1113" t="s">
        <v>689</v>
      </c>
      <c r="G1113">
        <v>313</v>
      </c>
      <c r="H1113" t="s">
        <v>62</v>
      </c>
      <c r="I1113">
        <v>3</v>
      </c>
      <c r="J1113" t="s">
        <v>50</v>
      </c>
    </row>
    <row r="1114" spans="1:10" x14ac:dyDescent="0.25">
      <c r="A1114" t="s">
        <v>7355</v>
      </c>
      <c r="B1114">
        <f>5922.91218182453*(1/100/100)</f>
        <v>0.59229121818245301</v>
      </c>
      <c r="C1114">
        <v>12176</v>
      </c>
      <c r="D1114" t="s">
        <v>3678</v>
      </c>
      <c r="E1114">
        <v>31302</v>
      </c>
      <c r="F1114" t="s">
        <v>670</v>
      </c>
      <c r="G1114">
        <v>313</v>
      </c>
      <c r="H1114" t="s">
        <v>62</v>
      </c>
      <c r="I1114">
        <v>3</v>
      </c>
      <c r="J1114" t="s">
        <v>50</v>
      </c>
    </row>
    <row r="1115" spans="1:10" x14ac:dyDescent="0.25">
      <c r="A1115" t="s">
        <v>7355</v>
      </c>
      <c r="B1115">
        <f>35013.3745022842*(1/100/100)</f>
        <v>3.5013374502284198</v>
      </c>
      <c r="C1115">
        <v>12177</v>
      </c>
      <c r="D1115" t="s">
        <v>3679</v>
      </c>
      <c r="E1115">
        <v>31302</v>
      </c>
      <c r="F1115" t="s">
        <v>670</v>
      </c>
      <c r="G1115">
        <v>313</v>
      </c>
      <c r="H1115" t="s">
        <v>62</v>
      </c>
      <c r="I1115">
        <v>3</v>
      </c>
      <c r="J1115" t="s">
        <v>50</v>
      </c>
    </row>
    <row r="1116" spans="1:10" x14ac:dyDescent="0.25">
      <c r="A1116" t="s">
        <v>7355</v>
      </c>
      <c r="B1116">
        <f>10644.7087121599*(1/100/100)</f>
        <v>1.06447087121599</v>
      </c>
      <c r="C1116">
        <v>12178</v>
      </c>
      <c r="D1116" t="s">
        <v>3680</v>
      </c>
      <c r="E1116">
        <v>31302</v>
      </c>
      <c r="F1116" t="s">
        <v>670</v>
      </c>
      <c r="G1116">
        <v>313</v>
      </c>
      <c r="H1116" t="s">
        <v>62</v>
      </c>
      <c r="I1116">
        <v>3</v>
      </c>
      <c r="J1116" t="s">
        <v>50</v>
      </c>
    </row>
    <row r="1117" spans="1:10" x14ac:dyDescent="0.25">
      <c r="A1117" t="s">
        <v>7355</v>
      </c>
      <c r="B1117">
        <f>17658.6447988577*(1/100/100)</f>
        <v>1.7658644798857699</v>
      </c>
      <c r="C1117">
        <v>12179</v>
      </c>
      <c r="D1117" t="s">
        <v>3681</v>
      </c>
      <c r="E1117">
        <v>31302</v>
      </c>
      <c r="F1117" t="s">
        <v>670</v>
      </c>
      <c r="G1117">
        <v>313</v>
      </c>
      <c r="H1117" t="s">
        <v>62</v>
      </c>
      <c r="I1117">
        <v>3</v>
      </c>
      <c r="J1117" t="s">
        <v>50</v>
      </c>
    </row>
    <row r="1118" spans="1:10" x14ac:dyDescent="0.25">
      <c r="A1118" t="s">
        <v>7355</v>
      </c>
      <c r="B1118">
        <f>14839.1753096222*(1/100/100)</f>
        <v>1.4839175309622201</v>
      </c>
      <c r="C1118">
        <v>12180</v>
      </c>
      <c r="D1118" t="s">
        <v>3682</v>
      </c>
      <c r="E1118">
        <v>31302</v>
      </c>
      <c r="F1118" t="s">
        <v>670</v>
      </c>
      <c r="G1118">
        <v>313</v>
      </c>
      <c r="H1118" t="s">
        <v>62</v>
      </c>
      <c r="I1118">
        <v>3</v>
      </c>
      <c r="J1118" t="s">
        <v>50</v>
      </c>
    </row>
    <row r="1119" spans="1:10" x14ac:dyDescent="0.25">
      <c r="A1119" t="s">
        <v>7355</v>
      </c>
      <c r="B1119">
        <f>10019.5005828192*(1/100/100)</f>
        <v>1.0019500582819201</v>
      </c>
      <c r="C1119">
        <v>12181</v>
      </c>
      <c r="D1119" t="s">
        <v>877</v>
      </c>
      <c r="E1119">
        <v>31302</v>
      </c>
      <c r="F1119" t="s">
        <v>670</v>
      </c>
      <c r="G1119">
        <v>313</v>
      </c>
      <c r="H1119" t="s">
        <v>62</v>
      </c>
      <c r="I1119">
        <v>3</v>
      </c>
      <c r="J1119" t="s">
        <v>50</v>
      </c>
    </row>
    <row r="1120" spans="1:10" x14ac:dyDescent="0.25">
      <c r="A1120" t="s">
        <v>7355</v>
      </c>
      <c r="B1120">
        <f>33097.8038346332*(1/100/100)</f>
        <v>3.3097803834633206</v>
      </c>
      <c r="C1120">
        <v>12182</v>
      </c>
      <c r="D1120" t="s">
        <v>3826</v>
      </c>
      <c r="E1120">
        <v>31350</v>
      </c>
      <c r="F1120" t="s">
        <v>693</v>
      </c>
      <c r="G1120">
        <v>313</v>
      </c>
      <c r="H1120" t="s">
        <v>62</v>
      </c>
      <c r="I1120">
        <v>3</v>
      </c>
      <c r="J1120" t="s">
        <v>50</v>
      </c>
    </row>
    <row r="1121" spans="1:10" x14ac:dyDescent="0.25">
      <c r="A1121" t="s">
        <v>7355</v>
      </c>
      <c r="B1121">
        <f>24250.9916174164*(1/100/100)</f>
        <v>2.42509916174164</v>
      </c>
      <c r="C1121">
        <v>12183</v>
      </c>
      <c r="D1121" t="s">
        <v>3827</v>
      </c>
      <c r="E1121">
        <v>31350</v>
      </c>
      <c r="F1121" t="s">
        <v>693</v>
      </c>
      <c r="G1121">
        <v>313</v>
      </c>
      <c r="H1121" t="s">
        <v>62</v>
      </c>
      <c r="I1121">
        <v>3</v>
      </c>
      <c r="J1121" t="s">
        <v>50</v>
      </c>
    </row>
    <row r="1122" spans="1:10" x14ac:dyDescent="0.25">
      <c r="A1122" t="s">
        <v>7355</v>
      </c>
      <c r="B1122">
        <f>13097.7803133743*(1/100/100)</f>
        <v>1.3097780313374301</v>
      </c>
      <c r="C1122">
        <v>12184</v>
      </c>
      <c r="D1122" t="s">
        <v>537</v>
      </c>
      <c r="E1122">
        <v>31350</v>
      </c>
      <c r="F1122" t="s">
        <v>693</v>
      </c>
      <c r="G1122">
        <v>313</v>
      </c>
      <c r="H1122" t="s">
        <v>62</v>
      </c>
      <c r="I1122">
        <v>3</v>
      </c>
      <c r="J1122" t="s">
        <v>50</v>
      </c>
    </row>
    <row r="1123" spans="1:10" x14ac:dyDescent="0.25">
      <c r="A1123" t="s">
        <v>7355</v>
      </c>
      <c r="B1123">
        <f>26348.8762377324*(1/100/100)</f>
        <v>2.6348876237732402</v>
      </c>
      <c r="C1123">
        <v>12185</v>
      </c>
      <c r="D1123" t="s">
        <v>3832</v>
      </c>
      <c r="E1123">
        <v>31351</v>
      </c>
      <c r="F1123" t="s">
        <v>694</v>
      </c>
      <c r="G1123">
        <v>313</v>
      </c>
      <c r="H1123" t="s">
        <v>62</v>
      </c>
      <c r="I1123">
        <v>3</v>
      </c>
      <c r="J1123" t="s">
        <v>50</v>
      </c>
    </row>
    <row r="1124" spans="1:10" x14ac:dyDescent="0.25">
      <c r="A1124" t="s">
        <v>7355</v>
      </c>
      <c r="B1124">
        <f>23525.7174150006*(1/100/100)</f>
        <v>2.3525717415000602</v>
      </c>
      <c r="C1124">
        <v>12186</v>
      </c>
      <c r="D1124" t="s">
        <v>3828</v>
      </c>
      <c r="E1124">
        <v>31350</v>
      </c>
      <c r="F1124" t="s">
        <v>693</v>
      </c>
      <c r="G1124">
        <v>313</v>
      </c>
      <c r="H1124" t="s">
        <v>62</v>
      </c>
      <c r="I1124">
        <v>3</v>
      </c>
      <c r="J1124" t="s">
        <v>50</v>
      </c>
    </row>
    <row r="1125" spans="1:10" x14ac:dyDescent="0.25">
      <c r="A1125" t="s">
        <v>7355</v>
      </c>
      <c r="B1125">
        <f>36469.5919416263*(1/100/100)</f>
        <v>3.6469591941626303</v>
      </c>
      <c r="C1125">
        <v>12187</v>
      </c>
      <c r="D1125" t="s">
        <v>3802</v>
      </c>
      <c r="E1125">
        <v>31338</v>
      </c>
      <c r="F1125" t="s">
        <v>688</v>
      </c>
      <c r="G1125">
        <v>313</v>
      </c>
      <c r="H1125" t="s">
        <v>62</v>
      </c>
      <c r="I1125">
        <v>3</v>
      </c>
      <c r="J1125" t="s">
        <v>50</v>
      </c>
    </row>
    <row r="1126" spans="1:10" x14ac:dyDescent="0.25">
      <c r="A1126" t="s">
        <v>7355</v>
      </c>
      <c r="B1126">
        <f>3647.71037955697*(1/100/100)</f>
        <v>0.36477103795569704</v>
      </c>
      <c r="C1126">
        <v>12188</v>
      </c>
      <c r="D1126" t="s">
        <v>3829</v>
      </c>
      <c r="E1126">
        <v>31350</v>
      </c>
      <c r="F1126" t="s">
        <v>693</v>
      </c>
      <c r="G1126">
        <v>313</v>
      </c>
      <c r="H1126" t="s">
        <v>62</v>
      </c>
      <c r="I1126">
        <v>3</v>
      </c>
      <c r="J1126" t="s">
        <v>50</v>
      </c>
    </row>
    <row r="1127" spans="1:10" x14ac:dyDescent="0.25">
      <c r="A1127" t="s">
        <v>7355</v>
      </c>
      <c r="B1127">
        <f>23888.3292915347*(1/100/100)</f>
        <v>2.38883292915347</v>
      </c>
      <c r="C1127">
        <v>12189</v>
      </c>
      <c r="D1127" t="s">
        <v>3803</v>
      </c>
      <c r="E1127">
        <v>31338</v>
      </c>
      <c r="F1127" t="s">
        <v>688</v>
      </c>
      <c r="G1127">
        <v>313</v>
      </c>
      <c r="H1127" t="s">
        <v>62</v>
      </c>
      <c r="I1127">
        <v>3</v>
      </c>
      <c r="J1127" t="s">
        <v>50</v>
      </c>
    </row>
    <row r="1128" spans="1:10" x14ac:dyDescent="0.25">
      <c r="A1128" t="s">
        <v>7355</v>
      </c>
      <c r="B1128">
        <f>4959.64749321198*(1/100/100)</f>
        <v>0.495964749321198</v>
      </c>
      <c r="C1128">
        <v>12190</v>
      </c>
      <c r="D1128" t="s">
        <v>2717</v>
      </c>
      <c r="E1128">
        <v>31351</v>
      </c>
      <c r="F1128" t="s">
        <v>694</v>
      </c>
      <c r="G1128">
        <v>313</v>
      </c>
      <c r="H1128" t="s">
        <v>62</v>
      </c>
      <c r="I1128">
        <v>3</v>
      </c>
      <c r="J1128" t="s">
        <v>50</v>
      </c>
    </row>
    <row r="1129" spans="1:10" x14ac:dyDescent="0.25">
      <c r="A1129" t="s">
        <v>7355</v>
      </c>
      <c r="B1129">
        <f>15647.8196422653*(1/100/100)</f>
        <v>1.5647819642265302</v>
      </c>
      <c r="C1129">
        <v>12191</v>
      </c>
      <c r="D1129" t="s">
        <v>3830</v>
      </c>
      <c r="E1129">
        <v>31350</v>
      </c>
      <c r="F1129" t="s">
        <v>693</v>
      </c>
      <c r="G1129">
        <v>313</v>
      </c>
      <c r="H1129" t="s">
        <v>62</v>
      </c>
      <c r="I1129">
        <v>3</v>
      </c>
      <c r="J1129" t="s">
        <v>50</v>
      </c>
    </row>
    <row r="1130" spans="1:10" x14ac:dyDescent="0.25">
      <c r="A1130" t="s">
        <v>7355</v>
      </c>
      <c r="B1130">
        <f>35192.9423432978*(1/100/100)</f>
        <v>3.5192942343297804</v>
      </c>
      <c r="C1130">
        <v>12192</v>
      </c>
      <c r="D1130" t="s">
        <v>3833</v>
      </c>
      <c r="E1130">
        <v>31351</v>
      </c>
      <c r="F1130" t="s">
        <v>694</v>
      </c>
      <c r="G1130">
        <v>313</v>
      </c>
      <c r="H1130" t="s">
        <v>62</v>
      </c>
      <c r="I1130">
        <v>3</v>
      </c>
      <c r="J1130" t="s">
        <v>50</v>
      </c>
    </row>
    <row r="1131" spans="1:10" x14ac:dyDescent="0.25">
      <c r="A1131" t="s">
        <v>7355</v>
      </c>
      <c r="B1131">
        <f>10531.2147798877*(1/100/100)</f>
        <v>1.0531214779887701</v>
      </c>
      <c r="C1131">
        <v>12201</v>
      </c>
      <c r="D1131" t="s">
        <v>3834</v>
      </c>
      <c r="E1131">
        <v>31355</v>
      </c>
      <c r="F1131" t="s">
        <v>695</v>
      </c>
      <c r="G1131">
        <v>313</v>
      </c>
      <c r="H1131" t="s">
        <v>62</v>
      </c>
      <c r="I1131">
        <v>3</v>
      </c>
      <c r="J1131" t="s">
        <v>50</v>
      </c>
    </row>
    <row r="1132" spans="1:10" x14ac:dyDescent="0.25">
      <c r="A1132" t="s">
        <v>7355</v>
      </c>
      <c r="B1132">
        <f>13614.9144913971*(1/100/100)</f>
        <v>1.3614914491397101</v>
      </c>
      <c r="C1132">
        <v>12202</v>
      </c>
      <c r="D1132" t="s">
        <v>3835</v>
      </c>
      <c r="E1132">
        <v>31355</v>
      </c>
      <c r="F1132" t="s">
        <v>695</v>
      </c>
      <c r="G1132">
        <v>313</v>
      </c>
      <c r="H1132" t="s">
        <v>62</v>
      </c>
      <c r="I1132">
        <v>3</v>
      </c>
      <c r="J1132" t="s">
        <v>50</v>
      </c>
    </row>
    <row r="1133" spans="1:10" x14ac:dyDescent="0.25">
      <c r="A1133" t="s">
        <v>7355</v>
      </c>
      <c r="B1133">
        <f>12488.8563998803*(1/100/100)</f>
        <v>1.2488856399880301</v>
      </c>
      <c r="C1133">
        <v>12203</v>
      </c>
      <c r="D1133" t="s">
        <v>3693</v>
      </c>
      <c r="E1133">
        <v>31308</v>
      </c>
      <c r="F1133" t="s">
        <v>673</v>
      </c>
      <c r="G1133">
        <v>313</v>
      </c>
      <c r="H1133" t="s">
        <v>62</v>
      </c>
      <c r="I1133">
        <v>3</v>
      </c>
      <c r="J1133" t="s">
        <v>50</v>
      </c>
    </row>
    <row r="1134" spans="1:10" x14ac:dyDescent="0.25">
      <c r="A1134" t="s">
        <v>7355</v>
      </c>
      <c r="B1134">
        <f>4936.01374186208*(1/100/100)</f>
        <v>0.49360137418620798</v>
      </c>
      <c r="C1134">
        <v>12204</v>
      </c>
      <c r="D1134" t="s">
        <v>3817</v>
      </c>
      <c r="E1134">
        <v>31346</v>
      </c>
      <c r="F1134" t="s">
        <v>691</v>
      </c>
      <c r="G1134">
        <v>313</v>
      </c>
      <c r="H1134" t="s">
        <v>62</v>
      </c>
      <c r="I1134">
        <v>3</v>
      </c>
      <c r="J1134" t="s">
        <v>50</v>
      </c>
    </row>
    <row r="1135" spans="1:10" x14ac:dyDescent="0.25">
      <c r="A1135" t="s">
        <v>7355</v>
      </c>
      <c r="B1135">
        <f>39156.5748119285*(1/100/100)</f>
        <v>3.91565748119285</v>
      </c>
      <c r="C1135">
        <v>12205</v>
      </c>
      <c r="D1135" t="s">
        <v>3818</v>
      </c>
      <c r="E1135">
        <v>31346</v>
      </c>
      <c r="F1135" t="s">
        <v>691</v>
      </c>
      <c r="G1135">
        <v>313</v>
      </c>
      <c r="H1135" t="s">
        <v>62</v>
      </c>
      <c r="I1135">
        <v>3</v>
      </c>
      <c r="J1135" t="s">
        <v>50</v>
      </c>
    </row>
    <row r="1136" spans="1:10" x14ac:dyDescent="0.25">
      <c r="A1136" t="s">
        <v>7355</v>
      </c>
      <c r="B1136">
        <f>85344.1804003905*(1/100/100)</f>
        <v>8.5344180400390499</v>
      </c>
      <c r="C1136">
        <v>12206</v>
      </c>
      <c r="D1136" t="s">
        <v>3694</v>
      </c>
      <c r="E1136">
        <v>31308</v>
      </c>
      <c r="F1136" t="s">
        <v>673</v>
      </c>
      <c r="G1136">
        <v>313</v>
      </c>
      <c r="H1136" t="s">
        <v>62</v>
      </c>
      <c r="I1136">
        <v>3</v>
      </c>
      <c r="J1136" t="s">
        <v>50</v>
      </c>
    </row>
    <row r="1137" spans="1:10" x14ac:dyDescent="0.25">
      <c r="A1137" t="s">
        <v>7355</v>
      </c>
      <c r="B1137">
        <f>134504.776294868*(1/100/100)</f>
        <v>13.450477629486802</v>
      </c>
      <c r="C1137">
        <v>12207</v>
      </c>
      <c r="D1137" t="s">
        <v>3695</v>
      </c>
      <c r="E1137">
        <v>31308</v>
      </c>
      <c r="F1137" t="s">
        <v>673</v>
      </c>
      <c r="G1137">
        <v>313</v>
      </c>
      <c r="H1137" t="s">
        <v>62</v>
      </c>
      <c r="I1137">
        <v>3</v>
      </c>
      <c r="J1137" t="s">
        <v>50</v>
      </c>
    </row>
    <row r="1138" spans="1:10" x14ac:dyDescent="0.25">
      <c r="A1138" t="s">
        <v>7355</v>
      </c>
      <c r="B1138">
        <f>12625.9055508097*(1/100/100)</f>
        <v>1.2625905550809702</v>
      </c>
      <c r="C1138">
        <v>12208</v>
      </c>
      <c r="D1138" t="s">
        <v>3836</v>
      </c>
      <c r="E1138">
        <v>31355</v>
      </c>
      <c r="F1138" t="s">
        <v>695</v>
      </c>
      <c r="G1138">
        <v>313</v>
      </c>
      <c r="H1138" t="s">
        <v>62</v>
      </c>
      <c r="I1138">
        <v>3</v>
      </c>
      <c r="J1138" t="s">
        <v>50</v>
      </c>
    </row>
    <row r="1139" spans="1:10" x14ac:dyDescent="0.25">
      <c r="A1139" t="s">
        <v>7355</v>
      </c>
      <c r="B1139">
        <f>30532.2239807946*(1/100/100)</f>
        <v>3.0532223980794599</v>
      </c>
      <c r="C1139">
        <v>12209</v>
      </c>
      <c r="D1139" t="s">
        <v>3837</v>
      </c>
      <c r="E1139">
        <v>31355</v>
      </c>
      <c r="F1139" t="s">
        <v>695</v>
      </c>
      <c r="G1139">
        <v>313</v>
      </c>
      <c r="H1139" t="s">
        <v>62</v>
      </c>
      <c r="I1139">
        <v>3</v>
      </c>
      <c r="J1139" t="s">
        <v>50</v>
      </c>
    </row>
    <row r="1140" spans="1:10" x14ac:dyDescent="0.25">
      <c r="A1140" t="s">
        <v>7355</v>
      </c>
      <c r="B1140">
        <f>120889.48179831*(1/100/100)</f>
        <v>12.088948179831</v>
      </c>
      <c r="C1140">
        <v>12210</v>
      </c>
      <c r="D1140" t="s">
        <v>3738</v>
      </c>
      <c r="E1140">
        <v>31322</v>
      </c>
      <c r="F1140" t="s">
        <v>680</v>
      </c>
      <c r="G1140">
        <v>313</v>
      </c>
      <c r="H1140" t="s">
        <v>62</v>
      </c>
      <c r="I1140">
        <v>3</v>
      </c>
      <c r="J1140" t="s">
        <v>50</v>
      </c>
    </row>
    <row r="1141" spans="1:10" x14ac:dyDescent="0.25">
      <c r="A1141" t="s">
        <v>7355</v>
      </c>
      <c r="B1141">
        <f>157411.382726167*(1/100/100)</f>
        <v>15.741138272616702</v>
      </c>
      <c r="C1141">
        <v>12211</v>
      </c>
      <c r="D1141" t="s">
        <v>3726</v>
      </c>
      <c r="E1141">
        <v>31315</v>
      </c>
      <c r="F1141" t="s">
        <v>677</v>
      </c>
      <c r="G1141">
        <v>313</v>
      </c>
      <c r="H1141" t="s">
        <v>62</v>
      </c>
      <c r="I1141">
        <v>3</v>
      </c>
      <c r="J1141" t="s">
        <v>50</v>
      </c>
    </row>
    <row r="1142" spans="1:10" x14ac:dyDescent="0.25">
      <c r="A1142" t="s">
        <v>7355</v>
      </c>
      <c r="B1142">
        <f>205006.719391079*(1/100/100)</f>
        <v>20.500671939107903</v>
      </c>
      <c r="C1142">
        <v>12212</v>
      </c>
      <c r="D1142" t="s">
        <v>3739</v>
      </c>
      <c r="E1142">
        <v>31322</v>
      </c>
      <c r="F1142" t="s">
        <v>680</v>
      </c>
      <c r="G1142">
        <v>313</v>
      </c>
      <c r="H1142" t="s">
        <v>62</v>
      </c>
      <c r="I1142">
        <v>3</v>
      </c>
      <c r="J1142" t="s">
        <v>50</v>
      </c>
    </row>
    <row r="1143" spans="1:10" x14ac:dyDescent="0.25">
      <c r="A1143" t="s">
        <v>7355</v>
      </c>
      <c r="B1143">
        <f>52349.5704719871*(1/100/100)</f>
        <v>5.2349570471987104</v>
      </c>
      <c r="C1143">
        <v>12213</v>
      </c>
      <c r="D1143" t="s">
        <v>3727</v>
      </c>
      <c r="E1143">
        <v>31315</v>
      </c>
      <c r="F1143" t="s">
        <v>677</v>
      </c>
      <c r="G1143">
        <v>313</v>
      </c>
      <c r="H1143" t="s">
        <v>62</v>
      </c>
      <c r="I1143">
        <v>3</v>
      </c>
      <c r="J1143" t="s">
        <v>50</v>
      </c>
    </row>
    <row r="1144" spans="1:10" x14ac:dyDescent="0.25">
      <c r="A1144" t="s">
        <v>7355</v>
      </c>
      <c r="B1144">
        <f>4133.09286400484*(1/100/100)</f>
        <v>0.41330928640048398</v>
      </c>
      <c r="C1144">
        <v>12214</v>
      </c>
      <c r="D1144" t="s">
        <v>3838</v>
      </c>
      <c r="E1144">
        <v>31355</v>
      </c>
      <c r="F1144" t="s">
        <v>695</v>
      </c>
      <c r="G1144">
        <v>313</v>
      </c>
      <c r="H1144" t="s">
        <v>62</v>
      </c>
      <c r="I1144">
        <v>3</v>
      </c>
      <c r="J1144" t="s">
        <v>50</v>
      </c>
    </row>
    <row r="1145" spans="1:10" x14ac:dyDescent="0.25">
      <c r="A1145" t="s">
        <v>7355</v>
      </c>
      <c r="B1145">
        <f>340251.158321276*(1/100/100)</f>
        <v>34.025115832127604</v>
      </c>
      <c r="C1145">
        <v>12215</v>
      </c>
      <c r="D1145" t="s">
        <v>680</v>
      </c>
      <c r="E1145">
        <v>31322</v>
      </c>
      <c r="F1145" t="s">
        <v>680</v>
      </c>
      <c r="G1145">
        <v>313</v>
      </c>
      <c r="H1145" t="s">
        <v>62</v>
      </c>
      <c r="I1145">
        <v>3</v>
      </c>
      <c r="J1145" t="s">
        <v>50</v>
      </c>
    </row>
    <row r="1146" spans="1:10" x14ac:dyDescent="0.25">
      <c r="A1146" t="s">
        <v>7355</v>
      </c>
      <c r="B1146">
        <f>178563.910328074*(1/100/100)</f>
        <v>17.856391032807402</v>
      </c>
      <c r="C1146">
        <v>12216</v>
      </c>
      <c r="D1146" t="s">
        <v>681</v>
      </c>
      <c r="E1146">
        <v>31323</v>
      </c>
      <c r="F1146" t="s">
        <v>681</v>
      </c>
      <c r="G1146">
        <v>313</v>
      </c>
      <c r="H1146" t="s">
        <v>62</v>
      </c>
      <c r="I1146">
        <v>3</v>
      </c>
      <c r="J1146" t="s">
        <v>50</v>
      </c>
    </row>
    <row r="1147" spans="1:10" x14ac:dyDescent="0.25">
      <c r="A1147" t="s">
        <v>7355</v>
      </c>
      <c r="B1147">
        <f>45334.0129899628*(1/100/100)</f>
        <v>4.5334012989962806</v>
      </c>
      <c r="C1147">
        <v>12217</v>
      </c>
      <c r="D1147" t="s">
        <v>2079</v>
      </c>
      <c r="E1147">
        <v>31322</v>
      </c>
      <c r="F1147" t="s">
        <v>680</v>
      </c>
      <c r="G1147">
        <v>313</v>
      </c>
      <c r="H1147" t="s">
        <v>62</v>
      </c>
      <c r="I1147">
        <v>3</v>
      </c>
      <c r="J1147" t="s">
        <v>50</v>
      </c>
    </row>
    <row r="1148" spans="1:10" x14ac:dyDescent="0.25">
      <c r="A1148" t="s">
        <v>7355</v>
      </c>
      <c r="B1148">
        <f>39207.0321701676*(1/100/100)</f>
        <v>3.9207032170167602</v>
      </c>
      <c r="C1148">
        <v>12218</v>
      </c>
      <c r="D1148" t="s">
        <v>3839</v>
      </c>
      <c r="E1148">
        <v>31355</v>
      </c>
      <c r="F1148" t="s">
        <v>695</v>
      </c>
      <c r="G1148">
        <v>313</v>
      </c>
      <c r="H1148" t="s">
        <v>62</v>
      </c>
      <c r="I1148">
        <v>3</v>
      </c>
      <c r="J1148" t="s">
        <v>50</v>
      </c>
    </row>
    <row r="1149" spans="1:10" x14ac:dyDescent="0.25">
      <c r="A1149" t="s">
        <v>7355</v>
      </c>
      <c r="B1149">
        <f>16377.0663408385*(1/100/100)</f>
        <v>1.6377066340838502</v>
      </c>
      <c r="C1149">
        <v>12219</v>
      </c>
      <c r="D1149" t="s">
        <v>3840</v>
      </c>
      <c r="E1149">
        <v>31355</v>
      </c>
      <c r="F1149" t="s">
        <v>695</v>
      </c>
      <c r="G1149">
        <v>313</v>
      </c>
      <c r="H1149" t="s">
        <v>62</v>
      </c>
      <c r="I1149">
        <v>3</v>
      </c>
      <c r="J1149" t="s">
        <v>50</v>
      </c>
    </row>
    <row r="1150" spans="1:10" x14ac:dyDescent="0.25">
      <c r="A1150" t="s">
        <v>7355</v>
      </c>
      <c r="B1150">
        <f>8890.84728864612*(1/100/100)</f>
        <v>0.88908472886461209</v>
      </c>
      <c r="C1150">
        <v>12220</v>
      </c>
      <c r="D1150" t="s">
        <v>3819</v>
      </c>
      <c r="E1150">
        <v>31346</v>
      </c>
      <c r="F1150" t="s">
        <v>691</v>
      </c>
      <c r="G1150">
        <v>313</v>
      </c>
      <c r="H1150" t="s">
        <v>62</v>
      </c>
      <c r="I1150">
        <v>3</v>
      </c>
      <c r="J1150" t="s">
        <v>50</v>
      </c>
    </row>
    <row r="1151" spans="1:10" x14ac:dyDescent="0.25">
      <c r="A1151" t="s">
        <v>7355</v>
      </c>
      <c r="B1151">
        <f>13298.0108164399*(1/100/100)</f>
        <v>1.3298010816439902</v>
      </c>
      <c r="C1151">
        <v>12221</v>
      </c>
      <c r="D1151" t="s">
        <v>3841</v>
      </c>
      <c r="E1151">
        <v>31355</v>
      </c>
      <c r="F1151" t="s">
        <v>695</v>
      </c>
      <c r="G1151">
        <v>313</v>
      </c>
      <c r="H1151" t="s">
        <v>62</v>
      </c>
      <c r="I1151">
        <v>3</v>
      </c>
      <c r="J1151" t="s">
        <v>50</v>
      </c>
    </row>
    <row r="1152" spans="1:10" x14ac:dyDescent="0.25">
      <c r="A1152" t="s">
        <v>7355</v>
      </c>
      <c r="B1152">
        <f>42041.6744780248*(1/100/100)</f>
        <v>4.2041674478024795</v>
      </c>
      <c r="C1152">
        <v>12222</v>
      </c>
      <c r="D1152" t="s">
        <v>3842</v>
      </c>
      <c r="E1152">
        <v>31355</v>
      </c>
      <c r="F1152" t="s">
        <v>695</v>
      </c>
      <c r="G1152">
        <v>313</v>
      </c>
      <c r="H1152" t="s">
        <v>62</v>
      </c>
      <c r="I1152">
        <v>3</v>
      </c>
      <c r="J1152" t="s">
        <v>50</v>
      </c>
    </row>
    <row r="1153" spans="1:10" x14ac:dyDescent="0.25">
      <c r="A1153" t="s">
        <v>7355</v>
      </c>
      <c r="B1153">
        <f>7639.48054687072*(1/100/100)</f>
        <v>0.76394805468707205</v>
      </c>
      <c r="C1153">
        <v>12223</v>
      </c>
      <c r="D1153" t="s">
        <v>3843</v>
      </c>
      <c r="E1153">
        <v>31355</v>
      </c>
      <c r="F1153" t="s">
        <v>695</v>
      </c>
      <c r="G1153">
        <v>313</v>
      </c>
      <c r="H1153" t="s">
        <v>62</v>
      </c>
      <c r="I1153">
        <v>3</v>
      </c>
      <c r="J1153" t="s">
        <v>50</v>
      </c>
    </row>
    <row r="1154" spans="1:10" x14ac:dyDescent="0.25">
      <c r="A1154" t="s">
        <v>7355</v>
      </c>
      <c r="B1154">
        <f>22219.1903974225*(1/100/100)</f>
        <v>2.2219190397422501</v>
      </c>
      <c r="C1154">
        <v>12224</v>
      </c>
      <c r="D1154" t="s">
        <v>3740</v>
      </c>
      <c r="E1154">
        <v>31322</v>
      </c>
      <c r="F1154" t="s">
        <v>680</v>
      </c>
      <c r="G1154">
        <v>313</v>
      </c>
      <c r="H1154" t="s">
        <v>62</v>
      </c>
      <c r="I1154">
        <v>3</v>
      </c>
      <c r="J1154" t="s">
        <v>50</v>
      </c>
    </row>
    <row r="1155" spans="1:10" x14ac:dyDescent="0.25">
      <c r="A1155" t="s">
        <v>7355</v>
      </c>
      <c r="B1155">
        <f>13751.8756556612*(1/100/100)</f>
        <v>1.3751875655661201</v>
      </c>
      <c r="C1155">
        <v>12225</v>
      </c>
      <c r="D1155" t="s">
        <v>3741</v>
      </c>
      <c r="E1155">
        <v>31322</v>
      </c>
      <c r="F1155" t="s">
        <v>680</v>
      </c>
      <c r="G1155">
        <v>313</v>
      </c>
      <c r="H1155" t="s">
        <v>62</v>
      </c>
      <c r="I1155">
        <v>3</v>
      </c>
      <c r="J1155" t="s">
        <v>50</v>
      </c>
    </row>
    <row r="1156" spans="1:10" x14ac:dyDescent="0.25">
      <c r="A1156" t="s">
        <v>7355</v>
      </c>
      <c r="B1156">
        <f>111239.52546024*(1/100/100)</f>
        <v>11.123952546024</v>
      </c>
      <c r="C1156">
        <v>12226</v>
      </c>
      <c r="D1156" t="s">
        <v>3742</v>
      </c>
      <c r="E1156">
        <v>31322</v>
      </c>
      <c r="F1156" t="s">
        <v>680</v>
      </c>
      <c r="G1156">
        <v>313</v>
      </c>
      <c r="H1156" t="s">
        <v>62</v>
      </c>
      <c r="I1156">
        <v>3</v>
      </c>
      <c r="J1156" t="s">
        <v>50</v>
      </c>
    </row>
    <row r="1157" spans="1:10" x14ac:dyDescent="0.25">
      <c r="A1157" t="s">
        <v>7355</v>
      </c>
      <c r="B1157">
        <f>79614.9822918174*(1/100/100)</f>
        <v>7.9614982291817409</v>
      </c>
      <c r="C1157">
        <v>12227</v>
      </c>
      <c r="D1157" t="s">
        <v>2778</v>
      </c>
      <c r="E1157">
        <v>31355</v>
      </c>
      <c r="F1157" t="s">
        <v>695</v>
      </c>
      <c r="G1157">
        <v>313</v>
      </c>
      <c r="H1157" t="s">
        <v>62</v>
      </c>
      <c r="I1157">
        <v>3</v>
      </c>
      <c r="J1157" t="s">
        <v>50</v>
      </c>
    </row>
    <row r="1158" spans="1:10" x14ac:dyDescent="0.25">
      <c r="A1158" t="s">
        <v>7355</v>
      </c>
      <c r="B1158">
        <f>43096.5334259978*(1/100/100)</f>
        <v>4.3096533425997796</v>
      </c>
      <c r="C1158">
        <v>12228</v>
      </c>
      <c r="D1158" t="s">
        <v>3844</v>
      </c>
      <c r="E1158">
        <v>31355</v>
      </c>
      <c r="F1158" t="s">
        <v>695</v>
      </c>
      <c r="G1158">
        <v>313</v>
      </c>
      <c r="H1158" t="s">
        <v>62</v>
      </c>
      <c r="I1158">
        <v>3</v>
      </c>
      <c r="J1158" t="s">
        <v>50</v>
      </c>
    </row>
    <row r="1159" spans="1:10" x14ac:dyDescent="0.25">
      <c r="A1159" t="s">
        <v>7355</v>
      </c>
      <c r="B1159">
        <f>166626.281382651*(1/100/100)</f>
        <v>16.662628138265102</v>
      </c>
      <c r="C1159">
        <v>12229</v>
      </c>
      <c r="D1159" t="s">
        <v>3820</v>
      </c>
      <c r="E1159">
        <v>31346</v>
      </c>
      <c r="F1159" t="s">
        <v>691</v>
      </c>
      <c r="G1159">
        <v>313</v>
      </c>
      <c r="H1159" t="s">
        <v>62</v>
      </c>
      <c r="I1159">
        <v>3</v>
      </c>
      <c r="J1159" t="s">
        <v>50</v>
      </c>
    </row>
    <row r="1160" spans="1:10" x14ac:dyDescent="0.25">
      <c r="A1160" t="s">
        <v>7355</v>
      </c>
      <c r="B1160">
        <f>15520.4776287235*(1/100/100)</f>
        <v>1.5520477628723501</v>
      </c>
      <c r="C1160">
        <v>12230</v>
      </c>
      <c r="D1160" t="s">
        <v>3845</v>
      </c>
      <c r="E1160">
        <v>31355</v>
      </c>
      <c r="F1160" t="s">
        <v>695</v>
      </c>
      <c r="G1160">
        <v>313</v>
      </c>
      <c r="H1160" t="s">
        <v>62</v>
      </c>
      <c r="I1160">
        <v>3</v>
      </c>
      <c r="J1160" t="s">
        <v>50</v>
      </c>
    </row>
    <row r="1161" spans="1:10" x14ac:dyDescent="0.25">
      <c r="A1161" t="s">
        <v>7355</v>
      </c>
      <c r="B1161">
        <f>54326.9446101123*(1/100/100)</f>
        <v>5.4326944610112307</v>
      </c>
      <c r="C1161">
        <v>12231</v>
      </c>
      <c r="D1161" t="s">
        <v>3696</v>
      </c>
      <c r="E1161">
        <v>31308</v>
      </c>
      <c r="F1161" t="s">
        <v>673</v>
      </c>
      <c r="G1161">
        <v>313</v>
      </c>
      <c r="H1161" t="s">
        <v>62</v>
      </c>
      <c r="I1161">
        <v>3</v>
      </c>
      <c r="J1161" t="s">
        <v>50</v>
      </c>
    </row>
    <row r="1162" spans="1:10" x14ac:dyDescent="0.25">
      <c r="A1162" t="s">
        <v>7355</v>
      </c>
      <c r="B1162">
        <f>17318.6302966582*(1/100/100)</f>
        <v>1.7318630296658202</v>
      </c>
      <c r="C1162">
        <v>12232</v>
      </c>
      <c r="D1162" t="s">
        <v>3821</v>
      </c>
      <c r="E1162">
        <v>31346</v>
      </c>
      <c r="F1162" t="s">
        <v>691</v>
      </c>
      <c r="G1162">
        <v>313</v>
      </c>
      <c r="H1162" t="s">
        <v>62</v>
      </c>
      <c r="I1162">
        <v>3</v>
      </c>
      <c r="J1162" t="s">
        <v>50</v>
      </c>
    </row>
    <row r="1163" spans="1:10" x14ac:dyDescent="0.25">
      <c r="A1163" t="s">
        <v>7355</v>
      </c>
      <c r="B1163">
        <f>82997.3911765947*(1/100/100)</f>
        <v>8.2997391176594704</v>
      </c>
      <c r="C1163">
        <v>12233</v>
      </c>
      <c r="D1163" t="s">
        <v>3743</v>
      </c>
      <c r="E1163">
        <v>31322</v>
      </c>
      <c r="F1163" t="s">
        <v>680</v>
      </c>
      <c r="G1163">
        <v>313</v>
      </c>
      <c r="H1163" t="s">
        <v>62</v>
      </c>
      <c r="I1163">
        <v>3</v>
      </c>
      <c r="J1163" t="s">
        <v>50</v>
      </c>
    </row>
    <row r="1164" spans="1:10" x14ac:dyDescent="0.25">
      <c r="A1164" t="s">
        <v>7355</v>
      </c>
      <c r="B1164">
        <f>37836.7089803129*(1/100/100)</f>
        <v>3.7836708980312901</v>
      </c>
      <c r="C1164">
        <v>12234</v>
      </c>
      <c r="D1164" t="s">
        <v>3697</v>
      </c>
      <c r="E1164">
        <v>31308</v>
      </c>
      <c r="F1164" t="s">
        <v>673</v>
      </c>
      <c r="G1164">
        <v>313</v>
      </c>
      <c r="H1164" t="s">
        <v>62</v>
      </c>
      <c r="I1164">
        <v>3</v>
      </c>
      <c r="J1164" t="s">
        <v>50</v>
      </c>
    </row>
    <row r="1165" spans="1:10" x14ac:dyDescent="0.25">
      <c r="A1165" t="s">
        <v>7355</v>
      </c>
      <c r="B1165">
        <f>51937.8012471292*(1/100/100)</f>
        <v>5.1937801247129203</v>
      </c>
      <c r="C1165">
        <v>12235</v>
      </c>
      <c r="D1165" t="s">
        <v>3698</v>
      </c>
      <c r="E1165">
        <v>31308</v>
      </c>
      <c r="F1165" t="s">
        <v>673</v>
      </c>
      <c r="G1165">
        <v>313</v>
      </c>
      <c r="H1165" t="s">
        <v>62</v>
      </c>
      <c r="I1165">
        <v>3</v>
      </c>
      <c r="J1165" t="s">
        <v>50</v>
      </c>
    </row>
    <row r="1166" spans="1:10" x14ac:dyDescent="0.25">
      <c r="A1166" t="s">
        <v>7355</v>
      </c>
      <c r="B1166">
        <f>48088.1385740362*(1/100/100)</f>
        <v>4.8088138574036208</v>
      </c>
      <c r="C1166">
        <v>12236</v>
      </c>
      <c r="D1166" t="s">
        <v>2784</v>
      </c>
      <c r="E1166">
        <v>31308</v>
      </c>
      <c r="F1166" t="s">
        <v>673</v>
      </c>
      <c r="G1166">
        <v>313</v>
      </c>
      <c r="H1166" t="s">
        <v>62</v>
      </c>
      <c r="I1166">
        <v>3</v>
      </c>
      <c r="J1166" t="s">
        <v>50</v>
      </c>
    </row>
    <row r="1167" spans="1:10" x14ac:dyDescent="0.25">
      <c r="A1167" t="s">
        <v>7355</v>
      </c>
      <c r="B1167">
        <f>57664.6765192465*(1/100/100)</f>
        <v>5.7664676519246507</v>
      </c>
      <c r="C1167">
        <v>12237</v>
      </c>
      <c r="D1167" t="s">
        <v>3699</v>
      </c>
      <c r="E1167">
        <v>31308</v>
      </c>
      <c r="F1167" t="s">
        <v>673</v>
      </c>
      <c r="G1167">
        <v>313</v>
      </c>
      <c r="H1167" t="s">
        <v>62</v>
      </c>
      <c r="I1167">
        <v>3</v>
      </c>
      <c r="J1167" t="s">
        <v>50</v>
      </c>
    </row>
    <row r="1168" spans="1:10" x14ac:dyDescent="0.25">
      <c r="A1168" t="s">
        <v>7355</v>
      </c>
      <c r="B1168">
        <f>50069.6078814865*(1/100/100)</f>
        <v>5.0069607881486506</v>
      </c>
      <c r="C1168">
        <v>12301</v>
      </c>
      <c r="D1168" t="s">
        <v>669</v>
      </c>
      <c r="E1168">
        <v>31301</v>
      </c>
      <c r="F1168" t="s">
        <v>669</v>
      </c>
      <c r="G1168">
        <v>313</v>
      </c>
      <c r="H1168" t="s">
        <v>62</v>
      </c>
      <c r="I1168">
        <v>3</v>
      </c>
      <c r="J1168" t="s">
        <v>50</v>
      </c>
    </row>
    <row r="1169" spans="1:10" x14ac:dyDescent="0.25">
      <c r="A1169" t="s">
        <v>7355</v>
      </c>
      <c r="B1169">
        <f>7624.65189846557*(1/100/100)</f>
        <v>0.76246518984655709</v>
      </c>
      <c r="C1169">
        <v>12302</v>
      </c>
      <c r="D1169" t="s">
        <v>3778</v>
      </c>
      <c r="E1169">
        <v>31330</v>
      </c>
      <c r="F1169" t="s">
        <v>399</v>
      </c>
      <c r="G1169">
        <v>313</v>
      </c>
      <c r="H1169" t="s">
        <v>62</v>
      </c>
      <c r="I1169">
        <v>3</v>
      </c>
      <c r="J1169" t="s">
        <v>50</v>
      </c>
    </row>
    <row r="1170" spans="1:10" x14ac:dyDescent="0.25">
      <c r="A1170" t="s">
        <v>7355</v>
      </c>
      <c r="B1170">
        <f>6460.09355993878*(1/100/100)</f>
        <v>0.6460093559938781</v>
      </c>
      <c r="C1170">
        <v>12304</v>
      </c>
      <c r="D1170" t="s">
        <v>3761</v>
      </c>
      <c r="E1170">
        <v>31326</v>
      </c>
      <c r="F1170" t="s">
        <v>683</v>
      </c>
      <c r="G1170">
        <v>313</v>
      </c>
      <c r="H1170" t="s">
        <v>62</v>
      </c>
      <c r="I1170">
        <v>3</v>
      </c>
      <c r="J1170" t="s">
        <v>50</v>
      </c>
    </row>
    <row r="1171" spans="1:10" x14ac:dyDescent="0.25">
      <c r="A1171" t="s">
        <v>7355</v>
      </c>
      <c r="B1171">
        <f>22313.4415582717*(1/100/100)</f>
        <v>2.2313441558271703</v>
      </c>
      <c r="C1171">
        <v>12307</v>
      </c>
      <c r="D1171" t="s">
        <v>3779</v>
      </c>
      <c r="E1171">
        <v>31330</v>
      </c>
      <c r="F1171" t="s">
        <v>399</v>
      </c>
      <c r="G1171">
        <v>313</v>
      </c>
      <c r="H1171" t="s">
        <v>62</v>
      </c>
      <c r="I1171">
        <v>3</v>
      </c>
      <c r="J1171" t="s">
        <v>50</v>
      </c>
    </row>
    <row r="1172" spans="1:10" x14ac:dyDescent="0.25">
      <c r="A1172" t="s">
        <v>7355</v>
      </c>
      <c r="B1172">
        <f>10259.9955276601*(1/100/100)</f>
        <v>1.02599955276601</v>
      </c>
      <c r="C1172">
        <v>12310</v>
      </c>
      <c r="D1172" t="s">
        <v>3762</v>
      </c>
      <c r="E1172">
        <v>31326</v>
      </c>
      <c r="F1172" t="s">
        <v>683</v>
      </c>
      <c r="G1172">
        <v>313</v>
      </c>
      <c r="H1172" t="s">
        <v>62</v>
      </c>
      <c r="I1172">
        <v>3</v>
      </c>
      <c r="J1172" t="s">
        <v>50</v>
      </c>
    </row>
    <row r="1173" spans="1:10" x14ac:dyDescent="0.25">
      <c r="A1173" t="s">
        <v>7355</v>
      </c>
      <c r="B1173">
        <f>9871.20315466313*(1/100/100)</f>
        <v>0.98712031546631307</v>
      </c>
      <c r="C1173">
        <v>12312</v>
      </c>
      <c r="D1173" t="s">
        <v>3763</v>
      </c>
      <c r="E1173">
        <v>31326</v>
      </c>
      <c r="F1173" t="s">
        <v>683</v>
      </c>
      <c r="G1173">
        <v>313</v>
      </c>
      <c r="H1173" t="s">
        <v>62</v>
      </c>
      <c r="I1173">
        <v>3</v>
      </c>
      <c r="J1173" t="s">
        <v>50</v>
      </c>
    </row>
    <row r="1174" spans="1:10" x14ac:dyDescent="0.25">
      <c r="A1174" t="s">
        <v>7355</v>
      </c>
      <c r="B1174">
        <f>2974.5800642641*(1/100/100)</f>
        <v>0.29745800642641002</v>
      </c>
      <c r="C1174">
        <v>12314</v>
      </c>
      <c r="D1174" t="s">
        <v>783</v>
      </c>
      <c r="E1174">
        <v>31326</v>
      </c>
      <c r="F1174" t="s">
        <v>683</v>
      </c>
      <c r="G1174">
        <v>313</v>
      </c>
      <c r="H1174" t="s">
        <v>62</v>
      </c>
      <c r="I1174">
        <v>3</v>
      </c>
      <c r="J1174" t="s">
        <v>50</v>
      </c>
    </row>
    <row r="1175" spans="1:10" x14ac:dyDescent="0.25">
      <c r="A1175" t="s">
        <v>7355</v>
      </c>
      <c r="B1175">
        <f>7428.93855660529*(1/100/100)</f>
        <v>0.74289385566052901</v>
      </c>
      <c r="C1175">
        <v>12317</v>
      </c>
      <c r="D1175" t="s">
        <v>3082</v>
      </c>
      <c r="E1175">
        <v>31301</v>
      </c>
      <c r="F1175" t="s">
        <v>669</v>
      </c>
      <c r="G1175">
        <v>313</v>
      </c>
      <c r="H1175" t="s">
        <v>62</v>
      </c>
      <c r="I1175">
        <v>3</v>
      </c>
      <c r="J1175" t="s">
        <v>50</v>
      </c>
    </row>
    <row r="1176" spans="1:10" x14ac:dyDescent="0.25">
      <c r="A1176" t="s">
        <v>7355</v>
      </c>
      <c r="B1176">
        <f>17767.7923547883*(1/100/100)</f>
        <v>1.7767792354788301</v>
      </c>
      <c r="C1176">
        <v>12319</v>
      </c>
      <c r="D1176" t="s">
        <v>3814</v>
      </c>
      <c r="E1176">
        <v>31344</v>
      </c>
      <c r="F1176" t="s">
        <v>690</v>
      </c>
      <c r="G1176">
        <v>313</v>
      </c>
      <c r="H1176" t="s">
        <v>62</v>
      </c>
      <c r="I1176">
        <v>3</v>
      </c>
      <c r="J1176" t="s">
        <v>50</v>
      </c>
    </row>
    <row r="1177" spans="1:10" x14ac:dyDescent="0.25">
      <c r="A1177" t="s">
        <v>7355</v>
      </c>
      <c r="B1177">
        <f>5475.31656347974*(1/100/100)</f>
        <v>0.54753165634797396</v>
      </c>
      <c r="C1177">
        <v>12323</v>
      </c>
      <c r="D1177" t="s">
        <v>3764</v>
      </c>
      <c r="E1177">
        <v>31326</v>
      </c>
      <c r="F1177" t="s">
        <v>683</v>
      </c>
      <c r="G1177">
        <v>313</v>
      </c>
      <c r="H1177" t="s">
        <v>62</v>
      </c>
      <c r="I1177">
        <v>3</v>
      </c>
      <c r="J1177" t="s">
        <v>50</v>
      </c>
    </row>
    <row r="1178" spans="1:10" x14ac:dyDescent="0.25">
      <c r="A1178" t="s">
        <v>7355</v>
      </c>
      <c r="B1178">
        <f>3325.37516061976*(1/100/100)</f>
        <v>0.33253751606197601</v>
      </c>
      <c r="C1178">
        <v>12327</v>
      </c>
      <c r="D1178" t="s">
        <v>3765</v>
      </c>
      <c r="E1178">
        <v>31326</v>
      </c>
      <c r="F1178" t="s">
        <v>683</v>
      </c>
      <c r="G1178">
        <v>313</v>
      </c>
      <c r="H1178" t="s">
        <v>62</v>
      </c>
      <c r="I1178">
        <v>3</v>
      </c>
      <c r="J1178" t="s">
        <v>50</v>
      </c>
    </row>
    <row r="1179" spans="1:10" x14ac:dyDescent="0.25">
      <c r="A1179" t="s">
        <v>7355</v>
      </c>
      <c r="B1179">
        <f>5920.9301899682*(1/100/100)</f>
        <v>0.59209301899681999</v>
      </c>
      <c r="C1179">
        <v>12328</v>
      </c>
      <c r="D1179" t="s">
        <v>3766</v>
      </c>
      <c r="E1179">
        <v>31326</v>
      </c>
      <c r="F1179" t="s">
        <v>683</v>
      </c>
      <c r="G1179">
        <v>313</v>
      </c>
      <c r="H1179" t="s">
        <v>62</v>
      </c>
      <c r="I1179">
        <v>3</v>
      </c>
      <c r="J1179" t="s">
        <v>50</v>
      </c>
    </row>
    <row r="1180" spans="1:10" x14ac:dyDescent="0.25">
      <c r="A1180" t="s">
        <v>7355</v>
      </c>
      <c r="B1180">
        <f>4832.90733718014*(1/100/100)</f>
        <v>0.48329073371801401</v>
      </c>
      <c r="C1180">
        <v>12331</v>
      </c>
      <c r="D1180" t="s">
        <v>3673</v>
      </c>
      <c r="E1180">
        <v>31301</v>
      </c>
      <c r="F1180" t="s">
        <v>669</v>
      </c>
      <c r="G1180">
        <v>313</v>
      </c>
      <c r="H1180" t="s">
        <v>62</v>
      </c>
      <c r="I1180">
        <v>3</v>
      </c>
      <c r="J1180" t="s">
        <v>50</v>
      </c>
    </row>
    <row r="1181" spans="1:10" x14ac:dyDescent="0.25">
      <c r="A1181" t="s">
        <v>7355</v>
      </c>
      <c r="B1181">
        <f>11029.7432825346*(1/100/100)</f>
        <v>1.1029743282534601</v>
      </c>
      <c r="C1181">
        <v>12332</v>
      </c>
      <c r="D1181" t="s">
        <v>3767</v>
      </c>
      <c r="E1181">
        <v>31326</v>
      </c>
      <c r="F1181" t="s">
        <v>683</v>
      </c>
      <c r="G1181">
        <v>313</v>
      </c>
      <c r="H1181" t="s">
        <v>62</v>
      </c>
      <c r="I1181">
        <v>3</v>
      </c>
      <c r="J1181" t="s">
        <v>50</v>
      </c>
    </row>
    <row r="1182" spans="1:10" x14ac:dyDescent="0.25">
      <c r="A1182" t="s">
        <v>7355</v>
      </c>
      <c r="B1182">
        <f>33750.5862826522*(1/100/100)</f>
        <v>3.37505862826522</v>
      </c>
      <c r="C1182">
        <v>12333</v>
      </c>
      <c r="D1182" t="s">
        <v>683</v>
      </c>
      <c r="E1182">
        <v>31326</v>
      </c>
      <c r="F1182" t="s">
        <v>683</v>
      </c>
      <c r="G1182">
        <v>313</v>
      </c>
      <c r="H1182" t="s">
        <v>62</v>
      </c>
      <c r="I1182">
        <v>3</v>
      </c>
      <c r="J1182" t="s">
        <v>50</v>
      </c>
    </row>
    <row r="1183" spans="1:10" x14ac:dyDescent="0.25">
      <c r="A1183" t="s">
        <v>7355</v>
      </c>
      <c r="B1183">
        <f>7601.94055355916*(1/100/100)</f>
        <v>0.76019405535591611</v>
      </c>
      <c r="C1183">
        <v>12334</v>
      </c>
      <c r="D1183" t="s">
        <v>3768</v>
      </c>
      <c r="E1183">
        <v>31326</v>
      </c>
      <c r="F1183" t="s">
        <v>683</v>
      </c>
      <c r="G1183">
        <v>313</v>
      </c>
      <c r="H1183" t="s">
        <v>62</v>
      </c>
      <c r="I1183">
        <v>3</v>
      </c>
      <c r="J1183" t="s">
        <v>50</v>
      </c>
    </row>
    <row r="1184" spans="1:10" x14ac:dyDescent="0.25">
      <c r="A1184" t="s">
        <v>7355</v>
      </c>
      <c r="B1184">
        <f>15354.3300898212*(1/100/100)</f>
        <v>1.53543300898212</v>
      </c>
      <c r="C1184">
        <v>12336</v>
      </c>
      <c r="D1184" t="s">
        <v>3769</v>
      </c>
      <c r="E1184">
        <v>31326</v>
      </c>
      <c r="F1184" t="s">
        <v>683</v>
      </c>
      <c r="G1184">
        <v>313</v>
      </c>
      <c r="H1184" t="s">
        <v>62</v>
      </c>
      <c r="I1184">
        <v>3</v>
      </c>
      <c r="J1184" t="s">
        <v>50</v>
      </c>
    </row>
    <row r="1185" spans="1:10" x14ac:dyDescent="0.25">
      <c r="A1185" t="s">
        <v>7355</v>
      </c>
      <c r="B1185">
        <f>2572.08729624191*(1/100/100)</f>
        <v>0.257208729624191</v>
      </c>
      <c r="C1185">
        <v>12339</v>
      </c>
      <c r="D1185" t="s">
        <v>3121</v>
      </c>
      <c r="E1185">
        <v>31326</v>
      </c>
      <c r="F1185" t="s">
        <v>683</v>
      </c>
      <c r="G1185">
        <v>313</v>
      </c>
      <c r="H1185" t="s">
        <v>62</v>
      </c>
      <c r="I1185">
        <v>3</v>
      </c>
      <c r="J1185" t="s">
        <v>50</v>
      </c>
    </row>
    <row r="1186" spans="1:10" x14ac:dyDescent="0.25">
      <c r="A1186" t="s">
        <v>7355</v>
      </c>
      <c r="B1186">
        <f>38743.1299229074*(1/100/100)</f>
        <v>3.87431299229074</v>
      </c>
      <c r="C1186">
        <v>12341</v>
      </c>
      <c r="D1186" t="s">
        <v>399</v>
      </c>
      <c r="E1186">
        <v>31330</v>
      </c>
      <c r="F1186" t="s">
        <v>399</v>
      </c>
      <c r="G1186">
        <v>313</v>
      </c>
      <c r="H1186" t="s">
        <v>62</v>
      </c>
      <c r="I1186">
        <v>3</v>
      </c>
      <c r="J1186" t="s">
        <v>50</v>
      </c>
    </row>
    <row r="1187" spans="1:10" x14ac:dyDescent="0.25">
      <c r="A1187" t="s">
        <v>7355</v>
      </c>
      <c r="B1187">
        <f>9911.73532921713*(1/100/100)</f>
        <v>0.99117353292171306</v>
      </c>
      <c r="C1187">
        <v>12343</v>
      </c>
      <c r="D1187" t="s">
        <v>3594</v>
      </c>
      <c r="E1187">
        <v>31326</v>
      </c>
      <c r="F1187" t="s">
        <v>683</v>
      </c>
      <c r="G1187">
        <v>313</v>
      </c>
      <c r="H1187" t="s">
        <v>62</v>
      </c>
      <c r="I1187">
        <v>3</v>
      </c>
      <c r="J1187" t="s">
        <v>50</v>
      </c>
    </row>
    <row r="1188" spans="1:10" x14ac:dyDescent="0.25">
      <c r="A1188" t="s">
        <v>7355</v>
      </c>
      <c r="B1188">
        <f>6469.28656618758*(1/100/100)</f>
        <v>0.64692865661875809</v>
      </c>
      <c r="C1188">
        <v>12344</v>
      </c>
      <c r="D1188" t="s">
        <v>3770</v>
      </c>
      <c r="E1188">
        <v>31326</v>
      </c>
      <c r="F1188" t="s">
        <v>683</v>
      </c>
      <c r="G1188">
        <v>313</v>
      </c>
      <c r="H1188" t="s">
        <v>62</v>
      </c>
      <c r="I1188">
        <v>3</v>
      </c>
      <c r="J1188" t="s">
        <v>50</v>
      </c>
    </row>
    <row r="1189" spans="1:10" x14ac:dyDescent="0.25">
      <c r="A1189" t="s">
        <v>7355</v>
      </c>
      <c r="B1189">
        <f>19143.0396015652*(1/100/100)</f>
        <v>1.9143039601565202</v>
      </c>
      <c r="C1189">
        <v>12345</v>
      </c>
      <c r="D1189" t="s">
        <v>1781</v>
      </c>
      <c r="E1189">
        <v>31330</v>
      </c>
      <c r="F1189" t="s">
        <v>399</v>
      </c>
      <c r="G1189">
        <v>313</v>
      </c>
      <c r="H1189" t="s">
        <v>62</v>
      </c>
      <c r="I1189">
        <v>3</v>
      </c>
      <c r="J1189" t="s">
        <v>50</v>
      </c>
    </row>
    <row r="1190" spans="1:10" x14ac:dyDescent="0.25">
      <c r="A1190" t="s">
        <v>7355</v>
      </c>
      <c r="B1190">
        <f>10341.9864845379*(1/100/100)</f>
        <v>1.0341986484537899</v>
      </c>
      <c r="C1190">
        <v>12346</v>
      </c>
      <c r="D1190" t="s">
        <v>3780</v>
      </c>
      <c r="E1190">
        <v>31330</v>
      </c>
      <c r="F1190" t="s">
        <v>399</v>
      </c>
      <c r="G1190">
        <v>313</v>
      </c>
      <c r="H1190" t="s">
        <v>62</v>
      </c>
      <c r="I1190">
        <v>3</v>
      </c>
      <c r="J1190" t="s">
        <v>50</v>
      </c>
    </row>
    <row r="1191" spans="1:10" x14ac:dyDescent="0.25">
      <c r="A1191" t="s">
        <v>7355</v>
      </c>
      <c r="B1191">
        <f>16025.3133501626*(1/100/100)</f>
        <v>1.60253133501626</v>
      </c>
      <c r="C1191">
        <v>12348</v>
      </c>
      <c r="D1191" t="s">
        <v>3781</v>
      </c>
      <c r="E1191">
        <v>31330</v>
      </c>
      <c r="F1191" t="s">
        <v>399</v>
      </c>
      <c r="G1191">
        <v>313</v>
      </c>
      <c r="H1191" t="s">
        <v>62</v>
      </c>
      <c r="I1191">
        <v>3</v>
      </c>
      <c r="J1191" t="s">
        <v>50</v>
      </c>
    </row>
    <row r="1192" spans="1:10" x14ac:dyDescent="0.25">
      <c r="A1192" t="s">
        <v>7355</v>
      </c>
      <c r="B1192">
        <f>18676.4405630566*(1/100/100)</f>
        <v>1.86764405630566</v>
      </c>
      <c r="C1192">
        <v>12350</v>
      </c>
      <c r="D1192" t="s">
        <v>3782</v>
      </c>
      <c r="E1192">
        <v>31330</v>
      </c>
      <c r="F1192" t="s">
        <v>399</v>
      </c>
      <c r="G1192">
        <v>313</v>
      </c>
      <c r="H1192" t="s">
        <v>62</v>
      </c>
      <c r="I1192">
        <v>3</v>
      </c>
      <c r="J1192" t="s">
        <v>50</v>
      </c>
    </row>
    <row r="1193" spans="1:10" x14ac:dyDescent="0.25">
      <c r="A1193" t="s">
        <v>7355</v>
      </c>
      <c r="B1193">
        <f>4952.44623069293*(1/100/100)</f>
        <v>0.49524462306929301</v>
      </c>
      <c r="C1193">
        <v>12351</v>
      </c>
      <c r="D1193" t="s">
        <v>3783</v>
      </c>
      <c r="E1193">
        <v>31330</v>
      </c>
      <c r="F1193" t="s">
        <v>399</v>
      </c>
      <c r="G1193">
        <v>313</v>
      </c>
      <c r="H1193" t="s">
        <v>62</v>
      </c>
      <c r="I1193">
        <v>3</v>
      </c>
      <c r="J1193" t="s">
        <v>50</v>
      </c>
    </row>
    <row r="1194" spans="1:10" x14ac:dyDescent="0.25">
      <c r="A1194" t="s">
        <v>7355</v>
      </c>
      <c r="B1194">
        <f>8746.05369005201*(1/100/100)</f>
        <v>0.87460536900520092</v>
      </c>
      <c r="C1194">
        <v>12355</v>
      </c>
      <c r="D1194" t="s">
        <v>3771</v>
      </c>
      <c r="E1194">
        <v>31326</v>
      </c>
      <c r="F1194" t="s">
        <v>683</v>
      </c>
      <c r="G1194">
        <v>313</v>
      </c>
      <c r="H1194" t="s">
        <v>62</v>
      </c>
      <c r="I1194">
        <v>3</v>
      </c>
      <c r="J1194" t="s">
        <v>50</v>
      </c>
    </row>
    <row r="1195" spans="1:10" x14ac:dyDescent="0.25">
      <c r="A1195" t="s">
        <v>7355</v>
      </c>
      <c r="B1195">
        <f>17631.1618132268*(1/100/100)</f>
        <v>1.7631161813226801</v>
      </c>
      <c r="C1195">
        <v>12357</v>
      </c>
      <c r="D1195" t="s">
        <v>3815</v>
      </c>
      <c r="E1195">
        <v>31344</v>
      </c>
      <c r="F1195" t="s">
        <v>690</v>
      </c>
      <c r="G1195">
        <v>313</v>
      </c>
      <c r="H1195" t="s">
        <v>62</v>
      </c>
      <c r="I1195">
        <v>3</v>
      </c>
      <c r="J1195" t="s">
        <v>50</v>
      </c>
    </row>
    <row r="1196" spans="1:10" x14ac:dyDescent="0.25">
      <c r="A1196" t="s">
        <v>7355</v>
      </c>
      <c r="B1196">
        <f>135446.871914898*(1/100/100)</f>
        <v>13.5446871914898</v>
      </c>
      <c r="C1196">
        <v>12358</v>
      </c>
      <c r="D1196" t="s">
        <v>690</v>
      </c>
      <c r="E1196">
        <v>31344</v>
      </c>
      <c r="F1196" t="s">
        <v>690</v>
      </c>
      <c r="G1196">
        <v>313</v>
      </c>
      <c r="H1196" t="s">
        <v>62</v>
      </c>
      <c r="I1196">
        <v>3</v>
      </c>
      <c r="J1196" t="s">
        <v>50</v>
      </c>
    </row>
    <row r="1197" spans="1:10" x14ac:dyDescent="0.25">
      <c r="A1197" t="s">
        <v>7355</v>
      </c>
      <c r="B1197">
        <f>4213.26024082034*(1/100/100)</f>
        <v>0.42132602408203401</v>
      </c>
      <c r="C1197">
        <v>12359</v>
      </c>
      <c r="D1197" t="s">
        <v>3772</v>
      </c>
      <c r="E1197">
        <v>31326</v>
      </c>
      <c r="F1197" t="s">
        <v>683</v>
      </c>
      <c r="G1197">
        <v>313</v>
      </c>
      <c r="H1197" t="s">
        <v>62</v>
      </c>
      <c r="I1197">
        <v>3</v>
      </c>
      <c r="J1197" t="s">
        <v>50</v>
      </c>
    </row>
    <row r="1198" spans="1:10" x14ac:dyDescent="0.25">
      <c r="A1198" t="s">
        <v>7355</v>
      </c>
      <c r="B1198">
        <f>45585.824073113*(1/100/100)</f>
        <v>4.5585824073112997</v>
      </c>
      <c r="C1198">
        <v>12360</v>
      </c>
      <c r="D1198" t="s">
        <v>3784</v>
      </c>
      <c r="E1198">
        <v>31330</v>
      </c>
      <c r="F1198" t="s">
        <v>399</v>
      </c>
      <c r="G1198">
        <v>313</v>
      </c>
      <c r="H1198" t="s">
        <v>62</v>
      </c>
      <c r="I1198">
        <v>3</v>
      </c>
      <c r="J1198" t="s">
        <v>50</v>
      </c>
    </row>
    <row r="1199" spans="1:10" x14ac:dyDescent="0.25">
      <c r="A1199" t="s">
        <v>7355</v>
      </c>
      <c r="B1199">
        <f>17939.5998292266*(1/100/100)</f>
        <v>1.7939599829226602</v>
      </c>
      <c r="C1199">
        <v>12362</v>
      </c>
      <c r="D1199" t="s">
        <v>3816</v>
      </c>
      <c r="E1199">
        <v>31344</v>
      </c>
      <c r="F1199" t="s">
        <v>690</v>
      </c>
      <c r="G1199">
        <v>313</v>
      </c>
      <c r="H1199" t="s">
        <v>62</v>
      </c>
      <c r="I1199">
        <v>3</v>
      </c>
      <c r="J1199" t="s">
        <v>50</v>
      </c>
    </row>
    <row r="1200" spans="1:10" x14ac:dyDescent="0.25">
      <c r="A1200" t="s">
        <v>7355</v>
      </c>
      <c r="B1200">
        <f>2790.83864463429*(1/100/100)</f>
        <v>0.27908386446342903</v>
      </c>
      <c r="C1200">
        <v>12363</v>
      </c>
      <c r="D1200" t="s">
        <v>2771</v>
      </c>
      <c r="E1200">
        <v>31326</v>
      </c>
      <c r="F1200" t="s">
        <v>683</v>
      </c>
      <c r="G1200">
        <v>313</v>
      </c>
      <c r="H1200" t="s">
        <v>62</v>
      </c>
      <c r="I1200">
        <v>3</v>
      </c>
      <c r="J1200" t="s">
        <v>50</v>
      </c>
    </row>
    <row r="1201" spans="1:10" x14ac:dyDescent="0.25">
      <c r="A1201" t="s">
        <v>7355</v>
      </c>
      <c r="B1201">
        <f>8407.87542782304*(1/100/100)</f>
        <v>0.84078754278230416</v>
      </c>
      <c r="C1201">
        <v>12365</v>
      </c>
      <c r="D1201" t="s">
        <v>3773</v>
      </c>
      <c r="E1201">
        <v>31326</v>
      </c>
      <c r="F1201" t="s">
        <v>683</v>
      </c>
      <c r="G1201">
        <v>313</v>
      </c>
      <c r="H1201" t="s">
        <v>62</v>
      </c>
      <c r="I1201">
        <v>3</v>
      </c>
      <c r="J1201" t="s">
        <v>50</v>
      </c>
    </row>
    <row r="1202" spans="1:10" x14ac:dyDescent="0.25">
      <c r="A1202" t="s">
        <v>7355</v>
      </c>
      <c r="B1202">
        <f>15203.3466403496*(1/100/100)</f>
        <v>1.5203346640349602</v>
      </c>
      <c r="C1202">
        <v>12366</v>
      </c>
      <c r="D1202" t="s">
        <v>831</v>
      </c>
      <c r="E1202">
        <v>31301</v>
      </c>
      <c r="F1202" t="s">
        <v>669</v>
      </c>
      <c r="G1202">
        <v>313</v>
      </c>
      <c r="H1202" t="s">
        <v>62</v>
      </c>
      <c r="I1202">
        <v>3</v>
      </c>
      <c r="J1202" t="s">
        <v>50</v>
      </c>
    </row>
    <row r="1203" spans="1:10" x14ac:dyDescent="0.25">
      <c r="A1203" t="s">
        <v>7355</v>
      </c>
      <c r="B1203">
        <f>15194.5025369136*(1/100/100)</f>
        <v>1.5194502536913601</v>
      </c>
      <c r="C1203">
        <v>12369</v>
      </c>
      <c r="D1203" t="s">
        <v>3774</v>
      </c>
      <c r="E1203">
        <v>31326</v>
      </c>
      <c r="F1203" t="s">
        <v>683</v>
      </c>
      <c r="G1203">
        <v>313</v>
      </c>
      <c r="H1203" t="s">
        <v>62</v>
      </c>
      <c r="I1203">
        <v>3</v>
      </c>
      <c r="J1203" t="s">
        <v>50</v>
      </c>
    </row>
    <row r="1204" spans="1:10" x14ac:dyDescent="0.25">
      <c r="A1204" t="s">
        <v>7355</v>
      </c>
      <c r="B1204">
        <f>11597.7351155253*(1/100/100)</f>
        <v>1.1597735115525301</v>
      </c>
      <c r="C1204">
        <v>12370</v>
      </c>
      <c r="D1204" t="s">
        <v>3775</v>
      </c>
      <c r="E1204">
        <v>31326</v>
      </c>
      <c r="F1204" t="s">
        <v>683</v>
      </c>
      <c r="G1204">
        <v>313</v>
      </c>
      <c r="H1204" t="s">
        <v>62</v>
      </c>
      <c r="I1204">
        <v>3</v>
      </c>
      <c r="J1204" t="s">
        <v>50</v>
      </c>
    </row>
    <row r="1205" spans="1:10" x14ac:dyDescent="0.25">
      <c r="A1205" t="s">
        <v>7355</v>
      </c>
      <c r="B1205">
        <f>44656.6213709469*(1/100/100)</f>
        <v>4.4656621370946903</v>
      </c>
      <c r="C1205">
        <v>13001</v>
      </c>
      <c r="D1205" t="s">
        <v>2535</v>
      </c>
      <c r="E1205">
        <v>31611</v>
      </c>
      <c r="F1205" t="s">
        <v>751</v>
      </c>
      <c r="G1205">
        <v>316</v>
      </c>
      <c r="H1205" t="s">
        <v>65</v>
      </c>
      <c r="I1205">
        <v>3</v>
      </c>
      <c r="J1205" t="s">
        <v>50</v>
      </c>
    </row>
    <row r="1206" spans="1:10" x14ac:dyDescent="0.25">
      <c r="A1206" t="s">
        <v>7355</v>
      </c>
      <c r="B1206">
        <f>66845.8207619172*(1/100/100)</f>
        <v>6.6845820761917203</v>
      </c>
      <c r="C1206">
        <v>13004</v>
      </c>
      <c r="D1206" t="s">
        <v>4138</v>
      </c>
      <c r="E1206">
        <v>31611</v>
      </c>
      <c r="F1206" t="s">
        <v>751</v>
      </c>
      <c r="G1206">
        <v>316</v>
      </c>
      <c r="H1206" t="s">
        <v>65</v>
      </c>
      <c r="I1206">
        <v>3</v>
      </c>
      <c r="J1206" t="s">
        <v>50</v>
      </c>
    </row>
    <row r="1207" spans="1:10" x14ac:dyDescent="0.25">
      <c r="A1207" t="s">
        <v>7355</v>
      </c>
      <c r="B1207">
        <f>123588.407187012*(1/100/100)</f>
        <v>12.358840718701201</v>
      </c>
      <c r="C1207">
        <v>13005</v>
      </c>
      <c r="D1207" t="s">
        <v>4164</v>
      </c>
      <c r="E1207">
        <v>31629</v>
      </c>
      <c r="F1207" t="s">
        <v>763</v>
      </c>
      <c r="G1207">
        <v>316</v>
      </c>
      <c r="H1207" t="s">
        <v>65</v>
      </c>
      <c r="I1207">
        <v>3</v>
      </c>
      <c r="J1207" t="s">
        <v>50</v>
      </c>
    </row>
    <row r="1208" spans="1:10" x14ac:dyDescent="0.25">
      <c r="A1208" t="s">
        <v>7355</v>
      </c>
      <c r="B1208">
        <f>9523.54041330665*(1/100/100)</f>
        <v>0.95235404133066504</v>
      </c>
      <c r="C1208">
        <v>13006</v>
      </c>
      <c r="D1208" t="s">
        <v>4165</v>
      </c>
      <c r="E1208">
        <v>31629</v>
      </c>
      <c r="F1208" t="s">
        <v>763</v>
      </c>
      <c r="G1208">
        <v>316</v>
      </c>
      <c r="H1208" t="s">
        <v>65</v>
      </c>
      <c r="I1208">
        <v>3</v>
      </c>
      <c r="J1208" t="s">
        <v>50</v>
      </c>
    </row>
    <row r="1209" spans="1:10" x14ac:dyDescent="0.25">
      <c r="A1209" t="s">
        <v>7355</v>
      </c>
      <c r="B1209">
        <f>41268.4393738679*(1/100/100)</f>
        <v>4.1268439373867905</v>
      </c>
      <c r="C1209">
        <v>13007</v>
      </c>
      <c r="D1209" t="s">
        <v>4150</v>
      </c>
      <c r="E1209">
        <v>31616</v>
      </c>
      <c r="F1209" t="s">
        <v>756</v>
      </c>
      <c r="G1209">
        <v>316</v>
      </c>
      <c r="H1209" t="s">
        <v>65</v>
      </c>
      <c r="I1209">
        <v>3</v>
      </c>
      <c r="J1209" t="s">
        <v>50</v>
      </c>
    </row>
    <row r="1210" spans="1:10" x14ac:dyDescent="0.25">
      <c r="A1210" t="s">
        <v>7355</v>
      </c>
      <c r="B1210">
        <f>33318.3186836276*(1/100/100)</f>
        <v>3.3318318683627601</v>
      </c>
      <c r="C1210">
        <v>13008</v>
      </c>
      <c r="D1210" t="s">
        <v>4201</v>
      </c>
      <c r="E1210">
        <v>31649</v>
      </c>
      <c r="F1210" t="s">
        <v>770</v>
      </c>
      <c r="G1210">
        <v>316</v>
      </c>
      <c r="H1210" t="s">
        <v>65</v>
      </c>
      <c r="I1210">
        <v>3</v>
      </c>
      <c r="J1210" t="s">
        <v>50</v>
      </c>
    </row>
    <row r="1211" spans="1:10" x14ac:dyDescent="0.25">
      <c r="A1211" t="s">
        <v>7355</v>
      </c>
      <c r="B1211">
        <f>71066.3143088697*(1/100/100)</f>
        <v>7.1066314308869698</v>
      </c>
      <c r="C1211">
        <v>13009</v>
      </c>
      <c r="D1211" t="s">
        <v>4142</v>
      </c>
      <c r="E1211">
        <v>31613</v>
      </c>
      <c r="F1211" t="s">
        <v>753</v>
      </c>
      <c r="G1211">
        <v>316</v>
      </c>
      <c r="H1211" t="s">
        <v>65</v>
      </c>
      <c r="I1211">
        <v>3</v>
      </c>
      <c r="J1211" t="s">
        <v>50</v>
      </c>
    </row>
    <row r="1212" spans="1:10" x14ac:dyDescent="0.25">
      <c r="A1212" t="s">
        <v>7355</v>
      </c>
      <c r="B1212">
        <f>71503.2473655308*(1/100/100)</f>
        <v>7.1503247365530802</v>
      </c>
      <c r="C1212">
        <v>13010</v>
      </c>
      <c r="D1212" t="s">
        <v>4202</v>
      </c>
      <c r="E1212">
        <v>31649</v>
      </c>
      <c r="F1212" t="s">
        <v>770</v>
      </c>
      <c r="G1212">
        <v>316</v>
      </c>
      <c r="H1212" t="s">
        <v>65</v>
      </c>
      <c r="I1212">
        <v>3</v>
      </c>
      <c r="J1212" t="s">
        <v>50</v>
      </c>
    </row>
    <row r="1213" spans="1:10" x14ac:dyDescent="0.25">
      <c r="A1213" t="s">
        <v>7355</v>
      </c>
      <c r="B1213">
        <f>51119.9080829762*(1/100/100)</f>
        <v>5.1119908082976204</v>
      </c>
      <c r="C1213">
        <v>13011</v>
      </c>
      <c r="D1213" t="s">
        <v>750</v>
      </c>
      <c r="E1213">
        <v>31609</v>
      </c>
      <c r="F1213" t="s">
        <v>750</v>
      </c>
      <c r="G1213">
        <v>316</v>
      </c>
      <c r="H1213" t="s">
        <v>65</v>
      </c>
      <c r="I1213">
        <v>3</v>
      </c>
      <c r="J1213" t="s">
        <v>50</v>
      </c>
    </row>
    <row r="1214" spans="1:10" x14ac:dyDescent="0.25">
      <c r="A1214" t="s">
        <v>7355</v>
      </c>
      <c r="B1214">
        <f>12499.1314660365*(1/100/100)</f>
        <v>1.2499131466036502</v>
      </c>
      <c r="C1214">
        <v>13012</v>
      </c>
      <c r="D1214" t="s">
        <v>4135</v>
      </c>
      <c r="E1214">
        <v>31609</v>
      </c>
      <c r="F1214" t="s">
        <v>750</v>
      </c>
      <c r="G1214">
        <v>316</v>
      </c>
      <c r="H1214" t="s">
        <v>65</v>
      </c>
      <c r="I1214">
        <v>3</v>
      </c>
      <c r="J1214" t="s">
        <v>50</v>
      </c>
    </row>
    <row r="1215" spans="1:10" x14ac:dyDescent="0.25">
      <c r="A1215" t="s">
        <v>7355</v>
      </c>
      <c r="B1215">
        <f>88761.1882253326*(1/100/100)</f>
        <v>8.876118822533261</v>
      </c>
      <c r="C1215">
        <v>13013</v>
      </c>
      <c r="D1215" t="s">
        <v>751</v>
      </c>
      <c r="E1215">
        <v>31611</v>
      </c>
      <c r="F1215" t="s">
        <v>751</v>
      </c>
      <c r="G1215">
        <v>316</v>
      </c>
      <c r="H1215" t="s">
        <v>65</v>
      </c>
      <c r="I1215">
        <v>3</v>
      </c>
      <c r="J1215" t="s">
        <v>50</v>
      </c>
    </row>
    <row r="1216" spans="1:10" x14ac:dyDescent="0.25">
      <c r="A1216" t="s">
        <v>7355</v>
      </c>
      <c r="B1216">
        <f>6409.41786370938*(1/100/100)</f>
        <v>0.64094178637093802</v>
      </c>
      <c r="C1216">
        <v>13014</v>
      </c>
      <c r="D1216" t="s">
        <v>4166</v>
      </c>
      <c r="E1216">
        <v>31629</v>
      </c>
      <c r="F1216" t="s">
        <v>763</v>
      </c>
      <c r="G1216">
        <v>316</v>
      </c>
      <c r="H1216" t="s">
        <v>65</v>
      </c>
      <c r="I1216">
        <v>3</v>
      </c>
      <c r="J1216" t="s">
        <v>50</v>
      </c>
    </row>
    <row r="1217" spans="1:10" x14ac:dyDescent="0.25">
      <c r="A1217" t="s">
        <v>7355</v>
      </c>
      <c r="B1217">
        <f>70752.917452768*(1/100/100)</f>
        <v>7.0752917452768003</v>
      </c>
      <c r="C1217">
        <v>13015</v>
      </c>
      <c r="D1217" t="s">
        <v>753</v>
      </c>
      <c r="E1217">
        <v>31613</v>
      </c>
      <c r="F1217" t="s">
        <v>753</v>
      </c>
      <c r="G1217">
        <v>316</v>
      </c>
      <c r="H1217" t="s">
        <v>65</v>
      </c>
      <c r="I1217">
        <v>3</v>
      </c>
      <c r="J1217" t="s">
        <v>50</v>
      </c>
    </row>
    <row r="1218" spans="1:10" x14ac:dyDescent="0.25">
      <c r="A1218" t="s">
        <v>7355</v>
      </c>
      <c r="B1218">
        <f>45469.3908857076*(1/100/100)</f>
        <v>4.5469390885707606</v>
      </c>
      <c r="C1218">
        <v>13016</v>
      </c>
      <c r="D1218" t="s">
        <v>4136</v>
      </c>
      <c r="E1218">
        <v>31609</v>
      </c>
      <c r="F1218" t="s">
        <v>750</v>
      </c>
      <c r="G1218">
        <v>316</v>
      </c>
      <c r="H1218" t="s">
        <v>65</v>
      </c>
      <c r="I1218">
        <v>3</v>
      </c>
      <c r="J1218" t="s">
        <v>50</v>
      </c>
    </row>
    <row r="1219" spans="1:10" x14ac:dyDescent="0.25">
      <c r="A1219" t="s">
        <v>7355</v>
      </c>
      <c r="B1219">
        <f>59203.3604324355*(1/100/100)</f>
        <v>5.9203360432435499</v>
      </c>
      <c r="C1219">
        <v>13017</v>
      </c>
      <c r="D1219" t="s">
        <v>4137</v>
      </c>
      <c r="E1219">
        <v>31609</v>
      </c>
      <c r="F1219" t="s">
        <v>750</v>
      </c>
      <c r="G1219">
        <v>316</v>
      </c>
      <c r="H1219" t="s">
        <v>65</v>
      </c>
      <c r="I1219">
        <v>3</v>
      </c>
      <c r="J1219" t="s">
        <v>50</v>
      </c>
    </row>
    <row r="1220" spans="1:10" x14ac:dyDescent="0.25">
      <c r="A1220" t="s">
        <v>7355</v>
      </c>
      <c r="B1220">
        <f>145316.327277013*(1/100/100)</f>
        <v>14.531632727701302</v>
      </c>
      <c r="C1220">
        <v>13018</v>
      </c>
      <c r="D1220" t="s">
        <v>4167</v>
      </c>
      <c r="E1220">
        <v>31629</v>
      </c>
      <c r="F1220" t="s">
        <v>763</v>
      </c>
      <c r="G1220">
        <v>316</v>
      </c>
      <c r="H1220" t="s">
        <v>65</v>
      </c>
      <c r="I1220">
        <v>3</v>
      </c>
      <c r="J1220" t="s">
        <v>50</v>
      </c>
    </row>
    <row r="1221" spans="1:10" x14ac:dyDescent="0.25">
      <c r="A1221" t="s">
        <v>7355</v>
      </c>
      <c r="B1221">
        <f>137357.229390424*(1/100/100)</f>
        <v>13.735722939042402</v>
      </c>
      <c r="C1221">
        <v>13019</v>
      </c>
      <c r="D1221" t="s">
        <v>756</v>
      </c>
      <c r="E1221">
        <v>31616</v>
      </c>
      <c r="F1221" t="s">
        <v>756</v>
      </c>
      <c r="G1221">
        <v>316</v>
      </c>
      <c r="H1221" t="s">
        <v>65</v>
      </c>
      <c r="I1221">
        <v>3</v>
      </c>
      <c r="J1221" t="s">
        <v>50</v>
      </c>
    </row>
    <row r="1222" spans="1:10" x14ac:dyDescent="0.25">
      <c r="A1222" t="s">
        <v>7355</v>
      </c>
      <c r="B1222">
        <f>151.659239685052*(1/100/100)</f>
        <v>1.5165923968505201E-2</v>
      </c>
      <c r="C1222">
        <v>13021</v>
      </c>
      <c r="D1222" t="s">
        <v>4184</v>
      </c>
      <c r="E1222">
        <v>31634</v>
      </c>
      <c r="F1222" t="s">
        <v>4185</v>
      </c>
      <c r="G1222">
        <v>316</v>
      </c>
      <c r="H1222" t="s">
        <v>65</v>
      </c>
      <c r="I1222">
        <v>3</v>
      </c>
      <c r="J1222" t="s">
        <v>50</v>
      </c>
    </row>
    <row r="1223" spans="1:10" x14ac:dyDescent="0.25">
      <c r="A1223" t="s">
        <v>7355</v>
      </c>
      <c r="B1223">
        <f>34505.978624723*(1/100/100)</f>
        <v>3.4505978624723004</v>
      </c>
      <c r="C1223">
        <v>13022</v>
      </c>
      <c r="D1223" t="s">
        <v>852</v>
      </c>
      <c r="E1223">
        <v>31634</v>
      </c>
      <c r="F1223" t="s">
        <v>4185</v>
      </c>
      <c r="G1223">
        <v>316</v>
      </c>
      <c r="H1223" t="s">
        <v>65</v>
      </c>
      <c r="I1223">
        <v>3</v>
      </c>
      <c r="J1223" t="s">
        <v>50</v>
      </c>
    </row>
    <row r="1224" spans="1:10" x14ac:dyDescent="0.25">
      <c r="A1224" t="s">
        <v>7355</v>
      </c>
      <c r="B1224">
        <f>635072.020180305*(1/100/100)</f>
        <v>63.507202018030505</v>
      </c>
      <c r="C1224">
        <v>13024</v>
      </c>
      <c r="D1224" t="s">
        <v>763</v>
      </c>
      <c r="E1224">
        <v>31629</v>
      </c>
      <c r="F1224" t="s">
        <v>763</v>
      </c>
      <c r="G1224">
        <v>316</v>
      </c>
      <c r="H1224" t="s">
        <v>65</v>
      </c>
      <c r="I1224">
        <v>3</v>
      </c>
      <c r="J1224" t="s">
        <v>50</v>
      </c>
    </row>
    <row r="1225" spans="1:10" x14ac:dyDescent="0.25">
      <c r="A1225" t="s">
        <v>7355</v>
      </c>
      <c r="B1225">
        <f>44336.1787204981*(1/100/100)</f>
        <v>4.4336178720498101</v>
      </c>
      <c r="C1225">
        <v>13027</v>
      </c>
      <c r="D1225" t="s">
        <v>723</v>
      </c>
      <c r="E1225">
        <v>31609</v>
      </c>
      <c r="F1225" t="s">
        <v>750</v>
      </c>
      <c r="G1225">
        <v>316</v>
      </c>
      <c r="H1225" t="s">
        <v>65</v>
      </c>
      <c r="I1225">
        <v>3</v>
      </c>
      <c r="J1225" t="s">
        <v>50</v>
      </c>
    </row>
    <row r="1226" spans="1:10" x14ac:dyDescent="0.25">
      <c r="A1226" t="s">
        <v>7355</v>
      </c>
      <c r="B1226">
        <f>7268.24118370453*(1/100/100)</f>
        <v>0.72682411837045302</v>
      </c>
      <c r="C1226">
        <v>13028</v>
      </c>
      <c r="D1226" t="s">
        <v>4215</v>
      </c>
      <c r="E1226">
        <v>31653</v>
      </c>
      <c r="F1226" t="s">
        <v>774</v>
      </c>
      <c r="G1226">
        <v>316</v>
      </c>
      <c r="H1226" t="s">
        <v>65</v>
      </c>
      <c r="I1226">
        <v>3</v>
      </c>
      <c r="J1226" t="s">
        <v>50</v>
      </c>
    </row>
    <row r="1227" spans="1:10" x14ac:dyDescent="0.25">
      <c r="A1227" t="s">
        <v>7355</v>
      </c>
      <c r="B1227">
        <f>196248.518164322*(1/100/100)</f>
        <v>19.624851816432201</v>
      </c>
      <c r="C1227">
        <v>13029</v>
      </c>
      <c r="D1227" t="s">
        <v>280</v>
      </c>
      <c r="E1227">
        <v>31634</v>
      </c>
      <c r="F1227" t="s">
        <v>4185</v>
      </c>
      <c r="G1227">
        <v>316</v>
      </c>
      <c r="H1227" t="s">
        <v>65</v>
      </c>
      <c r="I1227">
        <v>3</v>
      </c>
      <c r="J1227" t="s">
        <v>50</v>
      </c>
    </row>
    <row r="1228" spans="1:10" x14ac:dyDescent="0.25">
      <c r="A1228" t="s">
        <v>7355</v>
      </c>
      <c r="B1228">
        <f>58395.3586678677*(1/100/100)</f>
        <v>5.8395358667867701</v>
      </c>
      <c r="C1228">
        <v>13030</v>
      </c>
      <c r="D1228" t="s">
        <v>4168</v>
      </c>
      <c r="E1228">
        <v>31629</v>
      </c>
      <c r="F1228" t="s">
        <v>763</v>
      </c>
      <c r="G1228">
        <v>316</v>
      </c>
      <c r="H1228" t="s">
        <v>65</v>
      </c>
      <c r="I1228">
        <v>3</v>
      </c>
      <c r="J1228" t="s">
        <v>50</v>
      </c>
    </row>
    <row r="1229" spans="1:10" x14ac:dyDescent="0.25">
      <c r="A1229" t="s">
        <v>7355</v>
      </c>
      <c r="B1229">
        <f>1183.97732390117*(1/100/100)</f>
        <v>0.118397732390117</v>
      </c>
      <c r="C1229">
        <v>13032</v>
      </c>
      <c r="D1229" t="s">
        <v>4143</v>
      </c>
      <c r="E1229">
        <v>31613</v>
      </c>
      <c r="F1229" t="s">
        <v>753</v>
      </c>
      <c r="G1229">
        <v>316</v>
      </c>
      <c r="H1229" t="s">
        <v>65</v>
      </c>
      <c r="I1229">
        <v>3</v>
      </c>
      <c r="J1229" t="s">
        <v>50</v>
      </c>
    </row>
    <row r="1230" spans="1:10" x14ac:dyDescent="0.25">
      <c r="A1230" t="s">
        <v>7355</v>
      </c>
      <c r="B1230">
        <f>32531.576421907*(1/100/100)</f>
        <v>3.2531576421907</v>
      </c>
      <c r="C1230">
        <v>13033</v>
      </c>
      <c r="D1230" t="s">
        <v>4207</v>
      </c>
      <c r="E1230">
        <v>31650</v>
      </c>
      <c r="F1230" t="s">
        <v>771</v>
      </c>
      <c r="G1230">
        <v>316</v>
      </c>
      <c r="H1230" t="s">
        <v>65</v>
      </c>
      <c r="I1230">
        <v>3</v>
      </c>
      <c r="J1230" t="s">
        <v>50</v>
      </c>
    </row>
    <row r="1231" spans="1:10" x14ac:dyDescent="0.25">
      <c r="A1231" t="s">
        <v>7355</v>
      </c>
      <c r="B1231">
        <f>118612.213254838*(1/100/100)</f>
        <v>11.8612213254838</v>
      </c>
      <c r="C1231">
        <v>13034</v>
      </c>
      <c r="D1231" t="s">
        <v>4208</v>
      </c>
      <c r="E1231">
        <v>31650</v>
      </c>
      <c r="F1231" t="s">
        <v>771</v>
      </c>
      <c r="G1231">
        <v>316</v>
      </c>
      <c r="H1231" t="s">
        <v>65</v>
      </c>
      <c r="I1231">
        <v>3</v>
      </c>
      <c r="J1231" t="s">
        <v>50</v>
      </c>
    </row>
    <row r="1232" spans="1:10" x14ac:dyDescent="0.25">
      <c r="A1232" t="s">
        <v>7355</v>
      </c>
      <c r="B1232">
        <f>81286.294766924*(1/100/100)</f>
        <v>8.1286294766923994</v>
      </c>
      <c r="C1232">
        <v>13035</v>
      </c>
      <c r="D1232" t="s">
        <v>4216</v>
      </c>
      <c r="E1232">
        <v>31653</v>
      </c>
      <c r="F1232" t="s">
        <v>774</v>
      </c>
      <c r="G1232">
        <v>316</v>
      </c>
      <c r="H1232" t="s">
        <v>65</v>
      </c>
      <c r="I1232">
        <v>3</v>
      </c>
      <c r="J1232" t="s">
        <v>50</v>
      </c>
    </row>
    <row r="1233" spans="1:10" x14ac:dyDescent="0.25">
      <c r="A1233" t="s">
        <v>7355</v>
      </c>
      <c r="B1233">
        <f>14990.4417250247*(1/100/100)</f>
        <v>1.4990441725024701</v>
      </c>
      <c r="C1233">
        <v>13036</v>
      </c>
      <c r="D1233" t="s">
        <v>4217</v>
      </c>
      <c r="E1233">
        <v>31653</v>
      </c>
      <c r="F1233" t="s">
        <v>774</v>
      </c>
      <c r="G1233">
        <v>316</v>
      </c>
      <c r="H1233" t="s">
        <v>65</v>
      </c>
      <c r="I1233">
        <v>3</v>
      </c>
      <c r="J1233" t="s">
        <v>50</v>
      </c>
    </row>
    <row r="1234" spans="1:10" x14ac:dyDescent="0.25">
      <c r="A1234" t="s">
        <v>7355</v>
      </c>
      <c r="B1234">
        <f>47358.1161956385*(1/100/100)</f>
        <v>4.73581161956385</v>
      </c>
      <c r="C1234">
        <v>13037</v>
      </c>
      <c r="D1234" t="s">
        <v>864</v>
      </c>
      <c r="E1234">
        <v>31613</v>
      </c>
      <c r="F1234" t="s">
        <v>753</v>
      </c>
      <c r="G1234">
        <v>316</v>
      </c>
      <c r="H1234" t="s">
        <v>65</v>
      </c>
      <c r="I1234">
        <v>3</v>
      </c>
      <c r="J1234" t="s">
        <v>50</v>
      </c>
    </row>
    <row r="1235" spans="1:10" x14ac:dyDescent="0.25">
      <c r="A1235" t="s">
        <v>7355</v>
      </c>
      <c r="B1235">
        <f>35878.079698636*(1/100/100)</f>
        <v>3.5878079698636003</v>
      </c>
      <c r="C1235">
        <v>13038</v>
      </c>
      <c r="D1235" t="s">
        <v>4144</v>
      </c>
      <c r="E1235">
        <v>31613</v>
      </c>
      <c r="F1235" t="s">
        <v>753</v>
      </c>
      <c r="G1235">
        <v>316</v>
      </c>
      <c r="H1235" t="s">
        <v>65</v>
      </c>
      <c r="I1235">
        <v>3</v>
      </c>
      <c r="J1235" t="s">
        <v>50</v>
      </c>
    </row>
    <row r="1236" spans="1:10" x14ac:dyDescent="0.25">
      <c r="A1236" t="s">
        <v>7355</v>
      </c>
      <c r="B1236">
        <f>5306.38216345004*(1/100/100)</f>
        <v>0.53063821634500408</v>
      </c>
      <c r="C1236">
        <v>13040</v>
      </c>
      <c r="D1236" t="s">
        <v>4169</v>
      </c>
      <c r="E1236">
        <v>31629</v>
      </c>
      <c r="F1236" t="s">
        <v>763</v>
      </c>
      <c r="G1236">
        <v>316</v>
      </c>
      <c r="H1236" t="s">
        <v>65</v>
      </c>
      <c r="I1236">
        <v>3</v>
      </c>
      <c r="J1236" t="s">
        <v>50</v>
      </c>
    </row>
    <row r="1237" spans="1:10" x14ac:dyDescent="0.25">
      <c r="A1237" t="s">
        <v>7355</v>
      </c>
      <c r="B1237">
        <f>111089.995669369*(1/100/100)</f>
        <v>11.108999566936902</v>
      </c>
      <c r="C1237">
        <v>13041</v>
      </c>
      <c r="D1237" t="s">
        <v>4218</v>
      </c>
      <c r="E1237">
        <v>31653</v>
      </c>
      <c r="F1237" t="s">
        <v>774</v>
      </c>
      <c r="G1237">
        <v>316</v>
      </c>
      <c r="H1237" t="s">
        <v>65</v>
      </c>
      <c r="I1237">
        <v>3</v>
      </c>
      <c r="J1237" t="s">
        <v>50</v>
      </c>
    </row>
    <row r="1238" spans="1:10" x14ac:dyDescent="0.25">
      <c r="A1238" t="s">
        <v>7355</v>
      </c>
      <c r="B1238">
        <f>50729.917535171*(1/100/100)</f>
        <v>5.0729917535171003</v>
      </c>
      <c r="C1238">
        <v>13042</v>
      </c>
      <c r="D1238" t="s">
        <v>4209</v>
      </c>
      <c r="E1238">
        <v>31650</v>
      </c>
      <c r="F1238" t="s">
        <v>771</v>
      </c>
      <c r="G1238">
        <v>316</v>
      </c>
      <c r="H1238" t="s">
        <v>65</v>
      </c>
      <c r="I1238">
        <v>3</v>
      </c>
      <c r="J1238" t="s">
        <v>50</v>
      </c>
    </row>
    <row r="1239" spans="1:10" x14ac:dyDescent="0.25">
      <c r="A1239" t="s">
        <v>7355</v>
      </c>
      <c r="B1239">
        <f>35682.3815594181*(1/100/100)</f>
        <v>3.5682381559418102</v>
      </c>
      <c r="C1239">
        <v>13043</v>
      </c>
      <c r="D1239" t="s">
        <v>4210</v>
      </c>
      <c r="E1239">
        <v>31650</v>
      </c>
      <c r="F1239" t="s">
        <v>771</v>
      </c>
      <c r="G1239">
        <v>316</v>
      </c>
      <c r="H1239" t="s">
        <v>65</v>
      </c>
      <c r="I1239">
        <v>3</v>
      </c>
      <c r="J1239" t="s">
        <v>50</v>
      </c>
    </row>
    <row r="1240" spans="1:10" x14ac:dyDescent="0.25">
      <c r="A1240" t="s">
        <v>7355</v>
      </c>
      <c r="B1240">
        <f>85733.7440210128*(1/100/100)</f>
        <v>8.5733744021012797</v>
      </c>
      <c r="C1240">
        <v>13044</v>
      </c>
      <c r="D1240" t="s">
        <v>4203</v>
      </c>
      <c r="E1240">
        <v>31649</v>
      </c>
      <c r="F1240" t="s">
        <v>770</v>
      </c>
      <c r="G1240">
        <v>316</v>
      </c>
      <c r="H1240" t="s">
        <v>65</v>
      </c>
      <c r="I1240">
        <v>3</v>
      </c>
      <c r="J1240" t="s">
        <v>50</v>
      </c>
    </row>
    <row r="1241" spans="1:10" x14ac:dyDescent="0.25">
      <c r="A1241" t="s">
        <v>7355</v>
      </c>
      <c r="B1241">
        <f>131695.737650924*(1/100/100)</f>
        <v>13.169573765092402</v>
      </c>
      <c r="C1241">
        <v>13045</v>
      </c>
      <c r="D1241" t="s">
        <v>773</v>
      </c>
      <c r="E1241">
        <v>31652</v>
      </c>
      <c r="F1241" t="s">
        <v>773</v>
      </c>
      <c r="G1241">
        <v>316</v>
      </c>
      <c r="H1241" t="s">
        <v>65</v>
      </c>
      <c r="I1241">
        <v>3</v>
      </c>
      <c r="J1241" t="s">
        <v>50</v>
      </c>
    </row>
    <row r="1242" spans="1:10" x14ac:dyDescent="0.25">
      <c r="A1242" t="s">
        <v>7355</v>
      </c>
      <c r="B1242">
        <f>11450.1851457251*(1/100/100)</f>
        <v>1.14501851457251</v>
      </c>
      <c r="C1242">
        <v>13046</v>
      </c>
      <c r="D1242" t="s">
        <v>4211</v>
      </c>
      <c r="E1242">
        <v>31650</v>
      </c>
      <c r="F1242" t="s">
        <v>771</v>
      </c>
      <c r="G1242">
        <v>316</v>
      </c>
      <c r="H1242" t="s">
        <v>65</v>
      </c>
      <c r="I1242">
        <v>3</v>
      </c>
      <c r="J1242" t="s">
        <v>50</v>
      </c>
    </row>
    <row r="1243" spans="1:10" x14ac:dyDescent="0.25">
      <c r="A1243" t="s">
        <v>7355</v>
      </c>
      <c r="B1243">
        <f>149834.230737267*(1/100/100)</f>
        <v>14.983423073726701</v>
      </c>
      <c r="C1243">
        <v>13047</v>
      </c>
      <c r="D1243" t="s">
        <v>771</v>
      </c>
      <c r="E1243">
        <v>31650</v>
      </c>
      <c r="F1243" t="s">
        <v>771</v>
      </c>
      <c r="G1243">
        <v>316</v>
      </c>
      <c r="H1243" t="s">
        <v>65</v>
      </c>
      <c r="I1243">
        <v>3</v>
      </c>
      <c r="J1243" t="s">
        <v>50</v>
      </c>
    </row>
    <row r="1244" spans="1:10" x14ac:dyDescent="0.25">
      <c r="A1244" t="s">
        <v>7355</v>
      </c>
      <c r="B1244">
        <f>43869.3517577704*(1/100/100)</f>
        <v>4.3869351757770403</v>
      </c>
      <c r="C1244">
        <v>13048</v>
      </c>
      <c r="D1244" t="s">
        <v>4170</v>
      </c>
      <c r="E1244">
        <v>31629</v>
      </c>
      <c r="F1244" t="s">
        <v>763</v>
      </c>
      <c r="G1244">
        <v>316</v>
      </c>
      <c r="H1244" t="s">
        <v>65</v>
      </c>
      <c r="I1244">
        <v>3</v>
      </c>
      <c r="J1244" t="s">
        <v>50</v>
      </c>
    </row>
    <row r="1245" spans="1:10" x14ac:dyDescent="0.25">
      <c r="A1245" t="s">
        <v>7355</v>
      </c>
      <c r="B1245">
        <f>39435.3650272543*(1/100/100)</f>
        <v>3.9435365027254305</v>
      </c>
      <c r="C1245">
        <v>13049</v>
      </c>
      <c r="D1245" t="s">
        <v>4204</v>
      </c>
      <c r="E1245">
        <v>31649</v>
      </c>
      <c r="F1245" t="s">
        <v>770</v>
      </c>
      <c r="G1245">
        <v>316</v>
      </c>
      <c r="H1245" t="s">
        <v>65</v>
      </c>
      <c r="I1245">
        <v>3</v>
      </c>
      <c r="J1245" t="s">
        <v>50</v>
      </c>
    </row>
    <row r="1246" spans="1:10" x14ac:dyDescent="0.25">
      <c r="A1246" t="s">
        <v>7355</v>
      </c>
      <c r="B1246">
        <f>15752.8271181894*(1/100/100)</f>
        <v>1.5752827118189401</v>
      </c>
      <c r="C1246">
        <v>13050</v>
      </c>
      <c r="D1246" t="s">
        <v>4145</v>
      </c>
      <c r="E1246">
        <v>31613</v>
      </c>
      <c r="F1246" t="s">
        <v>753</v>
      </c>
      <c r="G1246">
        <v>316</v>
      </c>
      <c r="H1246" t="s">
        <v>65</v>
      </c>
      <c r="I1246">
        <v>3</v>
      </c>
      <c r="J1246" t="s">
        <v>50</v>
      </c>
    </row>
    <row r="1247" spans="1:10" x14ac:dyDescent="0.25">
      <c r="A1247" t="s">
        <v>7355</v>
      </c>
      <c r="B1247">
        <f>211916.175727621*(1/100/100)</f>
        <v>21.191617572762102</v>
      </c>
      <c r="C1247">
        <v>13051</v>
      </c>
      <c r="D1247" t="s">
        <v>774</v>
      </c>
      <c r="E1247">
        <v>31653</v>
      </c>
      <c r="F1247" t="s">
        <v>774</v>
      </c>
      <c r="G1247">
        <v>316</v>
      </c>
      <c r="H1247" t="s">
        <v>65</v>
      </c>
      <c r="I1247">
        <v>3</v>
      </c>
      <c r="J1247" t="s">
        <v>50</v>
      </c>
    </row>
    <row r="1248" spans="1:10" x14ac:dyDescent="0.25">
      <c r="A1248" t="s">
        <v>7355</v>
      </c>
      <c r="B1248">
        <f>89104.1601090778*(1/100/100)</f>
        <v>8.910416010907781</v>
      </c>
      <c r="C1248">
        <v>13052</v>
      </c>
      <c r="D1248" t="s">
        <v>4205</v>
      </c>
      <c r="E1248">
        <v>31649</v>
      </c>
      <c r="F1248" t="s">
        <v>770</v>
      </c>
      <c r="G1248">
        <v>316</v>
      </c>
      <c r="H1248" t="s">
        <v>65</v>
      </c>
      <c r="I1248">
        <v>3</v>
      </c>
      <c r="J1248" t="s">
        <v>50</v>
      </c>
    </row>
    <row r="1249" spans="1:10" x14ac:dyDescent="0.25">
      <c r="A1249" t="s">
        <v>7355</v>
      </c>
      <c r="B1249">
        <f>113801.838408368*(1/100/100)</f>
        <v>11.3801838408368</v>
      </c>
      <c r="C1249">
        <v>13053</v>
      </c>
      <c r="D1249" t="s">
        <v>4171</v>
      </c>
      <c r="E1249">
        <v>31629</v>
      </c>
      <c r="F1249" t="s">
        <v>763</v>
      </c>
      <c r="G1249">
        <v>316</v>
      </c>
      <c r="H1249" t="s">
        <v>65</v>
      </c>
      <c r="I1249">
        <v>3</v>
      </c>
      <c r="J1249" t="s">
        <v>50</v>
      </c>
    </row>
    <row r="1250" spans="1:10" x14ac:dyDescent="0.25">
      <c r="A1250" t="s">
        <v>7355</v>
      </c>
      <c r="B1250">
        <f>61941.561014124*(1/100/100)</f>
        <v>6.1941561014124007</v>
      </c>
      <c r="C1250">
        <v>13054</v>
      </c>
      <c r="D1250" t="s">
        <v>4186</v>
      </c>
      <c r="E1250">
        <v>31634</v>
      </c>
      <c r="F1250" t="s">
        <v>4185</v>
      </c>
      <c r="G1250">
        <v>316</v>
      </c>
      <c r="H1250" t="s">
        <v>65</v>
      </c>
      <c r="I1250">
        <v>3</v>
      </c>
      <c r="J1250" t="s">
        <v>50</v>
      </c>
    </row>
    <row r="1251" spans="1:10" x14ac:dyDescent="0.25">
      <c r="A1251" t="s">
        <v>7355</v>
      </c>
      <c r="B1251">
        <f>55670.5742494392*(1/100/100)</f>
        <v>5.5670574249439202</v>
      </c>
      <c r="C1251">
        <v>13055</v>
      </c>
      <c r="D1251" t="s">
        <v>4146</v>
      </c>
      <c r="E1251">
        <v>31613</v>
      </c>
      <c r="F1251" t="s">
        <v>753</v>
      </c>
      <c r="G1251">
        <v>316</v>
      </c>
      <c r="H1251" t="s">
        <v>65</v>
      </c>
      <c r="I1251">
        <v>3</v>
      </c>
      <c r="J1251" t="s">
        <v>50</v>
      </c>
    </row>
    <row r="1252" spans="1:10" x14ac:dyDescent="0.25">
      <c r="A1252" t="s">
        <v>7355</v>
      </c>
      <c r="B1252">
        <f>144416.727278923*(1/100/100)</f>
        <v>14.441672727892302</v>
      </c>
      <c r="C1252">
        <v>13056</v>
      </c>
      <c r="D1252" t="s">
        <v>4151</v>
      </c>
      <c r="E1252">
        <v>31616</v>
      </c>
      <c r="F1252" t="s">
        <v>756</v>
      </c>
      <c r="G1252">
        <v>316</v>
      </c>
      <c r="H1252" t="s">
        <v>65</v>
      </c>
      <c r="I1252">
        <v>3</v>
      </c>
      <c r="J1252" t="s">
        <v>50</v>
      </c>
    </row>
    <row r="1253" spans="1:10" x14ac:dyDescent="0.25">
      <c r="A1253" t="s">
        <v>7355</v>
      </c>
      <c r="B1253">
        <f>76822.6228093689*(1/100/100)</f>
        <v>7.6822622809368903</v>
      </c>
      <c r="C1253">
        <v>13057</v>
      </c>
      <c r="D1253" t="s">
        <v>4206</v>
      </c>
      <c r="E1253">
        <v>31649</v>
      </c>
      <c r="F1253" t="s">
        <v>770</v>
      </c>
      <c r="G1253">
        <v>316</v>
      </c>
      <c r="H1253" t="s">
        <v>65</v>
      </c>
      <c r="I1253">
        <v>3</v>
      </c>
      <c r="J1253" t="s">
        <v>50</v>
      </c>
    </row>
    <row r="1254" spans="1:10" x14ac:dyDescent="0.25">
      <c r="A1254" t="s">
        <v>7355</v>
      </c>
      <c r="B1254">
        <f>54724.3279829968*(1/100/100)</f>
        <v>5.4724327982996801</v>
      </c>
      <c r="C1254">
        <v>14001</v>
      </c>
      <c r="D1254" t="s">
        <v>4072</v>
      </c>
      <c r="E1254">
        <v>31539</v>
      </c>
      <c r="F1254" t="s">
        <v>4073</v>
      </c>
      <c r="G1254">
        <v>315</v>
      </c>
      <c r="H1254" t="s">
        <v>64</v>
      </c>
      <c r="I1254">
        <v>3</v>
      </c>
      <c r="J1254" t="s">
        <v>50</v>
      </c>
    </row>
    <row r="1255" spans="1:10" x14ac:dyDescent="0.25">
      <c r="A1255" t="s">
        <v>7355</v>
      </c>
      <c r="B1255">
        <f>8467.75869951486*(1/100/100)</f>
        <v>0.84677586995148602</v>
      </c>
      <c r="C1255">
        <v>14002</v>
      </c>
      <c r="D1255" t="s">
        <v>3960</v>
      </c>
      <c r="E1255">
        <v>31513</v>
      </c>
      <c r="F1255" t="s">
        <v>717</v>
      </c>
      <c r="G1255">
        <v>315</v>
      </c>
      <c r="H1255" t="s">
        <v>64</v>
      </c>
      <c r="I1255">
        <v>3</v>
      </c>
      <c r="J1255" t="s">
        <v>50</v>
      </c>
    </row>
    <row r="1256" spans="1:10" x14ac:dyDescent="0.25">
      <c r="A1256" t="s">
        <v>7355</v>
      </c>
      <c r="B1256">
        <f>6004.90986322212*(1/100/100)</f>
        <v>0.60049098632221209</v>
      </c>
      <c r="C1256">
        <v>14003</v>
      </c>
      <c r="D1256" t="s">
        <v>3961</v>
      </c>
      <c r="E1256">
        <v>31513</v>
      </c>
      <c r="F1256" t="s">
        <v>717</v>
      </c>
      <c r="G1256">
        <v>315</v>
      </c>
      <c r="H1256" t="s">
        <v>64</v>
      </c>
      <c r="I1256">
        <v>3</v>
      </c>
      <c r="J1256" t="s">
        <v>50</v>
      </c>
    </row>
    <row r="1257" spans="1:10" x14ac:dyDescent="0.25">
      <c r="A1257" t="s">
        <v>7355</v>
      </c>
      <c r="B1257">
        <f>187855.881941864*(1/100/100)</f>
        <v>18.785588194186403</v>
      </c>
      <c r="C1257">
        <v>14005</v>
      </c>
      <c r="D1257" t="s">
        <v>710</v>
      </c>
      <c r="E1257">
        <v>31504</v>
      </c>
      <c r="F1257" t="s">
        <v>710</v>
      </c>
      <c r="G1257">
        <v>315</v>
      </c>
      <c r="H1257" t="s">
        <v>64</v>
      </c>
      <c r="I1257">
        <v>3</v>
      </c>
      <c r="J1257" t="s">
        <v>50</v>
      </c>
    </row>
    <row r="1258" spans="1:10" x14ac:dyDescent="0.25">
      <c r="A1258" t="s">
        <v>7355</v>
      </c>
      <c r="B1258">
        <f>7394.49286954301*(1/100/100)</f>
        <v>0.73944928695430101</v>
      </c>
      <c r="C1258">
        <v>14008</v>
      </c>
      <c r="D1258" t="s">
        <v>3962</v>
      </c>
      <c r="E1258">
        <v>31513</v>
      </c>
      <c r="F1258" t="s">
        <v>717</v>
      </c>
      <c r="G1258">
        <v>315</v>
      </c>
      <c r="H1258" t="s">
        <v>64</v>
      </c>
      <c r="I1258">
        <v>3</v>
      </c>
      <c r="J1258" t="s">
        <v>50</v>
      </c>
    </row>
    <row r="1259" spans="1:10" x14ac:dyDescent="0.25">
      <c r="A1259" t="s">
        <v>7355</v>
      </c>
      <c r="B1259">
        <f>5679.25164060697*(1/100/100)</f>
        <v>0.56792516406069704</v>
      </c>
      <c r="C1259">
        <v>14011</v>
      </c>
      <c r="D1259" t="s">
        <v>1642</v>
      </c>
      <c r="E1259">
        <v>31551</v>
      </c>
      <c r="F1259" t="s">
        <v>741</v>
      </c>
      <c r="G1259">
        <v>315</v>
      </c>
      <c r="H1259" t="s">
        <v>64</v>
      </c>
      <c r="I1259">
        <v>3</v>
      </c>
      <c r="J1259" t="s">
        <v>50</v>
      </c>
    </row>
    <row r="1260" spans="1:10" x14ac:dyDescent="0.25">
      <c r="A1260" t="s">
        <v>7355</v>
      </c>
      <c r="B1260">
        <f>47172.0309452421*(1/100/100)</f>
        <v>4.7172030945242103</v>
      </c>
      <c r="C1260">
        <v>14012</v>
      </c>
      <c r="D1260" t="s">
        <v>3112</v>
      </c>
      <c r="E1260">
        <v>31515</v>
      </c>
      <c r="F1260" t="s">
        <v>719</v>
      </c>
      <c r="G1260">
        <v>315</v>
      </c>
      <c r="H1260" t="s">
        <v>64</v>
      </c>
      <c r="I1260">
        <v>3</v>
      </c>
      <c r="J1260" t="s">
        <v>50</v>
      </c>
    </row>
    <row r="1261" spans="1:10" x14ac:dyDescent="0.25">
      <c r="A1261" t="s">
        <v>7355</v>
      </c>
      <c r="B1261">
        <f>44163.0702227172*(1/100/100)</f>
        <v>4.4163070222717202</v>
      </c>
      <c r="C1261">
        <v>14014</v>
      </c>
      <c r="D1261" t="s">
        <v>4067</v>
      </c>
      <c r="E1261">
        <v>31537</v>
      </c>
      <c r="F1261" t="s">
        <v>735</v>
      </c>
      <c r="G1261">
        <v>315</v>
      </c>
      <c r="H1261" t="s">
        <v>64</v>
      </c>
      <c r="I1261">
        <v>3</v>
      </c>
      <c r="J1261" t="s">
        <v>50</v>
      </c>
    </row>
    <row r="1262" spans="1:10" x14ac:dyDescent="0.25">
      <c r="A1262" t="s">
        <v>7355</v>
      </c>
      <c r="B1262">
        <f>71555.1896364877*(1/100/100)</f>
        <v>7.1555189636487704</v>
      </c>
      <c r="C1262">
        <v>14016</v>
      </c>
      <c r="D1262" t="s">
        <v>4074</v>
      </c>
      <c r="E1262">
        <v>31539</v>
      </c>
      <c r="F1262" t="s">
        <v>4073</v>
      </c>
      <c r="G1262">
        <v>315</v>
      </c>
      <c r="H1262" t="s">
        <v>64</v>
      </c>
      <c r="I1262">
        <v>3</v>
      </c>
      <c r="J1262" t="s">
        <v>50</v>
      </c>
    </row>
    <row r="1263" spans="1:10" x14ac:dyDescent="0.25">
      <c r="A1263" t="s">
        <v>7355</v>
      </c>
      <c r="B1263">
        <f>58478.6619267425*(1/100/100)</f>
        <v>5.8478661926742497</v>
      </c>
      <c r="C1263">
        <v>14017</v>
      </c>
      <c r="D1263" t="s">
        <v>2990</v>
      </c>
      <c r="E1263">
        <v>31521</v>
      </c>
      <c r="F1263" t="s">
        <v>724</v>
      </c>
      <c r="G1263">
        <v>315</v>
      </c>
      <c r="H1263" t="s">
        <v>64</v>
      </c>
      <c r="I1263">
        <v>3</v>
      </c>
      <c r="J1263" t="s">
        <v>50</v>
      </c>
    </row>
    <row r="1264" spans="1:10" x14ac:dyDescent="0.25">
      <c r="A1264" t="s">
        <v>7355</v>
      </c>
      <c r="B1264">
        <f>52948.8934926492*(1/100/100)</f>
        <v>5.2948893492649205</v>
      </c>
      <c r="C1264">
        <v>14020</v>
      </c>
      <c r="D1264" t="s">
        <v>3963</v>
      </c>
      <c r="E1264">
        <v>31513</v>
      </c>
      <c r="F1264" t="s">
        <v>717</v>
      </c>
      <c r="G1264">
        <v>315</v>
      </c>
      <c r="H1264" t="s">
        <v>64</v>
      </c>
      <c r="I1264">
        <v>3</v>
      </c>
      <c r="J1264" t="s">
        <v>50</v>
      </c>
    </row>
    <row r="1265" spans="1:10" x14ac:dyDescent="0.25">
      <c r="A1265" t="s">
        <v>7355</v>
      </c>
      <c r="B1265">
        <f>20411.9211991705*(1/100/100)</f>
        <v>2.0411921199170502</v>
      </c>
      <c r="C1265">
        <v>14021</v>
      </c>
      <c r="D1265" t="s">
        <v>3964</v>
      </c>
      <c r="E1265">
        <v>31513</v>
      </c>
      <c r="F1265" t="s">
        <v>717</v>
      </c>
      <c r="G1265">
        <v>315</v>
      </c>
      <c r="H1265" t="s">
        <v>64</v>
      </c>
      <c r="I1265">
        <v>3</v>
      </c>
      <c r="J1265" t="s">
        <v>50</v>
      </c>
    </row>
    <row r="1266" spans="1:10" x14ac:dyDescent="0.25">
      <c r="A1266" t="s">
        <v>7355</v>
      </c>
      <c r="B1266">
        <f>45070.1650580088*(1/100/100)</f>
        <v>4.5070165058008804</v>
      </c>
      <c r="C1266">
        <v>14022</v>
      </c>
      <c r="D1266" t="s">
        <v>3977</v>
      </c>
      <c r="E1266">
        <v>31514</v>
      </c>
      <c r="F1266" t="s">
        <v>718</v>
      </c>
      <c r="G1266">
        <v>315</v>
      </c>
      <c r="H1266" t="s">
        <v>64</v>
      </c>
      <c r="I1266">
        <v>3</v>
      </c>
      <c r="J1266" t="s">
        <v>50</v>
      </c>
    </row>
    <row r="1267" spans="1:10" x14ac:dyDescent="0.25">
      <c r="A1267" t="s">
        <v>7355</v>
      </c>
      <c r="B1267">
        <f>63074.5591419203*(1/100/100)</f>
        <v>6.3074559141920297</v>
      </c>
      <c r="C1267">
        <v>14023</v>
      </c>
      <c r="D1267" t="s">
        <v>3978</v>
      </c>
      <c r="E1267">
        <v>31514</v>
      </c>
      <c r="F1267" t="s">
        <v>718</v>
      </c>
      <c r="G1267">
        <v>315</v>
      </c>
      <c r="H1267" t="s">
        <v>64</v>
      </c>
      <c r="I1267">
        <v>3</v>
      </c>
      <c r="J1267" t="s">
        <v>50</v>
      </c>
    </row>
    <row r="1268" spans="1:10" x14ac:dyDescent="0.25">
      <c r="A1268" t="s">
        <v>7355</v>
      </c>
      <c r="B1268">
        <f>66516.0707373366*(1/100/100)</f>
        <v>6.6516070737336603</v>
      </c>
      <c r="C1268">
        <v>14026</v>
      </c>
      <c r="D1268" t="s">
        <v>717</v>
      </c>
      <c r="E1268">
        <v>31513</v>
      </c>
      <c r="F1268" t="s">
        <v>717</v>
      </c>
      <c r="G1268">
        <v>315</v>
      </c>
      <c r="H1268" t="s">
        <v>64</v>
      </c>
      <c r="I1268">
        <v>3</v>
      </c>
      <c r="J1268" t="s">
        <v>50</v>
      </c>
    </row>
    <row r="1269" spans="1:10" x14ac:dyDescent="0.25">
      <c r="A1269" t="s">
        <v>7355</v>
      </c>
      <c r="B1269">
        <f>93003.4864921998*(1/100/100)</f>
        <v>9.3003486492199805</v>
      </c>
      <c r="C1269">
        <v>14027</v>
      </c>
      <c r="D1269" t="s">
        <v>3965</v>
      </c>
      <c r="E1269">
        <v>31513</v>
      </c>
      <c r="F1269" t="s">
        <v>717</v>
      </c>
      <c r="G1269">
        <v>315</v>
      </c>
      <c r="H1269" t="s">
        <v>64</v>
      </c>
      <c r="I1269">
        <v>3</v>
      </c>
      <c r="J1269" t="s">
        <v>50</v>
      </c>
    </row>
    <row r="1270" spans="1:10" x14ac:dyDescent="0.25">
      <c r="A1270" t="s">
        <v>7355</v>
      </c>
      <c r="B1270">
        <f>69564.277007637*(1/100/100)</f>
        <v>6.956427700763701</v>
      </c>
      <c r="C1270">
        <v>14028</v>
      </c>
      <c r="D1270" t="s">
        <v>3992</v>
      </c>
      <c r="E1270">
        <v>31521</v>
      </c>
      <c r="F1270" t="s">
        <v>724</v>
      </c>
      <c r="G1270">
        <v>315</v>
      </c>
      <c r="H1270" t="s">
        <v>64</v>
      </c>
      <c r="I1270">
        <v>3</v>
      </c>
      <c r="J1270" t="s">
        <v>50</v>
      </c>
    </row>
    <row r="1271" spans="1:10" x14ac:dyDescent="0.25">
      <c r="A1271" t="s">
        <v>7355</v>
      </c>
      <c r="B1271">
        <f>48789.5262494386*(1/100/100)</f>
        <v>4.8789526249438602</v>
      </c>
      <c r="C1271">
        <v>14029</v>
      </c>
      <c r="D1271" t="s">
        <v>3979</v>
      </c>
      <c r="E1271">
        <v>31514</v>
      </c>
      <c r="F1271" t="s">
        <v>718</v>
      </c>
      <c r="G1271">
        <v>315</v>
      </c>
      <c r="H1271" t="s">
        <v>64</v>
      </c>
      <c r="I1271">
        <v>3</v>
      </c>
      <c r="J1271" t="s">
        <v>50</v>
      </c>
    </row>
    <row r="1272" spans="1:10" x14ac:dyDescent="0.25">
      <c r="A1272" t="s">
        <v>7355</v>
      </c>
      <c r="B1272">
        <f>163445.940542214*(1/100/100)</f>
        <v>16.3445940542214</v>
      </c>
      <c r="C1272">
        <v>14030</v>
      </c>
      <c r="D1272" t="s">
        <v>718</v>
      </c>
      <c r="E1272">
        <v>31514</v>
      </c>
      <c r="F1272" t="s">
        <v>718</v>
      </c>
      <c r="G1272">
        <v>315</v>
      </c>
      <c r="H1272" t="s">
        <v>64</v>
      </c>
      <c r="I1272">
        <v>3</v>
      </c>
      <c r="J1272" t="s">
        <v>50</v>
      </c>
    </row>
    <row r="1273" spans="1:10" x14ac:dyDescent="0.25">
      <c r="A1273" t="s">
        <v>7355</v>
      </c>
      <c r="B1273">
        <f>90822.3624148094*(1/100/100)</f>
        <v>9.0822362414809401</v>
      </c>
      <c r="C1273">
        <v>14031</v>
      </c>
      <c r="D1273" t="s">
        <v>3048</v>
      </c>
      <c r="E1273">
        <v>31515</v>
      </c>
      <c r="F1273" t="s">
        <v>719</v>
      </c>
      <c r="G1273">
        <v>315</v>
      </c>
      <c r="H1273" t="s">
        <v>64</v>
      </c>
      <c r="I1273">
        <v>3</v>
      </c>
      <c r="J1273" t="s">
        <v>50</v>
      </c>
    </row>
    <row r="1274" spans="1:10" x14ac:dyDescent="0.25">
      <c r="A1274" t="s">
        <v>7355</v>
      </c>
      <c r="B1274">
        <f>2266.71395896544*(1/100/100)</f>
        <v>0.226671395896544</v>
      </c>
      <c r="C1274">
        <v>14033</v>
      </c>
      <c r="D1274" t="s">
        <v>3966</v>
      </c>
      <c r="E1274">
        <v>31513</v>
      </c>
      <c r="F1274" t="s">
        <v>717</v>
      </c>
      <c r="G1274">
        <v>315</v>
      </c>
      <c r="H1274" t="s">
        <v>64</v>
      </c>
      <c r="I1274">
        <v>3</v>
      </c>
      <c r="J1274" t="s">
        <v>50</v>
      </c>
    </row>
    <row r="1275" spans="1:10" x14ac:dyDescent="0.25">
      <c r="A1275" t="s">
        <v>7355</v>
      </c>
      <c r="B1275">
        <f>13679.9794396235*(1/100/100)</f>
        <v>1.36799794396235</v>
      </c>
      <c r="C1275">
        <v>14035</v>
      </c>
      <c r="D1275" t="s">
        <v>3993</v>
      </c>
      <c r="E1275">
        <v>31521</v>
      </c>
      <c r="F1275" t="s">
        <v>724</v>
      </c>
      <c r="G1275">
        <v>315</v>
      </c>
      <c r="H1275" t="s">
        <v>64</v>
      </c>
      <c r="I1275">
        <v>3</v>
      </c>
      <c r="J1275" t="s">
        <v>50</v>
      </c>
    </row>
    <row r="1276" spans="1:10" x14ac:dyDescent="0.25">
      <c r="A1276" t="s">
        <v>7355</v>
      </c>
      <c r="B1276">
        <f>187053.44238658*(1/100/100)</f>
        <v>18.705344238658</v>
      </c>
      <c r="C1276">
        <v>14038</v>
      </c>
      <c r="D1276" t="s">
        <v>724</v>
      </c>
      <c r="E1276">
        <v>31521</v>
      </c>
      <c r="F1276" t="s">
        <v>724</v>
      </c>
      <c r="G1276">
        <v>315</v>
      </c>
      <c r="H1276" t="s">
        <v>64</v>
      </c>
      <c r="I1276">
        <v>3</v>
      </c>
      <c r="J1276" t="s">
        <v>50</v>
      </c>
    </row>
    <row r="1277" spans="1:10" x14ac:dyDescent="0.25">
      <c r="A1277" t="s">
        <v>7355</v>
      </c>
      <c r="B1277">
        <f>41326.0316073963*(1/100/100)</f>
        <v>4.1326031607396301</v>
      </c>
      <c r="C1277">
        <v>14039</v>
      </c>
      <c r="D1277" t="s">
        <v>3898</v>
      </c>
      <c r="E1277">
        <v>31515</v>
      </c>
      <c r="F1277" t="s">
        <v>719</v>
      </c>
      <c r="G1277">
        <v>315</v>
      </c>
      <c r="H1277" t="s">
        <v>64</v>
      </c>
      <c r="I1277">
        <v>3</v>
      </c>
      <c r="J1277" t="s">
        <v>50</v>
      </c>
    </row>
    <row r="1278" spans="1:10" x14ac:dyDescent="0.25">
      <c r="A1278" t="s">
        <v>7355</v>
      </c>
      <c r="B1278">
        <f>9589.0536866407*(1/100/100)</f>
        <v>0.95890536866407006</v>
      </c>
      <c r="C1278">
        <v>14040</v>
      </c>
      <c r="D1278" t="s">
        <v>3967</v>
      </c>
      <c r="E1278">
        <v>31513</v>
      </c>
      <c r="F1278" t="s">
        <v>717</v>
      </c>
      <c r="G1278">
        <v>315</v>
      </c>
      <c r="H1278" t="s">
        <v>64</v>
      </c>
      <c r="I1278">
        <v>3</v>
      </c>
      <c r="J1278" t="s">
        <v>50</v>
      </c>
    </row>
    <row r="1279" spans="1:10" x14ac:dyDescent="0.25">
      <c r="A1279" t="s">
        <v>7355</v>
      </c>
      <c r="B1279">
        <f>7563.50892094208*(1/100/100)</f>
        <v>0.75635089209420803</v>
      </c>
      <c r="C1279">
        <v>14041</v>
      </c>
      <c r="D1279" t="s">
        <v>3968</v>
      </c>
      <c r="E1279">
        <v>31513</v>
      </c>
      <c r="F1279" t="s">
        <v>717</v>
      </c>
      <c r="G1279">
        <v>315</v>
      </c>
      <c r="H1279" t="s">
        <v>64</v>
      </c>
      <c r="I1279">
        <v>3</v>
      </c>
      <c r="J1279" t="s">
        <v>50</v>
      </c>
    </row>
    <row r="1280" spans="1:10" x14ac:dyDescent="0.25">
      <c r="A1280" t="s">
        <v>7355</v>
      </c>
      <c r="B1280">
        <f>3247.23583387293*(1/100/100)</f>
        <v>0.32472358338729301</v>
      </c>
      <c r="C1280">
        <v>14042</v>
      </c>
      <c r="D1280" t="s">
        <v>3969</v>
      </c>
      <c r="E1280">
        <v>31513</v>
      </c>
      <c r="F1280" t="s">
        <v>717</v>
      </c>
      <c r="G1280">
        <v>315</v>
      </c>
      <c r="H1280" t="s">
        <v>64</v>
      </c>
      <c r="I1280">
        <v>3</v>
      </c>
      <c r="J1280" t="s">
        <v>50</v>
      </c>
    </row>
    <row r="1281" spans="1:10" x14ac:dyDescent="0.25">
      <c r="A1281" t="s">
        <v>7355</v>
      </c>
      <c r="B1281">
        <f>14300.8758809787*(1/100/100)</f>
        <v>1.4300875880978701</v>
      </c>
      <c r="C1281">
        <v>14043</v>
      </c>
      <c r="D1281" t="s">
        <v>3970</v>
      </c>
      <c r="E1281">
        <v>31513</v>
      </c>
      <c r="F1281" t="s">
        <v>717</v>
      </c>
      <c r="G1281">
        <v>315</v>
      </c>
      <c r="H1281" t="s">
        <v>64</v>
      </c>
      <c r="I1281">
        <v>3</v>
      </c>
      <c r="J1281" t="s">
        <v>50</v>
      </c>
    </row>
    <row r="1282" spans="1:10" x14ac:dyDescent="0.25">
      <c r="A1282" t="s">
        <v>7355</v>
      </c>
      <c r="B1282">
        <f>11986.4728939253*(1/100/100)</f>
        <v>1.19864728939253</v>
      </c>
      <c r="C1282">
        <v>14044</v>
      </c>
      <c r="D1282" t="s">
        <v>3971</v>
      </c>
      <c r="E1282">
        <v>31513</v>
      </c>
      <c r="F1282" t="s">
        <v>717</v>
      </c>
      <c r="G1282">
        <v>315</v>
      </c>
      <c r="H1282" t="s">
        <v>64</v>
      </c>
      <c r="I1282">
        <v>3</v>
      </c>
      <c r="J1282" t="s">
        <v>50</v>
      </c>
    </row>
    <row r="1283" spans="1:10" x14ac:dyDescent="0.25">
      <c r="A1283" t="s">
        <v>7355</v>
      </c>
      <c r="B1283">
        <f>5707.74170957745*(1/100/100)</f>
        <v>0.57077417095774496</v>
      </c>
      <c r="C1283">
        <v>14045</v>
      </c>
      <c r="D1283" t="s">
        <v>3972</v>
      </c>
      <c r="E1283">
        <v>31513</v>
      </c>
      <c r="F1283" t="s">
        <v>717</v>
      </c>
      <c r="G1283">
        <v>315</v>
      </c>
      <c r="H1283" t="s">
        <v>64</v>
      </c>
      <c r="I1283">
        <v>3</v>
      </c>
      <c r="J1283" t="s">
        <v>50</v>
      </c>
    </row>
    <row r="1284" spans="1:10" x14ac:dyDescent="0.25">
      <c r="A1284" t="s">
        <v>7355</v>
      </c>
      <c r="B1284">
        <f>70347.1579279624*(1/100/100)</f>
        <v>7.0347157927962405</v>
      </c>
      <c r="C1284">
        <v>14046</v>
      </c>
      <c r="D1284" t="s">
        <v>4068</v>
      </c>
      <c r="E1284">
        <v>31537</v>
      </c>
      <c r="F1284" t="s">
        <v>735</v>
      </c>
      <c r="G1284">
        <v>315</v>
      </c>
      <c r="H1284" t="s">
        <v>64</v>
      </c>
      <c r="I1284">
        <v>3</v>
      </c>
      <c r="J1284" t="s">
        <v>50</v>
      </c>
    </row>
    <row r="1285" spans="1:10" x14ac:dyDescent="0.25">
      <c r="A1285" t="s">
        <v>7355</v>
      </c>
      <c r="B1285">
        <f>39420.0868964028*(1/100/100)</f>
        <v>3.94200868964028</v>
      </c>
      <c r="C1285">
        <v>14048</v>
      </c>
      <c r="D1285" t="s">
        <v>4109</v>
      </c>
      <c r="E1285">
        <v>31551</v>
      </c>
      <c r="F1285" t="s">
        <v>741</v>
      </c>
      <c r="G1285">
        <v>315</v>
      </c>
      <c r="H1285" t="s">
        <v>64</v>
      </c>
      <c r="I1285">
        <v>3</v>
      </c>
      <c r="J1285" t="s">
        <v>50</v>
      </c>
    </row>
    <row r="1286" spans="1:10" x14ac:dyDescent="0.25">
      <c r="A1286" t="s">
        <v>7355</v>
      </c>
      <c r="B1286">
        <f>16645.5301297918*(1/100/100)</f>
        <v>1.6645530129791801</v>
      </c>
      <c r="C1286">
        <v>14050</v>
      </c>
      <c r="D1286" t="s">
        <v>3973</v>
      </c>
      <c r="E1286">
        <v>31513</v>
      </c>
      <c r="F1286" t="s">
        <v>717</v>
      </c>
      <c r="G1286">
        <v>315</v>
      </c>
      <c r="H1286" t="s">
        <v>64</v>
      </c>
      <c r="I1286">
        <v>3</v>
      </c>
      <c r="J1286" t="s">
        <v>50</v>
      </c>
    </row>
    <row r="1287" spans="1:10" x14ac:dyDescent="0.25">
      <c r="A1287" t="s">
        <v>7355</v>
      </c>
      <c r="B1287">
        <f>88916.6313670935*(1/100/100)</f>
        <v>8.8916631367093508</v>
      </c>
      <c r="C1287">
        <v>14052</v>
      </c>
      <c r="D1287" t="s">
        <v>4069</v>
      </c>
      <c r="E1287">
        <v>31537</v>
      </c>
      <c r="F1287" t="s">
        <v>735</v>
      </c>
      <c r="G1287">
        <v>315</v>
      </c>
      <c r="H1287" t="s">
        <v>64</v>
      </c>
      <c r="I1287">
        <v>3</v>
      </c>
      <c r="J1287" t="s">
        <v>50</v>
      </c>
    </row>
    <row r="1288" spans="1:10" x14ac:dyDescent="0.25">
      <c r="A1288" t="s">
        <v>7355</v>
      </c>
      <c r="B1288">
        <f>36561.0391915117*(1/100/100)</f>
        <v>3.6561039191511702</v>
      </c>
      <c r="C1288">
        <v>14053</v>
      </c>
      <c r="D1288" t="s">
        <v>3980</v>
      </c>
      <c r="E1288">
        <v>31514</v>
      </c>
      <c r="F1288" t="s">
        <v>718</v>
      </c>
      <c r="G1288">
        <v>315</v>
      </c>
      <c r="H1288" t="s">
        <v>64</v>
      </c>
      <c r="I1288">
        <v>3</v>
      </c>
      <c r="J1288" t="s">
        <v>50</v>
      </c>
    </row>
    <row r="1289" spans="1:10" x14ac:dyDescent="0.25">
      <c r="A1289" t="s">
        <v>7355</v>
      </c>
      <c r="B1289">
        <f>41049.2810164901*(1/100/100)</f>
        <v>4.1049281016490102</v>
      </c>
      <c r="C1289">
        <v>14056</v>
      </c>
      <c r="D1289" t="s">
        <v>4070</v>
      </c>
      <c r="E1289">
        <v>31537</v>
      </c>
      <c r="F1289" t="s">
        <v>735</v>
      </c>
      <c r="G1289">
        <v>315</v>
      </c>
      <c r="H1289" t="s">
        <v>64</v>
      </c>
      <c r="I1289">
        <v>3</v>
      </c>
      <c r="J1289" t="s">
        <v>50</v>
      </c>
    </row>
    <row r="1290" spans="1:10" x14ac:dyDescent="0.25">
      <c r="A1290" t="s">
        <v>7355</v>
      </c>
      <c r="B1290">
        <f>231711.846395529*(1/100/100)</f>
        <v>23.171184639552902</v>
      </c>
      <c r="C1290">
        <v>14057</v>
      </c>
      <c r="D1290" t="s">
        <v>4075</v>
      </c>
      <c r="E1290">
        <v>31539</v>
      </c>
      <c r="F1290" t="s">
        <v>4073</v>
      </c>
      <c r="G1290">
        <v>315</v>
      </c>
      <c r="H1290" t="s">
        <v>64</v>
      </c>
      <c r="I1290">
        <v>3</v>
      </c>
      <c r="J1290" t="s">
        <v>50</v>
      </c>
    </row>
    <row r="1291" spans="1:10" x14ac:dyDescent="0.25">
      <c r="A1291" t="s">
        <v>7355</v>
      </c>
      <c r="B1291">
        <f>90976.6613288552*(1/100/100)</f>
        <v>9.0976661328855215</v>
      </c>
      <c r="C1291">
        <v>14058</v>
      </c>
      <c r="D1291" t="s">
        <v>735</v>
      </c>
      <c r="E1291">
        <v>31537</v>
      </c>
      <c r="F1291" t="s">
        <v>735</v>
      </c>
      <c r="G1291">
        <v>315</v>
      </c>
      <c r="H1291" t="s">
        <v>64</v>
      </c>
      <c r="I1291">
        <v>3</v>
      </c>
      <c r="J1291" t="s">
        <v>50</v>
      </c>
    </row>
    <row r="1292" spans="1:10" x14ac:dyDescent="0.25">
      <c r="A1292" t="s">
        <v>7355</v>
      </c>
      <c r="B1292">
        <f>34382.0651979793*(1/100/100)</f>
        <v>3.4382065197979297</v>
      </c>
      <c r="C1292">
        <v>14060</v>
      </c>
      <c r="D1292" t="s">
        <v>4110</v>
      </c>
      <c r="E1292">
        <v>31551</v>
      </c>
      <c r="F1292" t="s">
        <v>741</v>
      </c>
      <c r="G1292">
        <v>315</v>
      </c>
      <c r="H1292" t="s">
        <v>64</v>
      </c>
      <c r="I1292">
        <v>3</v>
      </c>
      <c r="J1292" t="s">
        <v>50</v>
      </c>
    </row>
    <row r="1293" spans="1:10" x14ac:dyDescent="0.25">
      <c r="A1293" t="s">
        <v>7355</v>
      </c>
      <c r="B1293">
        <f>91673.9060883774*(1/100/100)</f>
        <v>9.1673906088377404</v>
      </c>
      <c r="C1293">
        <v>14061</v>
      </c>
      <c r="D1293" t="s">
        <v>4073</v>
      </c>
      <c r="E1293">
        <v>31539</v>
      </c>
      <c r="F1293" t="s">
        <v>4073</v>
      </c>
      <c r="G1293">
        <v>315</v>
      </c>
      <c r="H1293" t="s">
        <v>64</v>
      </c>
      <c r="I1293">
        <v>3</v>
      </c>
      <c r="J1293" t="s">
        <v>50</v>
      </c>
    </row>
    <row r="1294" spans="1:10" x14ac:dyDescent="0.25">
      <c r="A1294" t="s">
        <v>7355</v>
      </c>
      <c r="B1294">
        <f>7732.50804106688*(1/100/100)</f>
        <v>0.77325080410668801</v>
      </c>
      <c r="C1294">
        <v>14062</v>
      </c>
      <c r="D1294" t="s">
        <v>3974</v>
      </c>
      <c r="E1294">
        <v>31513</v>
      </c>
      <c r="F1294" t="s">
        <v>717</v>
      </c>
      <c r="G1294">
        <v>315</v>
      </c>
      <c r="H1294" t="s">
        <v>64</v>
      </c>
      <c r="I1294">
        <v>3</v>
      </c>
      <c r="J1294" t="s">
        <v>50</v>
      </c>
    </row>
    <row r="1295" spans="1:10" x14ac:dyDescent="0.25">
      <c r="A1295" t="s">
        <v>7355</v>
      </c>
      <c r="B1295">
        <f>12197.3989567081*(1/100/100)</f>
        <v>1.2197398956708101</v>
      </c>
      <c r="C1295">
        <v>14067</v>
      </c>
      <c r="D1295" t="s">
        <v>4111</v>
      </c>
      <c r="E1295">
        <v>31551</v>
      </c>
      <c r="F1295" t="s">
        <v>741</v>
      </c>
      <c r="G1295">
        <v>315</v>
      </c>
      <c r="H1295" t="s">
        <v>64</v>
      </c>
      <c r="I1295">
        <v>3</v>
      </c>
      <c r="J1295" t="s">
        <v>50</v>
      </c>
    </row>
    <row r="1296" spans="1:10" x14ac:dyDescent="0.25">
      <c r="A1296" t="s">
        <v>7355</v>
      </c>
      <c r="B1296">
        <f>14673.5138960563*(1/100/100)</f>
        <v>1.4673513896056301</v>
      </c>
      <c r="C1296">
        <v>14068</v>
      </c>
      <c r="D1296" t="s">
        <v>509</v>
      </c>
      <c r="E1296">
        <v>31513</v>
      </c>
      <c r="F1296" t="s">
        <v>717</v>
      </c>
      <c r="G1296">
        <v>315</v>
      </c>
      <c r="H1296" t="s">
        <v>64</v>
      </c>
      <c r="I1296">
        <v>3</v>
      </c>
      <c r="J1296" t="s">
        <v>50</v>
      </c>
    </row>
    <row r="1297" spans="1:10" x14ac:dyDescent="0.25">
      <c r="A1297" t="s">
        <v>7355</v>
      </c>
      <c r="B1297">
        <f>41856.5001799606*(1/100/100)</f>
        <v>4.1856500179960605</v>
      </c>
      <c r="C1297">
        <v>14071</v>
      </c>
      <c r="D1297" t="s">
        <v>4112</v>
      </c>
      <c r="E1297">
        <v>31551</v>
      </c>
      <c r="F1297" t="s">
        <v>741</v>
      </c>
      <c r="G1297">
        <v>315</v>
      </c>
      <c r="H1297" t="s">
        <v>64</v>
      </c>
      <c r="I1297">
        <v>3</v>
      </c>
      <c r="J1297" t="s">
        <v>50</v>
      </c>
    </row>
    <row r="1298" spans="1:10" x14ac:dyDescent="0.25">
      <c r="A1298" t="s">
        <v>7355</v>
      </c>
      <c r="B1298">
        <f>96206.9885930932*(1/100/100)</f>
        <v>9.6206988593093214</v>
      </c>
      <c r="C1298">
        <v>14072</v>
      </c>
      <c r="D1298" t="s">
        <v>3994</v>
      </c>
      <c r="E1298">
        <v>31521</v>
      </c>
      <c r="F1298" t="s">
        <v>724</v>
      </c>
      <c r="G1298">
        <v>315</v>
      </c>
      <c r="H1298" t="s">
        <v>64</v>
      </c>
      <c r="I1298">
        <v>3</v>
      </c>
      <c r="J1298" t="s">
        <v>50</v>
      </c>
    </row>
    <row r="1299" spans="1:10" x14ac:dyDescent="0.25">
      <c r="A1299" t="s">
        <v>7355</v>
      </c>
      <c r="B1299">
        <f>58646.3321415194*(1/100/100)</f>
        <v>5.8646332141519402</v>
      </c>
      <c r="C1299">
        <v>14074</v>
      </c>
      <c r="D1299" t="s">
        <v>4113</v>
      </c>
      <c r="E1299">
        <v>31551</v>
      </c>
      <c r="F1299" t="s">
        <v>741</v>
      </c>
      <c r="G1299">
        <v>315</v>
      </c>
      <c r="H1299" t="s">
        <v>64</v>
      </c>
      <c r="I1299">
        <v>3</v>
      </c>
      <c r="J1299" t="s">
        <v>50</v>
      </c>
    </row>
    <row r="1300" spans="1:10" x14ac:dyDescent="0.25">
      <c r="A1300" t="s">
        <v>7355</v>
      </c>
      <c r="B1300">
        <f>50322.0262018394*(1/100/100)</f>
        <v>5.0322026201839405</v>
      </c>
      <c r="C1300">
        <v>14075</v>
      </c>
      <c r="D1300" t="s">
        <v>3981</v>
      </c>
      <c r="E1300">
        <v>31514</v>
      </c>
      <c r="F1300" t="s">
        <v>718</v>
      </c>
      <c r="G1300">
        <v>315</v>
      </c>
      <c r="H1300" t="s">
        <v>64</v>
      </c>
      <c r="I1300">
        <v>3</v>
      </c>
      <c r="J1300" t="s">
        <v>50</v>
      </c>
    </row>
    <row r="1301" spans="1:10" x14ac:dyDescent="0.25">
      <c r="A1301" t="s">
        <v>7355</v>
      </c>
      <c r="B1301">
        <f>26766.2856829725*(1/100/100)</f>
        <v>2.6766285682972502</v>
      </c>
      <c r="C1301">
        <v>14076</v>
      </c>
      <c r="D1301" t="s">
        <v>3952</v>
      </c>
      <c r="E1301">
        <v>31514</v>
      </c>
      <c r="F1301" t="s">
        <v>718</v>
      </c>
      <c r="G1301">
        <v>315</v>
      </c>
      <c r="H1301" t="s">
        <v>64</v>
      </c>
      <c r="I1301">
        <v>3</v>
      </c>
      <c r="J1301" t="s">
        <v>50</v>
      </c>
    </row>
    <row r="1302" spans="1:10" x14ac:dyDescent="0.25">
      <c r="A1302" t="s">
        <v>7355</v>
      </c>
      <c r="B1302">
        <f>10617.2431333148*(1/100/100)</f>
        <v>1.06172431333148</v>
      </c>
      <c r="C1302">
        <v>14077</v>
      </c>
      <c r="D1302" t="s">
        <v>3975</v>
      </c>
      <c r="E1302">
        <v>31513</v>
      </c>
      <c r="F1302" t="s">
        <v>717</v>
      </c>
      <c r="G1302">
        <v>315</v>
      </c>
      <c r="H1302" t="s">
        <v>64</v>
      </c>
      <c r="I1302">
        <v>3</v>
      </c>
      <c r="J1302" t="s">
        <v>50</v>
      </c>
    </row>
    <row r="1303" spans="1:10" x14ac:dyDescent="0.25">
      <c r="A1303" t="s">
        <v>7355</v>
      </c>
      <c r="B1303">
        <f>14620.9867614856*(1/100/100)</f>
        <v>1.4620986761485599</v>
      </c>
      <c r="C1303">
        <v>14078</v>
      </c>
      <c r="D1303" t="s">
        <v>3976</v>
      </c>
      <c r="E1303">
        <v>31513</v>
      </c>
      <c r="F1303" t="s">
        <v>717</v>
      </c>
      <c r="G1303">
        <v>315</v>
      </c>
      <c r="H1303" t="s">
        <v>64</v>
      </c>
      <c r="I1303">
        <v>3</v>
      </c>
      <c r="J1303" t="s">
        <v>50</v>
      </c>
    </row>
    <row r="1304" spans="1:10" x14ac:dyDescent="0.25">
      <c r="A1304" t="s">
        <v>7355</v>
      </c>
      <c r="B1304">
        <f>49905.663338634*(1/100/100)</f>
        <v>4.9905663338634003</v>
      </c>
      <c r="C1304">
        <v>14081</v>
      </c>
      <c r="D1304" t="s">
        <v>2867</v>
      </c>
      <c r="E1304">
        <v>31551</v>
      </c>
      <c r="F1304" t="s">
        <v>741</v>
      </c>
      <c r="G1304">
        <v>315</v>
      </c>
      <c r="H1304" t="s">
        <v>64</v>
      </c>
      <c r="I1304">
        <v>3</v>
      </c>
      <c r="J1304" t="s">
        <v>50</v>
      </c>
    </row>
    <row r="1305" spans="1:10" x14ac:dyDescent="0.25">
      <c r="A1305" t="s">
        <v>7355</v>
      </c>
      <c r="B1305">
        <f>33016.6172872314*(1/100/100)</f>
        <v>3.3016617287231398</v>
      </c>
      <c r="C1305">
        <v>14082</v>
      </c>
      <c r="D1305" t="s">
        <v>3995</v>
      </c>
      <c r="E1305">
        <v>31521</v>
      </c>
      <c r="F1305" t="s">
        <v>724</v>
      </c>
      <c r="G1305">
        <v>315</v>
      </c>
      <c r="H1305" t="s">
        <v>64</v>
      </c>
      <c r="I1305">
        <v>3</v>
      </c>
      <c r="J1305" t="s">
        <v>50</v>
      </c>
    </row>
    <row r="1306" spans="1:10" x14ac:dyDescent="0.25">
      <c r="A1306" t="s">
        <v>7355</v>
      </c>
      <c r="B1306">
        <f>25882.6169208829*(1/100/100)</f>
        <v>2.5882616920882904</v>
      </c>
      <c r="C1306">
        <v>14083</v>
      </c>
      <c r="D1306" t="s">
        <v>4071</v>
      </c>
      <c r="E1306">
        <v>31537</v>
      </c>
      <c r="F1306" t="s">
        <v>735</v>
      </c>
      <c r="G1306">
        <v>315</v>
      </c>
      <c r="H1306" t="s">
        <v>64</v>
      </c>
      <c r="I1306">
        <v>3</v>
      </c>
      <c r="J1306" t="s">
        <v>50</v>
      </c>
    </row>
    <row r="1307" spans="1:10" x14ac:dyDescent="0.25">
      <c r="A1307" t="s">
        <v>7355</v>
      </c>
      <c r="B1307">
        <f>44900.0004468893*(1/100/100)</f>
        <v>4.4900000446889301</v>
      </c>
      <c r="C1307">
        <v>14101</v>
      </c>
      <c r="D1307" t="s">
        <v>669</v>
      </c>
      <c r="E1307">
        <v>31542</v>
      </c>
      <c r="F1307" t="s">
        <v>736</v>
      </c>
      <c r="G1307">
        <v>315</v>
      </c>
      <c r="H1307" t="s">
        <v>64</v>
      </c>
      <c r="I1307">
        <v>3</v>
      </c>
      <c r="J1307" t="s">
        <v>50</v>
      </c>
    </row>
    <row r="1308" spans="1:10" x14ac:dyDescent="0.25">
      <c r="A1308" t="s">
        <v>7355</v>
      </c>
      <c r="B1308">
        <f>12927.0189101112*(1/100/100)</f>
        <v>1.2927018910111199</v>
      </c>
      <c r="C1308">
        <v>14102</v>
      </c>
      <c r="D1308" t="s">
        <v>4080</v>
      </c>
      <c r="E1308">
        <v>31542</v>
      </c>
      <c r="F1308" t="s">
        <v>736</v>
      </c>
      <c r="G1308">
        <v>315</v>
      </c>
      <c r="H1308" t="s">
        <v>64</v>
      </c>
      <c r="I1308">
        <v>3</v>
      </c>
      <c r="J1308" t="s">
        <v>50</v>
      </c>
    </row>
    <row r="1309" spans="1:10" x14ac:dyDescent="0.25">
      <c r="A1309" t="s">
        <v>7355</v>
      </c>
      <c r="B1309">
        <f>62278.967526707*(1/100/100)</f>
        <v>6.2278967526707003</v>
      </c>
      <c r="C1309">
        <v>14103</v>
      </c>
      <c r="D1309" t="s">
        <v>3674</v>
      </c>
      <c r="E1309">
        <v>31520</v>
      </c>
      <c r="F1309" t="s">
        <v>723</v>
      </c>
      <c r="G1309">
        <v>315</v>
      </c>
      <c r="H1309" t="s">
        <v>64</v>
      </c>
      <c r="I1309">
        <v>3</v>
      </c>
      <c r="J1309" t="s">
        <v>50</v>
      </c>
    </row>
    <row r="1310" spans="1:10" x14ac:dyDescent="0.25">
      <c r="A1310" t="s">
        <v>7355</v>
      </c>
      <c r="B1310">
        <f>28064.8119717653*(1/100/100)</f>
        <v>2.80648119717653</v>
      </c>
      <c r="C1310">
        <v>14104</v>
      </c>
      <c r="D1310" t="s">
        <v>4085</v>
      </c>
      <c r="E1310">
        <v>31543</v>
      </c>
      <c r="F1310" t="s">
        <v>737</v>
      </c>
      <c r="G1310">
        <v>315</v>
      </c>
      <c r="H1310" t="s">
        <v>64</v>
      </c>
      <c r="I1310">
        <v>3</v>
      </c>
      <c r="J1310" t="s">
        <v>50</v>
      </c>
    </row>
    <row r="1311" spans="1:10" x14ac:dyDescent="0.25">
      <c r="A1311" t="s">
        <v>7355</v>
      </c>
      <c r="B1311">
        <f>45793.0707108223*(1/100/100)</f>
        <v>4.5793070710822299</v>
      </c>
      <c r="C1311">
        <v>14105</v>
      </c>
      <c r="D1311" t="s">
        <v>3917</v>
      </c>
      <c r="E1311">
        <v>31502</v>
      </c>
      <c r="F1311" t="s">
        <v>708</v>
      </c>
      <c r="G1311">
        <v>315</v>
      </c>
      <c r="H1311" t="s">
        <v>64</v>
      </c>
      <c r="I1311">
        <v>3</v>
      </c>
      <c r="J1311" t="s">
        <v>50</v>
      </c>
    </row>
    <row r="1312" spans="1:10" x14ac:dyDescent="0.25">
      <c r="A1312" t="s">
        <v>7355</v>
      </c>
      <c r="B1312">
        <f>15477.3464585295*(1/100/100)</f>
        <v>1.5477346458529502</v>
      </c>
      <c r="C1312">
        <v>14106</v>
      </c>
      <c r="D1312" t="s">
        <v>4104</v>
      </c>
      <c r="E1312">
        <v>31550</v>
      </c>
      <c r="F1312" t="s">
        <v>740</v>
      </c>
      <c r="G1312">
        <v>315</v>
      </c>
      <c r="H1312" t="s">
        <v>64</v>
      </c>
      <c r="I1312">
        <v>3</v>
      </c>
      <c r="J1312" t="s">
        <v>50</v>
      </c>
    </row>
    <row r="1313" spans="1:10" x14ac:dyDescent="0.25">
      <c r="A1313" t="s">
        <v>7355</v>
      </c>
      <c r="B1313">
        <f>7096.16391116205*(1/100/100)</f>
        <v>0.709616391116205</v>
      </c>
      <c r="C1313">
        <v>14107</v>
      </c>
      <c r="D1313" t="s">
        <v>4081</v>
      </c>
      <c r="E1313">
        <v>31542</v>
      </c>
      <c r="F1313" t="s">
        <v>736</v>
      </c>
      <c r="G1313">
        <v>315</v>
      </c>
      <c r="H1313" t="s">
        <v>64</v>
      </c>
      <c r="I1313">
        <v>3</v>
      </c>
      <c r="J1313" t="s">
        <v>50</v>
      </c>
    </row>
    <row r="1314" spans="1:10" x14ac:dyDescent="0.25">
      <c r="A1314" t="s">
        <v>7355</v>
      </c>
      <c r="B1314">
        <f>127416.325696131*(1/100/100)</f>
        <v>12.741632569613101</v>
      </c>
      <c r="C1314">
        <v>14108</v>
      </c>
      <c r="D1314" t="s">
        <v>4026</v>
      </c>
      <c r="E1314">
        <v>31533</v>
      </c>
      <c r="F1314" t="s">
        <v>732</v>
      </c>
      <c r="G1314">
        <v>315</v>
      </c>
      <c r="H1314" t="s">
        <v>64</v>
      </c>
      <c r="I1314">
        <v>3</v>
      </c>
      <c r="J1314" t="s">
        <v>50</v>
      </c>
    </row>
    <row r="1315" spans="1:10" x14ac:dyDescent="0.25">
      <c r="A1315" t="s">
        <v>7355</v>
      </c>
      <c r="B1315">
        <f>12374.1799114417*(1/100/100)</f>
        <v>1.2374179911441701</v>
      </c>
      <c r="C1315">
        <v>14109</v>
      </c>
      <c r="D1315" t="s">
        <v>1711</v>
      </c>
      <c r="E1315">
        <v>31519</v>
      </c>
      <c r="F1315" t="s">
        <v>722</v>
      </c>
      <c r="G1315">
        <v>315</v>
      </c>
      <c r="H1315" t="s">
        <v>64</v>
      </c>
      <c r="I1315">
        <v>3</v>
      </c>
      <c r="J1315" t="s">
        <v>50</v>
      </c>
    </row>
    <row r="1316" spans="1:10" x14ac:dyDescent="0.25">
      <c r="A1316" t="s">
        <v>7355</v>
      </c>
      <c r="B1316">
        <f>5344.6028477421*(1/100/100)</f>
        <v>0.53446028477421004</v>
      </c>
      <c r="C1316">
        <v>14110</v>
      </c>
      <c r="D1316" t="s">
        <v>3937</v>
      </c>
      <c r="E1316">
        <v>31507</v>
      </c>
      <c r="F1316" t="s">
        <v>713</v>
      </c>
      <c r="G1316">
        <v>315</v>
      </c>
      <c r="H1316" t="s">
        <v>64</v>
      </c>
      <c r="I1316">
        <v>3</v>
      </c>
      <c r="J1316" t="s">
        <v>50</v>
      </c>
    </row>
    <row r="1317" spans="1:10" x14ac:dyDescent="0.25">
      <c r="A1317" t="s">
        <v>7355</v>
      </c>
      <c r="B1317">
        <f>85565.2903031231*(1/100/100)</f>
        <v>8.5565290303123103</v>
      </c>
      <c r="C1317">
        <v>14111</v>
      </c>
      <c r="D1317" t="s">
        <v>714</v>
      </c>
      <c r="E1317">
        <v>31508</v>
      </c>
      <c r="F1317" t="s">
        <v>714</v>
      </c>
      <c r="G1317">
        <v>315</v>
      </c>
      <c r="H1317" t="s">
        <v>64</v>
      </c>
      <c r="I1317">
        <v>3</v>
      </c>
      <c r="J1317" t="s">
        <v>50</v>
      </c>
    </row>
    <row r="1318" spans="1:10" x14ac:dyDescent="0.25">
      <c r="A1318" t="s">
        <v>7355</v>
      </c>
      <c r="B1318">
        <f>10604.8335874379*(1/100/100)</f>
        <v>1.0604833587437901</v>
      </c>
      <c r="C1318">
        <v>14112</v>
      </c>
      <c r="D1318" t="s">
        <v>4105</v>
      </c>
      <c r="E1318">
        <v>31550</v>
      </c>
      <c r="F1318" t="s">
        <v>740</v>
      </c>
      <c r="G1318">
        <v>315</v>
      </c>
      <c r="H1318" t="s">
        <v>64</v>
      </c>
      <c r="I1318">
        <v>3</v>
      </c>
      <c r="J1318" t="s">
        <v>50</v>
      </c>
    </row>
    <row r="1319" spans="1:10" x14ac:dyDescent="0.25">
      <c r="A1319" t="s">
        <v>7355</v>
      </c>
      <c r="B1319">
        <f>69120.7718991312*(1/100/100)</f>
        <v>6.9120771899131199</v>
      </c>
      <c r="C1319">
        <v>14113</v>
      </c>
      <c r="D1319" t="s">
        <v>3938</v>
      </c>
      <c r="E1319">
        <v>31507</v>
      </c>
      <c r="F1319" t="s">
        <v>713</v>
      </c>
      <c r="G1319">
        <v>315</v>
      </c>
      <c r="H1319" t="s">
        <v>64</v>
      </c>
      <c r="I1319">
        <v>3</v>
      </c>
      <c r="J1319" t="s">
        <v>50</v>
      </c>
    </row>
    <row r="1320" spans="1:10" x14ac:dyDescent="0.25">
      <c r="A1320" t="s">
        <v>7355</v>
      </c>
      <c r="B1320">
        <f>36566.8755032649*(1/100/100)</f>
        <v>3.65668755032649</v>
      </c>
      <c r="C1320">
        <v>14114</v>
      </c>
      <c r="D1320" t="s">
        <v>3939</v>
      </c>
      <c r="E1320">
        <v>31507</v>
      </c>
      <c r="F1320" t="s">
        <v>713</v>
      </c>
      <c r="G1320">
        <v>315</v>
      </c>
      <c r="H1320" t="s">
        <v>64</v>
      </c>
      <c r="I1320">
        <v>3</v>
      </c>
      <c r="J1320" t="s">
        <v>50</v>
      </c>
    </row>
    <row r="1321" spans="1:10" x14ac:dyDescent="0.25">
      <c r="A1321" t="s">
        <v>7355</v>
      </c>
      <c r="B1321">
        <f>123717.610008073*(1/100/100)</f>
        <v>12.3717610008073</v>
      </c>
      <c r="C1321">
        <v>14116</v>
      </c>
      <c r="D1321" t="s">
        <v>3957</v>
      </c>
      <c r="E1321">
        <v>31509</v>
      </c>
      <c r="F1321" t="s">
        <v>715</v>
      </c>
      <c r="G1321">
        <v>315</v>
      </c>
      <c r="H1321" t="s">
        <v>64</v>
      </c>
      <c r="I1321">
        <v>3</v>
      </c>
      <c r="J1321" t="s">
        <v>50</v>
      </c>
    </row>
    <row r="1322" spans="1:10" x14ac:dyDescent="0.25">
      <c r="A1322" t="s">
        <v>7355</v>
      </c>
      <c r="B1322">
        <f>11088.8093614021*(1/100/100)</f>
        <v>1.1088809361402101</v>
      </c>
      <c r="C1322">
        <v>14117</v>
      </c>
      <c r="D1322" t="s">
        <v>4004</v>
      </c>
      <c r="E1322">
        <v>31524</v>
      </c>
      <c r="F1322" t="s">
        <v>64</v>
      </c>
      <c r="G1322">
        <v>315</v>
      </c>
      <c r="H1322" t="s">
        <v>64</v>
      </c>
      <c r="I1322">
        <v>3</v>
      </c>
      <c r="J1322" t="s">
        <v>50</v>
      </c>
    </row>
    <row r="1323" spans="1:10" x14ac:dyDescent="0.25">
      <c r="A1323" t="s">
        <v>7355</v>
      </c>
      <c r="B1323">
        <f>17095.4881831869*(1/100/100)</f>
        <v>1.70954881831869</v>
      </c>
      <c r="C1323">
        <v>14118</v>
      </c>
      <c r="D1323" t="s">
        <v>3954</v>
      </c>
      <c r="E1323">
        <v>31508</v>
      </c>
      <c r="F1323" t="s">
        <v>714</v>
      </c>
      <c r="G1323">
        <v>315</v>
      </c>
      <c r="H1323" t="s">
        <v>64</v>
      </c>
      <c r="I1323">
        <v>3</v>
      </c>
      <c r="J1323" t="s">
        <v>50</v>
      </c>
    </row>
    <row r="1324" spans="1:10" x14ac:dyDescent="0.25">
      <c r="A1324" t="s">
        <v>7355</v>
      </c>
      <c r="B1324">
        <f>14853.4672606578*(1/100/100)</f>
        <v>1.4853467260657802</v>
      </c>
      <c r="C1324">
        <v>14119</v>
      </c>
      <c r="D1324" t="s">
        <v>3940</v>
      </c>
      <c r="E1324">
        <v>31507</v>
      </c>
      <c r="F1324" t="s">
        <v>713</v>
      </c>
      <c r="G1324">
        <v>315</v>
      </c>
      <c r="H1324" t="s">
        <v>64</v>
      </c>
      <c r="I1324">
        <v>3</v>
      </c>
      <c r="J1324" t="s">
        <v>50</v>
      </c>
    </row>
    <row r="1325" spans="1:10" x14ac:dyDescent="0.25">
      <c r="A1325" t="s">
        <v>7355</v>
      </c>
      <c r="B1325">
        <f>5766.90843082421*(1/100/100)</f>
        <v>0.57669084308242102</v>
      </c>
      <c r="C1325">
        <v>14120</v>
      </c>
      <c r="D1325" t="s">
        <v>3941</v>
      </c>
      <c r="E1325">
        <v>31507</v>
      </c>
      <c r="F1325" t="s">
        <v>713</v>
      </c>
      <c r="G1325">
        <v>315</v>
      </c>
      <c r="H1325" t="s">
        <v>64</v>
      </c>
      <c r="I1325">
        <v>3</v>
      </c>
      <c r="J1325" t="s">
        <v>50</v>
      </c>
    </row>
    <row r="1326" spans="1:10" x14ac:dyDescent="0.25">
      <c r="A1326" t="s">
        <v>7355</v>
      </c>
      <c r="B1326">
        <f>16922.9460326201*(1/100/100)</f>
        <v>1.6922946032620101</v>
      </c>
      <c r="C1326">
        <v>14121</v>
      </c>
      <c r="D1326" t="s">
        <v>3551</v>
      </c>
      <c r="E1326">
        <v>31507</v>
      </c>
      <c r="F1326" t="s">
        <v>713</v>
      </c>
      <c r="G1326">
        <v>315</v>
      </c>
      <c r="H1326" t="s">
        <v>64</v>
      </c>
      <c r="I1326">
        <v>3</v>
      </c>
      <c r="J1326" t="s">
        <v>50</v>
      </c>
    </row>
    <row r="1327" spans="1:10" x14ac:dyDescent="0.25">
      <c r="A1327" t="s">
        <v>7355</v>
      </c>
      <c r="B1327">
        <f>12550.535386002*(1/100/100)</f>
        <v>1.2550535386002002</v>
      </c>
      <c r="C1327">
        <v>14122</v>
      </c>
      <c r="D1327" t="s">
        <v>537</v>
      </c>
      <c r="E1327">
        <v>31507</v>
      </c>
      <c r="F1327" t="s">
        <v>713</v>
      </c>
      <c r="G1327">
        <v>315</v>
      </c>
      <c r="H1327" t="s">
        <v>64</v>
      </c>
      <c r="I1327">
        <v>3</v>
      </c>
      <c r="J1327" t="s">
        <v>50</v>
      </c>
    </row>
    <row r="1328" spans="1:10" x14ac:dyDescent="0.25">
      <c r="A1328" t="s">
        <v>7355</v>
      </c>
      <c r="B1328">
        <f>6465.20632550321*(1/100/100)</f>
        <v>0.64652063255032099</v>
      </c>
      <c r="C1328">
        <v>14123</v>
      </c>
      <c r="D1328" t="s">
        <v>3381</v>
      </c>
      <c r="E1328">
        <v>31507</v>
      </c>
      <c r="F1328" t="s">
        <v>713</v>
      </c>
      <c r="G1328">
        <v>315</v>
      </c>
      <c r="H1328" t="s">
        <v>64</v>
      </c>
      <c r="I1328">
        <v>3</v>
      </c>
      <c r="J1328" t="s">
        <v>50</v>
      </c>
    </row>
    <row r="1329" spans="1:10" x14ac:dyDescent="0.25">
      <c r="A1329" t="s">
        <v>7355</v>
      </c>
      <c r="B1329">
        <f>9429.12033976548*(1/100/100)</f>
        <v>0.9429120339765481</v>
      </c>
      <c r="C1329">
        <v>14124</v>
      </c>
      <c r="D1329" t="s">
        <v>4082</v>
      </c>
      <c r="E1329">
        <v>31542</v>
      </c>
      <c r="F1329" t="s">
        <v>736</v>
      </c>
      <c r="G1329">
        <v>315</v>
      </c>
      <c r="H1329" t="s">
        <v>64</v>
      </c>
      <c r="I1329">
        <v>3</v>
      </c>
      <c r="J1329" t="s">
        <v>50</v>
      </c>
    </row>
    <row r="1330" spans="1:10" x14ac:dyDescent="0.25">
      <c r="A1330" t="s">
        <v>7355</v>
      </c>
      <c r="B1330">
        <f>88986.6333420096*(1/100/100)</f>
        <v>8.8986633342009611</v>
      </c>
      <c r="C1330">
        <v>14125</v>
      </c>
      <c r="D1330" t="s">
        <v>3982</v>
      </c>
      <c r="E1330">
        <v>31516</v>
      </c>
      <c r="F1330" t="s">
        <v>720</v>
      </c>
      <c r="G1330">
        <v>315</v>
      </c>
      <c r="H1330" t="s">
        <v>64</v>
      </c>
      <c r="I1330">
        <v>3</v>
      </c>
      <c r="J1330" t="s">
        <v>50</v>
      </c>
    </row>
    <row r="1331" spans="1:10" x14ac:dyDescent="0.25">
      <c r="A1331" t="s">
        <v>7355</v>
      </c>
      <c r="B1331">
        <f>50558.6268827875*(1/100/100)</f>
        <v>5.0558626882787507</v>
      </c>
      <c r="C1331">
        <v>14126</v>
      </c>
      <c r="D1331" t="s">
        <v>3942</v>
      </c>
      <c r="E1331">
        <v>31507</v>
      </c>
      <c r="F1331" t="s">
        <v>713</v>
      </c>
      <c r="G1331">
        <v>315</v>
      </c>
      <c r="H1331" t="s">
        <v>64</v>
      </c>
      <c r="I1331">
        <v>3</v>
      </c>
      <c r="J1331" t="s">
        <v>50</v>
      </c>
    </row>
    <row r="1332" spans="1:10" x14ac:dyDescent="0.25">
      <c r="A1332" t="s">
        <v>7355</v>
      </c>
      <c r="B1332">
        <f>8779.49322676536*(1/100/100)</f>
        <v>0.87794932267653603</v>
      </c>
      <c r="C1332">
        <v>14127</v>
      </c>
      <c r="D1332" t="s">
        <v>3955</v>
      </c>
      <c r="E1332">
        <v>31508</v>
      </c>
      <c r="F1332" t="s">
        <v>714</v>
      </c>
      <c r="G1332">
        <v>315</v>
      </c>
      <c r="H1332" t="s">
        <v>64</v>
      </c>
      <c r="I1332">
        <v>3</v>
      </c>
      <c r="J1332" t="s">
        <v>50</v>
      </c>
    </row>
    <row r="1333" spans="1:10" x14ac:dyDescent="0.25">
      <c r="A1333" t="s">
        <v>7355</v>
      </c>
      <c r="B1333">
        <f>13879.5279294955*(1/100/100)</f>
        <v>1.3879527929495501</v>
      </c>
      <c r="C1333">
        <v>14128</v>
      </c>
      <c r="D1333" t="s">
        <v>3943</v>
      </c>
      <c r="E1333">
        <v>31507</v>
      </c>
      <c r="F1333" t="s">
        <v>713</v>
      </c>
      <c r="G1333">
        <v>315</v>
      </c>
      <c r="H1333" t="s">
        <v>64</v>
      </c>
      <c r="I1333">
        <v>3</v>
      </c>
      <c r="J1333" t="s">
        <v>50</v>
      </c>
    </row>
    <row r="1334" spans="1:10" x14ac:dyDescent="0.25">
      <c r="A1334" t="s">
        <v>7355</v>
      </c>
      <c r="B1334">
        <f>7888.72622703069*(1/100/100)</f>
        <v>0.78887262270306902</v>
      </c>
      <c r="C1334">
        <v>14129</v>
      </c>
      <c r="D1334" t="s">
        <v>4005</v>
      </c>
      <c r="E1334">
        <v>31524</v>
      </c>
      <c r="F1334" t="s">
        <v>64</v>
      </c>
      <c r="G1334">
        <v>315</v>
      </c>
      <c r="H1334" t="s">
        <v>64</v>
      </c>
      <c r="I1334">
        <v>3</v>
      </c>
      <c r="J1334" t="s">
        <v>50</v>
      </c>
    </row>
    <row r="1335" spans="1:10" x14ac:dyDescent="0.25">
      <c r="A1335" t="s">
        <v>7355</v>
      </c>
      <c r="B1335">
        <f>6071.4351335242*(1/100/100)</f>
        <v>0.60714351335242001</v>
      </c>
      <c r="C1335">
        <v>14130</v>
      </c>
      <c r="D1335" t="s">
        <v>3944</v>
      </c>
      <c r="E1335">
        <v>31507</v>
      </c>
      <c r="F1335" t="s">
        <v>713</v>
      </c>
      <c r="G1335">
        <v>315</v>
      </c>
      <c r="H1335" t="s">
        <v>64</v>
      </c>
      <c r="I1335">
        <v>3</v>
      </c>
      <c r="J1335" t="s">
        <v>50</v>
      </c>
    </row>
    <row r="1336" spans="1:10" x14ac:dyDescent="0.25">
      <c r="A1336" t="s">
        <v>7355</v>
      </c>
      <c r="B1336">
        <f>153603.051835949*(1/100/100)</f>
        <v>15.360305183594901</v>
      </c>
      <c r="C1336">
        <v>14131</v>
      </c>
      <c r="D1336" t="s">
        <v>3983</v>
      </c>
      <c r="E1336">
        <v>31517</v>
      </c>
      <c r="F1336" t="s">
        <v>721</v>
      </c>
      <c r="G1336">
        <v>315</v>
      </c>
      <c r="H1336" t="s">
        <v>64</v>
      </c>
      <c r="I1336">
        <v>3</v>
      </c>
      <c r="J1336" t="s">
        <v>50</v>
      </c>
    </row>
    <row r="1337" spans="1:10" x14ac:dyDescent="0.25">
      <c r="A1337" t="s">
        <v>7355</v>
      </c>
      <c r="B1337">
        <f>6554.3680909953*(1/100/100)</f>
        <v>0.65543680909953006</v>
      </c>
      <c r="C1337">
        <v>14132</v>
      </c>
      <c r="D1337" t="s">
        <v>3945</v>
      </c>
      <c r="E1337">
        <v>31507</v>
      </c>
      <c r="F1337" t="s">
        <v>713</v>
      </c>
      <c r="G1337">
        <v>315</v>
      </c>
      <c r="H1337" t="s">
        <v>64</v>
      </c>
      <c r="I1337">
        <v>3</v>
      </c>
      <c r="J1337" t="s">
        <v>50</v>
      </c>
    </row>
    <row r="1338" spans="1:10" x14ac:dyDescent="0.25">
      <c r="A1338" t="s">
        <v>7355</v>
      </c>
      <c r="B1338">
        <f>21077.7391080678*(1/100/100)</f>
        <v>2.1077739108067801</v>
      </c>
      <c r="C1338">
        <v>14133</v>
      </c>
      <c r="D1338" t="s">
        <v>3985</v>
      </c>
      <c r="E1338">
        <v>31519</v>
      </c>
      <c r="F1338" t="s">
        <v>722</v>
      </c>
      <c r="G1338">
        <v>315</v>
      </c>
      <c r="H1338" t="s">
        <v>64</v>
      </c>
      <c r="I1338">
        <v>3</v>
      </c>
      <c r="J1338" t="s">
        <v>50</v>
      </c>
    </row>
    <row r="1339" spans="1:10" x14ac:dyDescent="0.25">
      <c r="A1339" t="s">
        <v>7355</v>
      </c>
      <c r="B1339">
        <f>86973.8436011312*(1/100/100)</f>
        <v>8.6973843601131211</v>
      </c>
      <c r="C1339">
        <v>14134</v>
      </c>
      <c r="D1339" t="s">
        <v>722</v>
      </c>
      <c r="E1339">
        <v>31519</v>
      </c>
      <c r="F1339" t="s">
        <v>722</v>
      </c>
      <c r="G1339">
        <v>315</v>
      </c>
      <c r="H1339" t="s">
        <v>64</v>
      </c>
      <c r="I1339">
        <v>3</v>
      </c>
      <c r="J1339" t="s">
        <v>50</v>
      </c>
    </row>
    <row r="1340" spans="1:10" x14ac:dyDescent="0.25">
      <c r="A1340" t="s">
        <v>7355</v>
      </c>
      <c r="B1340">
        <f>6039.18619905789*(1/100/100)</f>
        <v>0.60391861990578899</v>
      </c>
      <c r="C1340">
        <v>14135</v>
      </c>
      <c r="D1340" t="s">
        <v>3946</v>
      </c>
      <c r="E1340">
        <v>31507</v>
      </c>
      <c r="F1340" t="s">
        <v>713</v>
      </c>
      <c r="G1340">
        <v>315</v>
      </c>
      <c r="H1340" t="s">
        <v>64</v>
      </c>
      <c r="I1340">
        <v>3</v>
      </c>
      <c r="J1340" t="s">
        <v>50</v>
      </c>
    </row>
    <row r="1341" spans="1:10" x14ac:dyDescent="0.25">
      <c r="A1341" t="s">
        <v>7355</v>
      </c>
      <c r="B1341">
        <f>330937.664808994*(1/100/100)</f>
        <v>33.093766480899397</v>
      </c>
      <c r="C1341">
        <v>14136</v>
      </c>
      <c r="D1341" t="s">
        <v>723</v>
      </c>
      <c r="E1341">
        <v>31520</v>
      </c>
      <c r="F1341" t="s">
        <v>723</v>
      </c>
      <c r="G1341">
        <v>315</v>
      </c>
      <c r="H1341" t="s">
        <v>64</v>
      </c>
      <c r="I1341">
        <v>3</v>
      </c>
      <c r="J1341" t="s">
        <v>50</v>
      </c>
    </row>
    <row r="1342" spans="1:10" x14ac:dyDescent="0.25">
      <c r="A1342" t="s">
        <v>7355</v>
      </c>
      <c r="B1342">
        <f>20174.9746609778*(1/100/100)</f>
        <v>2.01749746609778</v>
      </c>
      <c r="C1342">
        <v>14137</v>
      </c>
      <c r="D1342" t="s">
        <v>3986</v>
      </c>
      <c r="E1342">
        <v>31519</v>
      </c>
      <c r="F1342" t="s">
        <v>722</v>
      </c>
      <c r="G1342">
        <v>315</v>
      </c>
      <c r="H1342" t="s">
        <v>64</v>
      </c>
      <c r="I1342">
        <v>3</v>
      </c>
      <c r="J1342" t="s">
        <v>50</v>
      </c>
    </row>
    <row r="1343" spans="1:10" x14ac:dyDescent="0.25">
      <c r="A1343" t="s">
        <v>7355</v>
      </c>
      <c r="B1343">
        <f>9400.8715599545*(1/100/100)</f>
        <v>0.94008715599545001</v>
      </c>
      <c r="C1343">
        <v>14138</v>
      </c>
      <c r="D1343" t="s">
        <v>3947</v>
      </c>
      <c r="E1343">
        <v>31507</v>
      </c>
      <c r="F1343" t="s">
        <v>713</v>
      </c>
      <c r="G1343">
        <v>315</v>
      </c>
      <c r="H1343" t="s">
        <v>64</v>
      </c>
      <c r="I1343">
        <v>3</v>
      </c>
      <c r="J1343" t="s">
        <v>50</v>
      </c>
    </row>
    <row r="1344" spans="1:10" x14ac:dyDescent="0.25">
      <c r="A1344" t="s">
        <v>7355</v>
      </c>
      <c r="B1344">
        <f>15181.7536794081*(1/100/100)</f>
        <v>1.5181753679408101</v>
      </c>
      <c r="C1344">
        <v>14139</v>
      </c>
      <c r="D1344" t="s">
        <v>3987</v>
      </c>
      <c r="E1344">
        <v>31519</v>
      </c>
      <c r="F1344" t="s">
        <v>722</v>
      </c>
      <c r="G1344">
        <v>315</v>
      </c>
      <c r="H1344" t="s">
        <v>64</v>
      </c>
      <c r="I1344">
        <v>3</v>
      </c>
      <c r="J1344" t="s">
        <v>50</v>
      </c>
    </row>
    <row r="1345" spans="1:10" x14ac:dyDescent="0.25">
      <c r="A1345" t="s">
        <v>7355</v>
      </c>
      <c r="B1345">
        <f>39101.8593618374*(1/100/100)</f>
        <v>3.9101859361837401</v>
      </c>
      <c r="C1345">
        <v>14140</v>
      </c>
      <c r="D1345" t="s">
        <v>4106</v>
      </c>
      <c r="E1345">
        <v>31550</v>
      </c>
      <c r="F1345" t="s">
        <v>740</v>
      </c>
      <c r="G1345">
        <v>315</v>
      </c>
      <c r="H1345" t="s">
        <v>64</v>
      </c>
      <c r="I1345">
        <v>3</v>
      </c>
      <c r="J1345" t="s">
        <v>50</v>
      </c>
    </row>
    <row r="1346" spans="1:10" x14ac:dyDescent="0.25">
      <c r="A1346" t="s">
        <v>7355</v>
      </c>
      <c r="B1346">
        <f>60019.2779425217*(1/100/100)</f>
        <v>6.00192779425217</v>
      </c>
      <c r="C1346">
        <v>14141</v>
      </c>
      <c r="D1346" t="s">
        <v>4107</v>
      </c>
      <c r="E1346">
        <v>31550</v>
      </c>
      <c r="F1346" t="s">
        <v>740</v>
      </c>
      <c r="G1346">
        <v>315</v>
      </c>
      <c r="H1346" t="s">
        <v>64</v>
      </c>
      <c r="I1346">
        <v>3</v>
      </c>
      <c r="J1346" t="s">
        <v>50</v>
      </c>
    </row>
    <row r="1347" spans="1:10" x14ac:dyDescent="0.25">
      <c r="A1347" t="s">
        <v>7355</v>
      </c>
      <c r="B1347">
        <f>49404.5635898634*(1/100/100)</f>
        <v>4.9404563589863404</v>
      </c>
      <c r="C1347">
        <v>14142</v>
      </c>
      <c r="D1347" t="s">
        <v>3948</v>
      </c>
      <c r="E1347">
        <v>31507</v>
      </c>
      <c r="F1347" t="s">
        <v>713</v>
      </c>
      <c r="G1347">
        <v>315</v>
      </c>
      <c r="H1347" t="s">
        <v>64</v>
      </c>
      <c r="I1347">
        <v>3</v>
      </c>
      <c r="J1347" t="s">
        <v>50</v>
      </c>
    </row>
    <row r="1348" spans="1:10" x14ac:dyDescent="0.25">
      <c r="A1348" t="s">
        <v>7355</v>
      </c>
      <c r="B1348">
        <f>264607.738939343*(1/100/100)</f>
        <v>26.460773893934302</v>
      </c>
      <c r="C1348">
        <v>14143</v>
      </c>
      <c r="D1348" t="s">
        <v>64</v>
      </c>
      <c r="E1348">
        <v>31524</v>
      </c>
      <c r="F1348" t="s">
        <v>64</v>
      </c>
      <c r="G1348">
        <v>315</v>
      </c>
      <c r="H1348" t="s">
        <v>64</v>
      </c>
      <c r="I1348">
        <v>3</v>
      </c>
      <c r="J1348" t="s">
        <v>50</v>
      </c>
    </row>
    <row r="1349" spans="1:10" x14ac:dyDescent="0.25">
      <c r="A1349" t="s">
        <v>7355</v>
      </c>
      <c r="B1349">
        <f>12500.2212146135*(1/100/100)</f>
        <v>1.2500221214613501</v>
      </c>
      <c r="C1349">
        <v>14144</v>
      </c>
      <c r="D1349" t="s">
        <v>4086</v>
      </c>
      <c r="E1349">
        <v>31543</v>
      </c>
      <c r="F1349" t="s">
        <v>737</v>
      </c>
      <c r="G1349">
        <v>315</v>
      </c>
      <c r="H1349" t="s">
        <v>64</v>
      </c>
      <c r="I1349">
        <v>3</v>
      </c>
      <c r="J1349" t="s">
        <v>50</v>
      </c>
    </row>
    <row r="1350" spans="1:10" x14ac:dyDescent="0.25">
      <c r="A1350" t="s">
        <v>7355</v>
      </c>
      <c r="B1350">
        <f>12564.5272022213*(1/100/100)</f>
        <v>1.2564527202221301</v>
      </c>
      <c r="C1350">
        <v>14145</v>
      </c>
      <c r="D1350" t="s">
        <v>3989</v>
      </c>
      <c r="E1350">
        <v>31520</v>
      </c>
      <c r="F1350" t="s">
        <v>723</v>
      </c>
      <c r="G1350">
        <v>315</v>
      </c>
      <c r="H1350" t="s">
        <v>64</v>
      </c>
      <c r="I1350">
        <v>3</v>
      </c>
      <c r="J1350" t="s">
        <v>50</v>
      </c>
    </row>
    <row r="1351" spans="1:10" x14ac:dyDescent="0.25">
      <c r="A1351" t="s">
        <v>7355</v>
      </c>
      <c r="B1351">
        <f>21222.2616969693*(1/100/100)</f>
        <v>2.1222261696969302</v>
      </c>
      <c r="C1351">
        <v>14146</v>
      </c>
      <c r="D1351" t="s">
        <v>3949</v>
      </c>
      <c r="E1351">
        <v>31507</v>
      </c>
      <c r="F1351" t="s">
        <v>713</v>
      </c>
      <c r="G1351">
        <v>315</v>
      </c>
      <c r="H1351" t="s">
        <v>64</v>
      </c>
      <c r="I1351">
        <v>3</v>
      </c>
      <c r="J1351" t="s">
        <v>50</v>
      </c>
    </row>
    <row r="1352" spans="1:10" x14ac:dyDescent="0.25">
      <c r="A1352" t="s">
        <v>7355</v>
      </c>
      <c r="B1352">
        <f>6128.92463588023*(1/100/100)</f>
        <v>0.61289246358802307</v>
      </c>
      <c r="C1352">
        <v>14147</v>
      </c>
      <c r="D1352" t="s">
        <v>3950</v>
      </c>
      <c r="E1352">
        <v>31507</v>
      </c>
      <c r="F1352" t="s">
        <v>713</v>
      </c>
      <c r="G1352">
        <v>315</v>
      </c>
      <c r="H1352" t="s">
        <v>64</v>
      </c>
      <c r="I1352">
        <v>3</v>
      </c>
      <c r="J1352" t="s">
        <v>50</v>
      </c>
    </row>
    <row r="1353" spans="1:10" x14ac:dyDescent="0.25">
      <c r="A1353" t="s">
        <v>7355</v>
      </c>
      <c r="B1353">
        <f>1219.80801376036*(1/100/100)</f>
        <v>0.12198080137603599</v>
      </c>
      <c r="C1353">
        <v>14148</v>
      </c>
      <c r="D1353" t="s">
        <v>3951</v>
      </c>
      <c r="E1353">
        <v>31507</v>
      </c>
      <c r="F1353" t="s">
        <v>713</v>
      </c>
      <c r="G1353">
        <v>315</v>
      </c>
      <c r="H1353" t="s">
        <v>64</v>
      </c>
      <c r="I1353">
        <v>3</v>
      </c>
      <c r="J1353" t="s">
        <v>50</v>
      </c>
    </row>
    <row r="1354" spans="1:10" x14ac:dyDescent="0.25">
      <c r="A1354" t="s">
        <v>7355</v>
      </c>
      <c r="B1354">
        <f>54997.5784562139*(1/100/100)</f>
        <v>5.4997578456213905</v>
      </c>
      <c r="C1354">
        <v>14149</v>
      </c>
      <c r="D1354" t="s">
        <v>4027</v>
      </c>
      <c r="E1354">
        <v>31533</v>
      </c>
      <c r="F1354" t="s">
        <v>732</v>
      </c>
      <c r="G1354">
        <v>315</v>
      </c>
      <c r="H1354" t="s">
        <v>64</v>
      </c>
      <c r="I1354">
        <v>3</v>
      </c>
      <c r="J1354" t="s">
        <v>50</v>
      </c>
    </row>
    <row r="1355" spans="1:10" x14ac:dyDescent="0.25">
      <c r="A1355" t="s">
        <v>7355</v>
      </c>
      <c r="B1355">
        <f>5828.37524021431*(1/100/100)</f>
        <v>0.58283752402143107</v>
      </c>
      <c r="C1355">
        <v>14150</v>
      </c>
      <c r="D1355" t="s">
        <v>1329</v>
      </c>
      <c r="E1355">
        <v>31507</v>
      </c>
      <c r="F1355" t="s">
        <v>713</v>
      </c>
      <c r="G1355">
        <v>315</v>
      </c>
      <c r="H1355" t="s">
        <v>64</v>
      </c>
      <c r="I1355">
        <v>3</v>
      </c>
      <c r="J1355" t="s">
        <v>50</v>
      </c>
    </row>
    <row r="1356" spans="1:10" x14ac:dyDescent="0.25">
      <c r="A1356" t="s">
        <v>7355</v>
      </c>
      <c r="B1356">
        <f>49340.7274475819*(1/100/100)</f>
        <v>4.9340727447581898</v>
      </c>
      <c r="C1356">
        <v>14151</v>
      </c>
      <c r="D1356" t="s">
        <v>4006</v>
      </c>
      <c r="E1356">
        <v>31524</v>
      </c>
      <c r="F1356" t="s">
        <v>64</v>
      </c>
      <c r="G1356">
        <v>315</v>
      </c>
      <c r="H1356" t="s">
        <v>64</v>
      </c>
      <c r="I1356">
        <v>3</v>
      </c>
      <c r="J1356" t="s">
        <v>50</v>
      </c>
    </row>
    <row r="1357" spans="1:10" x14ac:dyDescent="0.25">
      <c r="A1357" t="s">
        <v>7355</v>
      </c>
      <c r="B1357">
        <f>18801.6139692355*(1/100/100)</f>
        <v>1.88016139692355</v>
      </c>
      <c r="C1357">
        <v>14152</v>
      </c>
      <c r="D1357" t="s">
        <v>4007</v>
      </c>
      <c r="E1357">
        <v>31524</v>
      </c>
      <c r="F1357" t="s">
        <v>64</v>
      </c>
      <c r="G1357">
        <v>315</v>
      </c>
      <c r="H1357" t="s">
        <v>64</v>
      </c>
      <c r="I1357">
        <v>3</v>
      </c>
      <c r="J1357" t="s">
        <v>50</v>
      </c>
    </row>
    <row r="1358" spans="1:10" x14ac:dyDescent="0.25">
      <c r="A1358" t="s">
        <v>7355</v>
      </c>
      <c r="B1358">
        <f>274943.870572952*(1/100/100)</f>
        <v>27.494387057295199</v>
      </c>
      <c r="C1358">
        <v>14153</v>
      </c>
      <c r="D1358" t="s">
        <v>732</v>
      </c>
      <c r="E1358">
        <v>31533</v>
      </c>
      <c r="F1358" t="s">
        <v>732</v>
      </c>
      <c r="G1358">
        <v>315</v>
      </c>
      <c r="H1358" t="s">
        <v>64</v>
      </c>
      <c r="I1358">
        <v>3</v>
      </c>
      <c r="J1358" t="s">
        <v>50</v>
      </c>
    </row>
    <row r="1359" spans="1:10" x14ac:dyDescent="0.25">
      <c r="A1359" t="s">
        <v>7355</v>
      </c>
      <c r="B1359">
        <f>18642.9835931628*(1/100/100)</f>
        <v>1.8642983593162801</v>
      </c>
      <c r="C1359">
        <v>14154</v>
      </c>
      <c r="D1359" t="s">
        <v>4008</v>
      </c>
      <c r="E1359">
        <v>31524</v>
      </c>
      <c r="F1359" t="s">
        <v>64</v>
      </c>
      <c r="G1359">
        <v>315</v>
      </c>
      <c r="H1359" t="s">
        <v>64</v>
      </c>
      <c r="I1359">
        <v>3</v>
      </c>
      <c r="J1359" t="s">
        <v>50</v>
      </c>
    </row>
    <row r="1360" spans="1:10" x14ac:dyDescent="0.25">
      <c r="A1360" t="s">
        <v>7355</v>
      </c>
      <c r="B1360">
        <f>7230.55311919271*(1/100/100)</f>
        <v>0.72305531191927108</v>
      </c>
      <c r="C1360">
        <v>14155</v>
      </c>
      <c r="D1360" t="s">
        <v>4028</v>
      </c>
      <c r="E1360">
        <v>31533</v>
      </c>
      <c r="F1360" t="s">
        <v>732</v>
      </c>
      <c r="G1360">
        <v>315</v>
      </c>
      <c r="H1360" t="s">
        <v>64</v>
      </c>
      <c r="I1360">
        <v>3</v>
      </c>
      <c r="J1360" t="s">
        <v>50</v>
      </c>
    </row>
    <row r="1361" spans="1:10" x14ac:dyDescent="0.25">
      <c r="A1361" t="s">
        <v>7355</v>
      </c>
      <c r="B1361">
        <f>56201.3248573664*(1/100/100)</f>
        <v>5.6201324857366401</v>
      </c>
      <c r="C1361">
        <v>14156</v>
      </c>
      <c r="D1361" t="s">
        <v>3460</v>
      </c>
      <c r="E1361">
        <v>31543</v>
      </c>
      <c r="F1361" t="s">
        <v>737</v>
      </c>
      <c r="G1361">
        <v>315</v>
      </c>
      <c r="H1361" t="s">
        <v>64</v>
      </c>
      <c r="I1361">
        <v>3</v>
      </c>
      <c r="J1361" t="s">
        <v>50</v>
      </c>
    </row>
    <row r="1362" spans="1:10" x14ac:dyDescent="0.25">
      <c r="A1362" t="s">
        <v>7355</v>
      </c>
      <c r="B1362">
        <f>11936.8494188907*(1/100/100)</f>
        <v>1.19368494188907</v>
      </c>
      <c r="C1362">
        <v>14157</v>
      </c>
      <c r="D1362" t="s">
        <v>3990</v>
      </c>
      <c r="E1362">
        <v>31520</v>
      </c>
      <c r="F1362" t="s">
        <v>723</v>
      </c>
      <c r="G1362">
        <v>315</v>
      </c>
      <c r="H1362" t="s">
        <v>64</v>
      </c>
      <c r="I1362">
        <v>3</v>
      </c>
      <c r="J1362" t="s">
        <v>50</v>
      </c>
    </row>
    <row r="1363" spans="1:10" x14ac:dyDescent="0.25">
      <c r="A1363" t="s">
        <v>7355</v>
      </c>
      <c r="B1363">
        <f>10304.9121211275*(1/100/100)</f>
        <v>1.0304912121127501</v>
      </c>
      <c r="C1363">
        <v>14158</v>
      </c>
      <c r="D1363" t="s">
        <v>4029</v>
      </c>
      <c r="E1363">
        <v>31533</v>
      </c>
      <c r="F1363" t="s">
        <v>732</v>
      </c>
      <c r="G1363">
        <v>315</v>
      </c>
      <c r="H1363" t="s">
        <v>64</v>
      </c>
      <c r="I1363">
        <v>3</v>
      </c>
      <c r="J1363" t="s">
        <v>50</v>
      </c>
    </row>
    <row r="1364" spans="1:10" x14ac:dyDescent="0.25">
      <c r="A1364" t="s">
        <v>7355</v>
      </c>
      <c r="B1364">
        <f>8186.53388386022*(1/100/100)</f>
        <v>0.81865338838602209</v>
      </c>
      <c r="C1364">
        <v>14159</v>
      </c>
      <c r="D1364" t="s">
        <v>4009</v>
      </c>
      <c r="E1364">
        <v>31524</v>
      </c>
      <c r="F1364" t="s">
        <v>64</v>
      </c>
      <c r="G1364">
        <v>315</v>
      </c>
      <c r="H1364" t="s">
        <v>64</v>
      </c>
      <c r="I1364">
        <v>3</v>
      </c>
      <c r="J1364" t="s">
        <v>50</v>
      </c>
    </row>
    <row r="1365" spans="1:10" x14ac:dyDescent="0.25">
      <c r="A1365" t="s">
        <v>7355</v>
      </c>
      <c r="B1365">
        <f>29894.6246940621*(1/100/100)</f>
        <v>2.98946246940621</v>
      </c>
      <c r="C1365">
        <v>14160</v>
      </c>
      <c r="D1365" t="s">
        <v>4087</v>
      </c>
      <c r="E1365">
        <v>31543</v>
      </c>
      <c r="F1365" t="s">
        <v>737</v>
      </c>
      <c r="G1365">
        <v>315</v>
      </c>
      <c r="H1365" t="s">
        <v>64</v>
      </c>
      <c r="I1365">
        <v>3</v>
      </c>
      <c r="J1365" t="s">
        <v>50</v>
      </c>
    </row>
    <row r="1366" spans="1:10" x14ac:dyDescent="0.25">
      <c r="A1366" t="s">
        <v>7355</v>
      </c>
      <c r="B1366">
        <f>50325.836714748*(1/100/100)</f>
        <v>5.0325836714748</v>
      </c>
      <c r="C1366">
        <v>14161</v>
      </c>
      <c r="D1366" t="s">
        <v>737</v>
      </c>
      <c r="E1366">
        <v>31543</v>
      </c>
      <c r="F1366" t="s">
        <v>737</v>
      </c>
      <c r="G1366">
        <v>315</v>
      </c>
      <c r="H1366" t="s">
        <v>64</v>
      </c>
      <c r="I1366">
        <v>3</v>
      </c>
      <c r="J1366" t="s">
        <v>50</v>
      </c>
    </row>
    <row r="1367" spans="1:10" x14ac:dyDescent="0.25">
      <c r="A1367" t="s">
        <v>7355</v>
      </c>
      <c r="B1367">
        <f>42820.8789321758*(1/100/100)</f>
        <v>4.2820878932175805</v>
      </c>
      <c r="C1367">
        <v>14162</v>
      </c>
      <c r="D1367" t="s">
        <v>4083</v>
      </c>
      <c r="E1367">
        <v>31542</v>
      </c>
      <c r="F1367" t="s">
        <v>736</v>
      </c>
      <c r="G1367">
        <v>315</v>
      </c>
      <c r="H1367" t="s">
        <v>64</v>
      </c>
      <c r="I1367">
        <v>3</v>
      </c>
      <c r="J1367" t="s">
        <v>50</v>
      </c>
    </row>
    <row r="1368" spans="1:10" x14ac:dyDescent="0.25">
      <c r="A1368" t="s">
        <v>7355</v>
      </c>
      <c r="B1368">
        <f>54666.1665180785*(1/100/100)</f>
        <v>5.4666166518078505</v>
      </c>
      <c r="C1368">
        <v>14163</v>
      </c>
      <c r="D1368" t="s">
        <v>4010</v>
      </c>
      <c r="E1368">
        <v>31524</v>
      </c>
      <c r="F1368" t="s">
        <v>64</v>
      </c>
      <c r="G1368">
        <v>315</v>
      </c>
      <c r="H1368" t="s">
        <v>64</v>
      </c>
      <c r="I1368">
        <v>3</v>
      </c>
      <c r="J1368" t="s">
        <v>50</v>
      </c>
    </row>
    <row r="1369" spans="1:10" x14ac:dyDescent="0.25">
      <c r="A1369" t="s">
        <v>7355</v>
      </c>
      <c r="B1369">
        <f>7666.67006835429*(1/100/100)</f>
        <v>0.7666670068354291</v>
      </c>
      <c r="C1369">
        <v>14164</v>
      </c>
      <c r="D1369" t="s">
        <v>3991</v>
      </c>
      <c r="E1369">
        <v>31520</v>
      </c>
      <c r="F1369" t="s">
        <v>723</v>
      </c>
      <c r="G1369">
        <v>315</v>
      </c>
      <c r="H1369" t="s">
        <v>64</v>
      </c>
      <c r="I1369">
        <v>3</v>
      </c>
      <c r="J1369" t="s">
        <v>50</v>
      </c>
    </row>
    <row r="1370" spans="1:10" x14ac:dyDescent="0.25">
      <c r="A1370" t="s">
        <v>7355</v>
      </c>
      <c r="B1370">
        <f>105922.610464472*(1/100/100)</f>
        <v>10.5922610464472</v>
      </c>
      <c r="C1370">
        <v>14165</v>
      </c>
      <c r="D1370" t="s">
        <v>1687</v>
      </c>
      <c r="E1370">
        <v>31524</v>
      </c>
      <c r="F1370" t="s">
        <v>64</v>
      </c>
      <c r="G1370">
        <v>315</v>
      </c>
      <c r="H1370" t="s">
        <v>64</v>
      </c>
      <c r="I1370">
        <v>3</v>
      </c>
      <c r="J1370" t="s">
        <v>50</v>
      </c>
    </row>
    <row r="1371" spans="1:10" x14ac:dyDescent="0.25">
      <c r="A1371" t="s">
        <v>7355</v>
      </c>
      <c r="B1371">
        <f>12170.7390576011*(1/100/100)</f>
        <v>1.2170739057601101</v>
      </c>
      <c r="C1371">
        <v>14166</v>
      </c>
      <c r="D1371" t="s">
        <v>3956</v>
      </c>
      <c r="E1371">
        <v>31508</v>
      </c>
      <c r="F1371" t="s">
        <v>714</v>
      </c>
      <c r="G1371">
        <v>315</v>
      </c>
      <c r="H1371" t="s">
        <v>64</v>
      </c>
      <c r="I1371">
        <v>3</v>
      </c>
      <c r="J1371" t="s">
        <v>50</v>
      </c>
    </row>
    <row r="1372" spans="1:10" x14ac:dyDescent="0.25">
      <c r="A1372" t="s">
        <v>7355</v>
      </c>
      <c r="B1372">
        <f>6881.02394136055*(1/100/100)</f>
        <v>0.68810239413605512</v>
      </c>
      <c r="C1372">
        <v>14167</v>
      </c>
      <c r="D1372" t="s">
        <v>1527</v>
      </c>
      <c r="E1372">
        <v>31507</v>
      </c>
      <c r="F1372" t="s">
        <v>713</v>
      </c>
      <c r="G1372">
        <v>315</v>
      </c>
      <c r="H1372" t="s">
        <v>64</v>
      </c>
      <c r="I1372">
        <v>3</v>
      </c>
      <c r="J1372" t="s">
        <v>50</v>
      </c>
    </row>
    <row r="1373" spans="1:10" x14ac:dyDescent="0.25">
      <c r="A1373" t="s">
        <v>7355</v>
      </c>
      <c r="B1373">
        <f>11257.0873304671*(1/100/100)</f>
        <v>1.1257087330467102</v>
      </c>
      <c r="C1373">
        <v>14168</v>
      </c>
      <c r="D1373" t="s">
        <v>3952</v>
      </c>
      <c r="E1373">
        <v>31507</v>
      </c>
      <c r="F1373" t="s">
        <v>713</v>
      </c>
      <c r="G1373">
        <v>315</v>
      </c>
      <c r="H1373" t="s">
        <v>64</v>
      </c>
      <c r="I1373">
        <v>3</v>
      </c>
      <c r="J1373" t="s">
        <v>50</v>
      </c>
    </row>
    <row r="1374" spans="1:10" x14ac:dyDescent="0.25">
      <c r="A1374" t="s">
        <v>7355</v>
      </c>
      <c r="B1374">
        <f>9545.16280710701*(1/100/100)</f>
        <v>0.95451628071070105</v>
      </c>
      <c r="C1374">
        <v>14169</v>
      </c>
      <c r="D1374" t="s">
        <v>3953</v>
      </c>
      <c r="E1374">
        <v>31507</v>
      </c>
      <c r="F1374" t="s">
        <v>713</v>
      </c>
      <c r="G1374">
        <v>315</v>
      </c>
      <c r="H1374" t="s">
        <v>64</v>
      </c>
      <c r="I1374">
        <v>3</v>
      </c>
      <c r="J1374" t="s">
        <v>50</v>
      </c>
    </row>
    <row r="1375" spans="1:10" x14ac:dyDescent="0.25">
      <c r="A1375" t="s">
        <v>7355</v>
      </c>
      <c r="B1375">
        <f>13770.8360936935*(1/100/100)</f>
        <v>1.3770836093693501</v>
      </c>
      <c r="C1375">
        <v>14170</v>
      </c>
      <c r="D1375" t="s">
        <v>3988</v>
      </c>
      <c r="E1375">
        <v>31519</v>
      </c>
      <c r="F1375" t="s">
        <v>722</v>
      </c>
      <c r="G1375">
        <v>315</v>
      </c>
      <c r="H1375" t="s">
        <v>64</v>
      </c>
      <c r="I1375">
        <v>3</v>
      </c>
      <c r="J1375" t="s">
        <v>50</v>
      </c>
    </row>
    <row r="1376" spans="1:10" x14ac:dyDescent="0.25">
      <c r="A1376" t="s">
        <v>7355</v>
      </c>
      <c r="B1376">
        <f>18613.6574398491*(1/100/100)</f>
        <v>1.8613657439849101</v>
      </c>
      <c r="C1376">
        <v>14171</v>
      </c>
      <c r="D1376" t="s">
        <v>2194</v>
      </c>
      <c r="E1376">
        <v>31524</v>
      </c>
      <c r="F1376" t="s">
        <v>64</v>
      </c>
      <c r="G1376">
        <v>315</v>
      </c>
      <c r="H1376" t="s">
        <v>64</v>
      </c>
      <c r="I1376">
        <v>3</v>
      </c>
      <c r="J1376" t="s">
        <v>50</v>
      </c>
    </row>
    <row r="1377" spans="1:10" x14ac:dyDescent="0.25">
      <c r="A1377" t="s">
        <v>7355</v>
      </c>
      <c r="B1377">
        <f>14149.6968044518*(1/100/100)</f>
        <v>1.4149696804451801</v>
      </c>
      <c r="C1377">
        <v>14172</v>
      </c>
      <c r="D1377" t="s">
        <v>4084</v>
      </c>
      <c r="E1377">
        <v>31542</v>
      </c>
      <c r="F1377" t="s">
        <v>736</v>
      </c>
      <c r="G1377">
        <v>315</v>
      </c>
      <c r="H1377" t="s">
        <v>64</v>
      </c>
      <c r="I1377">
        <v>3</v>
      </c>
      <c r="J1377" t="s">
        <v>50</v>
      </c>
    </row>
    <row r="1378" spans="1:10" x14ac:dyDescent="0.25">
      <c r="A1378" t="s">
        <v>7355</v>
      </c>
      <c r="B1378">
        <f>10139.6870100188*(1/100/100)</f>
        <v>1.0139687010018801</v>
      </c>
      <c r="C1378">
        <v>14173</v>
      </c>
      <c r="D1378" t="s">
        <v>2954</v>
      </c>
      <c r="E1378">
        <v>31533</v>
      </c>
      <c r="F1378" t="s">
        <v>732</v>
      </c>
      <c r="G1378">
        <v>315</v>
      </c>
      <c r="H1378" t="s">
        <v>64</v>
      </c>
      <c r="I1378">
        <v>3</v>
      </c>
      <c r="J1378" t="s">
        <v>50</v>
      </c>
    </row>
    <row r="1379" spans="1:10" x14ac:dyDescent="0.25">
      <c r="A1379" t="s">
        <v>7355</v>
      </c>
      <c r="B1379">
        <f>50448.8830104798*(1/100/100)</f>
        <v>5.0448883010479806</v>
      </c>
      <c r="C1379">
        <v>14174</v>
      </c>
      <c r="D1379" t="s">
        <v>4108</v>
      </c>
      <c r="E1379">
        <v>31550</v>
      </c>
      <c r="F1379" t="s">
        <v>740</v>
      </c>
      <c r="G1379">
        <v>315</v>
      </c>
      <c r="H1379" t="s">
        <v>64</v>
      </c>
      <c r="I1379">
        <v>3</v>
      </c>
      <c r="J1379" t="s">
        <v>50</v>
      </c>
    </row>
    <row r="1380" spans="1:10" x14ac:dyDescent="0.25">
      <c r="A1380" t="s">
        <v>7355</v>
      </c>
      <c r="B1380">
        <f>22840.7997447482*(1/100/100)</f>
        <v>2.2840799744748201</v>
      </c>
      <c r="C1380">
        <v>14175</v>
      </c>
      <c r="D1380" t="s">
        <v>3918</v>
      </c>
      <c r="E1380">
        <v>31502</v>
      </c>
      <c r="F1380" t="s">
        <v>708</v>
      </c>
      <c r="G1380">
        <v>315</v>
      </c>
      <c r="H1380" t="s">
        <v>64</v>
      </c>
      <c r="I1380">
        <v>3</v>
      </c>
      <c r="J1380" t="s">
        <v>50</v>
      </c>
    </row>
    <row r="1381" spans="1:10" x14ac:dyDescent="0.25">
      <c r="A1381" t="s">
        <v>7355</v>
      </c>
      <c r="B1381">
        <f>11540.3984940644*(1/100/100)</f>
        <v>1.1540398494064401</v>
      </c>
      <c r="C1381">
        <v>14176</v>
      </c>
      <c r="D1381" t="s">
        <v>2630</v>
      </c>
      <c r="E1381">
        <v>31502</v>
      </c>
      <c r="F1381" t="s">
        <v>708</v>
      </c>
      <c r="G1381">
        <v>315</v>
      </c>
      <c r="H1381" t="s">
        <v>64</v>
      </c>
      <c r="I1381">
        <v>3</v>
      </c>
      <c r="J1381" t="s">
        <v>50</v>
      </c>
    </row>
    <row r="1382" spans="1:10" x14ac:dyDescent="0.25">
      <c r="A1382" t="s">
        <v>7355</v>
      </c>
      <c r="B1382">
        <f>10009.740079503*(1/100/100)</f>
        <v>1.0009740079503002</v>
      </c>
      <c r="C1382">
        <v>14177</v>
      </c>
      <c r="D1382" t="s">
        <v>3919</v>
      </c>
      <c r="E1382">
        <v>31502</v>
      </c>
      <c r="F1382" t="s">
        <v>708</v>
      </c>
      <c r="G1382">
        <v>315</v>
      </c>
      <c r="H1382" t="s">
        <v>64</v>
      </c>
      <c r="I1382">
        <v>3</v>
      </c>
      <c r="J1382" t="s">
        <v>50</v>
      </c>
    </row>
    <row r="1383" spans="1:10" x14ac:dyDescent="0.25">
      <c r="A1383" t="s">
        <v>7355</v>
      </c>
      <c r="B1383">
        <f>28376.3561582371*(1/100/100)</f>
        <v>2.8376356158237104</v>
      </c>
      <c r="C1383">
        <v>14178</v>
      </c>
      <c r="D1383" t="s">
        <v>3920</v>
      </c>
      <c r="E1383">
        <v>31502</v>
      </c>
      <c r="F1383" t="s">
        <v>708</v>
      </c>
      <c r="G1383">
        <v>315</v>
      </c>
      <c r="H1383" t="s">
        <v>64</v>
      </c>
      <c r="I1383">
        <v>3</v>
      </c>
      <c r="J1383" t="s">
        <v>50</v>
      </c>
    </row>
    <row r="1384" spans="1:10" x14ac:dyDescent="0.25">
      <c r="A1384" t="s">
        <v>7355</v>
      </c>
      <c r="B1384">
        <f>10276.9566215458*(1/100/100)</f>
        <v>1.0276956621545801</v>
      </c>
      <c r="C1384">
        <v>14179</v>
      </c>
      <c r="D1384" t="s">
        <v>3921</v>
      </c>
      <c r="E1384">
        <v>31502</v>
      </c>
      <c r="F1384" t="s">
        <v>708</v>
      </c>
      <c r="G1384">
        <v>315</v>
      </c>
      <c r="H1384" t="s">
        <v>64</v>
      </c>
      <c r="I1384">
        <v>3</v>
      </c>
      <c r="J1384" t="s">
        <v>50</v>
      </c>
    </row>
    <row r="1385" spans="1:10" x14ac:dyDescent="0.25">
      <c r="A1385" t="s">
        <v>7355</v>
      </c>
      <c r="B1385">
        <f>57940.4683200358*(1/100/100)</f>
        <v>5.7940468320035796</v>
      </c>
      <c r="C1385">
        <v>14180</v>
      </c>
      <c r="D1385" t="s">
        <v>2658</v>
      </c>
      <c r="E1385">
        <v>31553</v>
      </c>
      <c r="F1385" t="s">
        <v>743</v>
      </c>
      <c r="G1385">
        <v>315</v>
      </c>
      <c r="H1385" t="s">
        <v>64</v>
      </c>
      <c r="I1385">
        <v>3</v>
      </c>
      <c r="J1385" t="s">
        <v>50</v>
      </c>
    </row>
    <row r="1386" spans="1:10" x14ac:dyDescent="0.25">
      <c r="A1386" t="s">
        <v>7355</v>
      </c>
      <c r="B1386">
        <f>12807.9991312489*(1/100/100)</f>
        <v>1.2807999131248902</v>
      </c>
      <c r="C1386">
        <v>14181</v>
      </c>
      <c r="D1386" t="s">
        <v>4117</v>
      </c>
      <c r="E1386">
        <v>31553</v>
      </c>
      <c r="F1386" t="s">
        <v>743</v>
      </c>
      <c r="G1386">
        <v>315</v>
      </c>
      <c r="H1386" t="s">
        <v>64</v>
      </c>
      <c r="I1386">
        <v>3</v>
      </c>
      <c r="J1386" t="s">
        <v>50</v>
      </c>
    </row>
    <row r="1387" spans="1:10" x14ac:dyDescent="0.25">
      <c r="A1387" t="s">
        <v>7355</v>
      </c>
      <c r="B1387">
        <f>18020.3401192479*(1/100/100)</f>
        <v>1.80203401192479</v>
      </c>
      <c r="C1387">
        <v>14182</v>
      </c>
      <c r="D1387" t="s">
        <v>2122</v>
      </c>
      <c r="E1387">
        <v>31553</v>
      </c>
      <c r="F1387" t="s">
        <v>743</v>
      </c>
      <c r="G1387">
        <v>315</v>
      </c>
      <c r="H1387" t="s">
        <v>64</v>
      </c>
      <c r="I1387">
        <v>3</v>
      </c>
      <c r="J1387" t="s">
        <v>50</v>
      </c>
    </row>
    <row r="1388" spans="1:10" x14ac:dyDescent="0.25">
      <c r="A1388" t="s">
        <v>7355</v>
      </c>
      <c r="B1388">
        <f>29854.4468824455*(1/100/100)</f>
        <v>2.98544468824455</v>
      </c>
      <c r="C1388">
        <v>14183</v>
      </c>
      <c r="D1388" t="s">
        <v>4118</v>
      </c>
      <c r="E1388">
        <v>31553</v>
      </c>
      <c r="F1388" t="s">
        <v>743</v>
      </c>
      <c r="G1388">
        <v>315</v>
      </c>
      <c r="H1388" t="s">
        <v>64</v>
      </c>
      <c r="I1388">
        <v>3</v>
      </c>
      <c r="J1388" t="s">
        <v>50</v>
      </c>
    </row>
    <row r="1389" spans="1:10" x14ac:dyDescent="0.25">
      <c r="A1389" t="s">
        <v>7355</v>
      </c>
      <c r="B1389">
        <f>19278.5868617316*(1/100/100)</f>
        <v>1.9278586861731601</v>
      </c>
      <c r="C1389">
        <v>14184</v>
      </c>
      <c r="D1389" t="s">
        <v>4119</v>
      </c>
      <c r="E1389">
        <v>31553</v>
      </c>
      <c r="F1389" t="s">
        <v>743</v>
      </c>
      <c r="G1389">
        <v>315</v>
      </c>
      <c r="H1389" t="s">
        <v>64</v>
      </c>
      <c r="I1389">
        <v>3</v>
      </c>
      <c r="J1389" t="s">
        <v>50</v>
      </c>
    </row>
    <row r="1390" spans="1:10" x14ac:dyDescent="0.25">
      <c r="A1390" t="s">
        <v>7355</v>
      </c>
      <c r="B1390">
        <f>17327.1038249873*(1/100/100)</f>
        <v>1.7327103824987302</v>
      </c>
      <c r="C1390">
        <v>14185</v>
      </c>
      <c r="D1390" t="s">
        <v>4120</v>
      </c>
      <c r="E1390">
        <v>31553</v>
      </c>
      <c r="F1390" t="s">
        <v>743</v>
      </c>
      <c r="G1390">
        <v>315</v>
      </c>
      <c r="H1390" t="s">
        <v>64</v>
      </c>
      <c r="I1390">
        <v>3</v>
      </c>
      <c r="J1390" t="s">
        <v>50</v>
      </c>
    </row>
    <row r="1391" spans="1:10" x14ac:dyDescent="0.25">
      <c r="A1391" t="s">
        <v>7355</v>
      </c>
      <c r="B1391">
        <f>20322.282148976*(1/100/100)</f>
        <v>2.0322282148976001</v>
      </c>
      <c r="C1391">
        <v>14186</v>
      </c>
      <c r="D1391" t="s">
        <v>4121</v>
      </c>
      <c r="E1391">
        <v>31553</v>
      </c>
      <c r="F1391" t="s">
        <v>743</v>
      </c>
      <c r="G1391">
        <v>315</v>
      </c>
      <c r="H1391" t="s">
        <v>64</v>
      </c>
      <c r="I1391">
        <v>3</v>
      </c>
      <c r="J1391" t="s">
        <v>50</v>
      </c>
    </row>
    <row r="1392" spans="1:10" x14ac:dyDescent="0.25">
      <c r="A1392" t="s">
        <v>7355</v>
      </c>
      <c r="B1392">
        <f>7367.0909044814*(1/100/100)</f>
        <v>0.73670909044814004</v>
      </c>
      <c r="C1392">
        <v>14187</v>
      </c>
      <c r="D1392" t="s">
        <v>4122</v>
      </c>
      <c r="E1392">
        <v>31553</v>
      </c>
      <c r="F1392" t="s">
        <v>743</v>
      </c>
      <c r="G1392">
        <v>315</v>
      </c>
      <c r="H1392" t="s">
        <v>64</v>
      </c>
      <c r="I1392">
        <v>3</v>
      </c>
      <c r="J1392" t="s">
        <v>50</v>
      </c>
    </row>
    <row r="1393" spans="1:10" x14ac:dyDescent="0.25">
      <c r="A1393" t="s">
        <v>7355</v>
      </c>
      <c r="B1393">
        <f>11015.6148691105*(1/100/100)</f>
        <v>1.1015614869110502</v>
      </c>
      <c r="C1393">
        <v>14188</v>
      </c>
      <c r="D1393" t="s">
        <v>4123</v>
      </c>
      <c r="E1393">
        <v>31553</v>
      </c>
      <c r="F1393" t="s">
        <v>743</v>
      </c>
      <c r="G1393">
        <v>315</v>
      </c>
      <c r="H1393" t="s">
        <v>64</v>
      </c>
      <c r="I1393">
        <v>3</v>
      </c>
      <c r="J1393" t="s">
        <v>50</v>
      </c>
    </row>
    <row r="1394" spans="1:10" x14ac:dyDescent="0.25">
      <c r="A1394" t="s">
        <v>7355</v>
      </c>
      <c r="B1394">
        <f>6683.19278612469*(1/100/100)</f>
        <v>0.66831927861246909</v>
      </c>
      <c r="C1394">
        <v>14189</v>
      </c>
      <c r="D1394" t="s">
        <v>4124</v>
      </c>
      <c r="E1394">
        <v>31553</v>
      </c>
      <c r="F1394" t="s">
        <v>743</v>
      </c>
      <c r="G1394">
        <v>315</v>
      </c>
      <c r="H1394" t="s">
        <v>64</v>
      </c>
      <c r="I1394">
        <v>3</v>
      </c>
      <c r="J1394" t="s">
        <v>50</v>
      </c>
    </row>
    <row r="1395" spans="1:10" x14ac:dyDescent="0.25">
      <c r="A1395" t="s">
        <v>7355</v>
      </c>
      <c r="B1395">
        <f>6717.94967091167*(1/100/100)</f>
        <v>0.67179496709116704</v>
      </c>
      <c r="C1395">
        <v>14190</v>
      </c>
      <c r="D1395" t="s">
        <v>4125</v>
      </c>
      <c r="E1395">
        <v>31553</v>
      </c>
      <c r="F1395" t="s">
        <v>743</v>
      </c>
      <c r="G1395">
        <v>315</v>
      </c>
      <c r="H1395" t="s">
        <v>64</v>
      </c>
      <c r="I1395">
        <v>3</v>
      </c>
      <c r="J1395" t="s">
        <v>50</v>
      </c>
    </row>
    <row r="1396" spans="1:10" x14ac:dyDescent="0.25">
      <c r="A1396" t="s">
        <v>7355</v>
      </c>
      <c r="B1396">
        <f>11741.4874137168*(1/100/100)</f>
        <v>1.1741487413716802</v>
      </c>
      <c r="C1396">
        <v>14191</v>
      </c>
      <c r="D1396" t="s">
        <v>4126</v>
      </c>
      <c r="E1396">
        <v>31553</v>
      </c>
      <c r="F1396" t="s">
        <v>743</v>
      </c>
      <c r="G1396">
        <v>315</v>
      </c>
      <c r="H1396" t="s">
        <v>64</v>
      </c>
      <c r="I1396">
        <v>3</v>
      </c>
      <c r="J1396" t="s">
        <v>50</v>
      </c>
    </row>
    <row r="1397" spans="1:10" x14ac:dyDescent="0.25">
      <c r="A1397" t="s">
        <v>7355</v>
      </c>
      <c r="B1397">
        <f>8303.66181415861*(1/100/100)</f>
        <v>0.83036618141586105</v>
      </c>
      <c r="C1397">
        <v>14192</v>
      </c>
      <c r="D1397" t="s">
        <v>3984</v>
      </c>
      <c r="E1397">
        <v>31517</v>
      </c>
      <c r="F1397" t="s">
        <v>721</v>
      </c>
      <c r="G1397">
        <v>315</v>
      </c>
      <c r="H1397" t="s">
        <v>64</v>
      </c>
      <c r="I1397">
        <v>3</v>
      </c>
      <c r="J1397" t="s">
        <v>50</v>
      </c>
    </row>
    <row r="1398" spans="1:10" x14ac:dyDescent="0.25">
      <c r="A1398" t="s">
        <v>7355</v>
      </c>
      <c r="B1398">
        <f>119580.16048096*(1/100/100)</f>
        <v>11.958016048096001</v>
      </c>
      <c r="C1398">
        <v>14201</v>
      </c>
      <c r="D1398" t="s">
        <v>2535</v>
      </c>
      <c r="E1398">
        <v>31552</v>
      </c>
      <c r="F1398" t="s">
        <v>742</v>
      </c>
      <c r="G1398">
        <v>315</v>
      </c>
      <c r="H1398" t="s">
        <v>64</v>
      </c>
      <c r="I1398">
        <v>3</v>
      </c>
      <c r="J1398" t="s">
        <v>50</v>
      </c>
    </row>
    <row r="1399" spans="1:10" x14ac:dyDescent="0.25">
      <c r="A1399" t="s">
        <v>7355</v>
      </c>
      <c r="B1399">
        <f>20534.3195453481*(1/100/100)</f>
        <v>2.0534319545348101</v>
      </c>
      <c r="C1399">
        <v>14202</v>
      </c>
      <c r="D1399" t="s">
        <v>4022</v>
      </c>
      <c r="E1399">
        <v>31528</v>
      </c>
      <c r="F1399" t="s">
        <v>729</v>
      </c>
      <c r="G1399">
        <v>315</v>
      </c>
      <c r="H1399" t="s">
        <v>64</v>
      </c>
      <c r="I1399">
        <v>3</v>
      </c>
      <c r="J1399" t="s">
        <v>50</v>
      </c>
    </row>
    <row r="1400" spans="1:10" x14ac:dyDescent="0.25">
      <c r="A1400" t="s">
        <v>7355</v>
      </c>
      <c r="B1400">
        <f>41178.8953621551*(1/100/100)</f>
        <v>4.1178895362155101</v>
      </c>
      <c r="C1400">
        <v>14203</v>
      </c>
      <c r="D1400" t="s">
        <v>3996</v>
      </c>
      <c r="E1400">
        <v>31522</v>
      </c>
      <c r="F1400" t="s">
        <v>725</v>
      </c>
      <c r="G1400">
        <v>315</v>
      </c>
      <c r="H1400" t="s">
        <v>64</v>
      </c>
      <c r="I1400">
        <v>3</v>
      </c>
      <c r="J1400" t="s">
        <v>50</v>
      </c>
    </row>
    <row r="1401" spans="1:10" x14ac:dyDescent="0.25">
      <c r="A1401" t="s">
        <v>7355</v>
      </c>
      <c r="B1401">
        <f>83963.0964721815*(1/100/100)</f>
        <v>8.3963096472181498</v>
      </c>
      <c r="C1401">
        <v>14205</v>
      </c>
      <c r="D1401" t="s">
        <v>712</v>
      </c>
      <c r="E1401">
        <v>31506</v>
      </c>
      <c r="F1401" t="s">
        <v>712</v>
      </c>
      <c r="G1401">
        <v>315</v>
      </c>
      <c r="H1401" t="s">
        <v>64</v>
      </c>
      <c r="I1401">
        <v>3</v>
      </c>
      <c r="J1401" t="s">
        <v>50</v>
      </c>
    </row>
    <row r="1402" spans="1:10" x14ac:dyDescent="0.25">
      <c r="A1402" t="s">
        <v>7355</v>
      </c>
      <c r="B1402">
        <f>37843.0003500708*(1/100/100)</f>
        <v>3.7843000350070799</v>
      </c>
      <c r="C1402">
        <v>14208</v>
      </c>
      <c r="D1402" t="s">
        <v>4078</v>
      </c>
      <c r="E1402">
        <v>31541</v>
      </c>
      <c r="F1402" t="s">
        <v>2468</v>
      </c>
      <c r="G1402">
        <v>315</v>
      </c>
      <c r="H1402" t="s">
        <v>64</v>
      </c>
      <c r="I1402">
        <v>3</v>
      </c>
      <c r="J1402" t="s">
        <v>50</v>
      </c>
    </row>
    <row r="1403" spans="1:10" x14ac:dyDescent="0.25">
      <c r="A1403" t="s">
        <v>7355</v>
      </c>
      <c r="B1403">
        <f>75268.9967254968*(1/100/100)</f>
        <v>7.5268996725496811</v>
      </c>
      <c r="C1403">
        <v>14209</v>
      </c>
      <c r="D1403" t="s">
        <v>4023</v>
      </c>
      <c r="E1403">
        <v>31530</v>
      </c>
      <c r="F1403" t="s">
        <v>730</v>
      </c>
      <c r="G1403">
        <v>315</v>
      </c>
      <c r="H1403" t="s">
        <v>64</v>
      </c>
      <c r="I1403">
        <v>3</v>
      </c>
      <c r="J1403" t="s">
        <v>50</v>
      </c>
    </row>
    <row r="1404" spans="1:10" x14ac:dyDescent="0.25">
      <c r="A1404" t="s">
        <v>7355</v>
      </c>
      <c r="B1404">
        <f>21386.8643791251*(1/100/100)</f>
        <v>2.1386864379125101</v>
      </c>
      <c r="C1404">
        <v>14210</v>
      </c>
      <c r="D1404" t="s">
        <v>3997</v>
      </c>
      <c r="E1404">
        <v>31522</v>
      </c>
      <c r="F1404" t="s">
        <v>725</v>
      </c>
      <c r="G1404">
        <v>315</v>
      </c>
      <c r="H1404" t="s">
        <v>64</v>
      </c>
      <c r="I1404">
        <v>3</v>
      </c>
      <c r="J1404" t="s">
        <v>50</v>
      </c>
    </row>
    <row r="1405" spans="1:10" x14ac:dyDescent="0.25">
      <c r="A1405" t="s">
        <v>7355</v>
      </c>
      <c r="B1405">
        <f>18763.9653903433*(1/100/100)</f>
        <v>1.87639653903433</v>
      </c>
      <c r="C1405">
        <v>14211</v>
      </c>
      <c r="D1405" t="s">
        <v>4024</v>
      </c>
      <c r="E1405">
        <v>31530</v>
      </c>
      <c r="F1405" t="s">
        <v>730</v>
      </c>
      <c r="G1405">
        <v>315</v>
      </c>
      <c r="H1405" t="s">
        <v>64</v>
      </c>
      <c r="I1405">
        <v>3</v>
      </c>
      <c r="J1405" t="s">
        <v>50</v>
      </c>
    </row>
    <row r="1406" spans="1:10" x14ac:dyDescent="0.25">
      <c r="A1406" t="s">
        <v>7355</v>
      </c>
      <c r="B1406">
        <f>133196.838726934*(1/100/100)</f>
        <v>13.3196838726934</v>
      </c>
      <c r="C1406">
        <v>14214</v>
      </c>
      <c r="D1406" t="s">
        <v>716</v>
      </c>
      <c r="E1406">
        <v>31511</v>
      </c>
      <c r="F1406" t="s">
        <v>716</v>
      </c>
      <c r="G1406">
        <v>315</v>
      </c>
      <c r="H1406" t="s">
        <v>64</v>
      </c>
      <c r="I1406">
        <v>3</v>
      </c>
      <c r="J1406" t="s">
        <v>50</v>
      </c>
    </row>
    <row r="1407" spans="1:10" x14ac:dyDescent="0.25">
      <c r="A1407" t="s">
        <v>7355</v>
      </c>
      <c r="B1407">
        <f>46812.0808196569*(1/100/100)</f>
        <v>4.68120808196569</v>
      </c>
      <c r="C1407">
        <v>14215</v>
      </c>
      <c r="D1407" t="s">
        <v>4114</v>
      </c>
      <c r="E1407">
        <v>31552</v>
      </c>
      <c r="F1407" t="s">
        <v>742</v>
      </c>
      <c r="G1407">
        <v>315</v>
      </c>
      <c r="H1407" t="s">
        <v>64</v>
      </c>
      <c r="I1407">
        <v>3</v>
      </c>
      <c r="J1407" t="s">
        <v>50</v>
      </c>
    </row>
    <row r="1408" spans="1:10" x14ac:dyDescent="0.25">
      <c r="A1408" t="s">
        <v>7355</v>
      </c>
      <c r="B1408">
        <f>45987.3962346231*(1/100/100)</f>
        <v>4.5987396234623104</v>
      </c>
      <c r="C1408">
        <v>14216</v>
      </c>
      <c r="D1408" t="s">
        <v>4115</v>
      </c>
      <c r="E1408">
        <v>31552</v>
      </c>
      <c r="F1408" t="s">
        <v>742</v>
      </c>
      <c r="G1408">
        <v>315</v>
      </c>
      <c r="H1408" t="s">
        <v>64</v>
      </c>
      <c r="I1408">
        <v>3</v>
      </c>
      <c r="J1408" t="s">
        <v>50</v>
      </c>
    </row>
    <row r="1409" spans="1:10" x14ac:dyDescent="0.25">
      <c r="A1409" t="s">
        <v>7355</v>
      </c>
      <c r="B1409">
        <f>68674.4207166176*(1/100/100)</f>
        <v>6.8674420716617606</v>
      </c>
      <c r="C1409">
        <v>14219</v>
      </c>
      <c r="D1409" t="s">
        <v>3983</v>
      </c>
      <c r="E1409">
        <v>31522</v>
      </c>
      <c r="F1409" t="s">
        <v>725</v>
      </c>
      <c r="G1409">
        <v>315</v>
      </c>
      <c r="H1409" t="s">
        <v>64</v>
      </c>
      <c r="I1409">
        <v>3</v>
      </c>
      <c r="J1409" t="s">
        <v>50</v>
      </c>
    </row>
    <row r="1410" spans="1:10" x14ac:dyDescent="0.25">
      <c r="A1410" t="s">
        <v>7355</v>
      </c>
      <c r="B1410">
        <f>56666.4850881776*(1/100/100)</f>
        <v>5.6666485088177607</v>
      </c>
      <c r="C1410">
        <v>14220</v>
      </c>
      <c r="D1410" t="s">
        <v>3998</v>
      </c>
      <c r="E1410">
        <v>31522</v>
      </c>
      <c r="F1410" t="s">
        <v>725</v>
      </c>
      <c r="G1410">
        <v>315</v>
      </c>
      <c r="H1410" t="s">
        <v>64</v>
      </c>
      <c r="I1410">
        <v>3</v>
      </c>
      <c r="J1410" t="s">
        <v>50</v>
      </c>
    </row>
    <row r="1411" spans="1:10" x14ac:dyDescent="0.25">
      <c r="A1411" t="s">
        <v>7355</v>
      </c>
      <c r="B1411">
        <f>26316.1755504052*(1/100/100)</f>
        <v>2.6316175550405201</v>
      </c>
      <c r="C1411">
        <v>14221</v>
      </c>
      <c r="D1411" t="s">
        <v>726</v>
      </c>
      <c r="E1411">
        <v>31523</v>
      </c>
      <c r="F1411" t="s">
        <v>726</v>
      </c>
      <c r="G1411">
        <v>315</v>
      </c>
      <c r="H1411" t="s">
        <v>64</v>
      </c>
      <c r="I1411">
        <v>3</v>
      </c>
      <c r="J1411" t="s">
        <v>50</v>
      </c>
    </row>
    <row r="1412" spans="1:10" x14ac:dyDescent="0.25">
      <c r="A1412" t="s">
        <v>7355</v>
      </c>
      <c r="B1412">
        <f>45215.435365213*(1/100/100)</f>
        <v>4.5215435365213006</v>
      </c>
      <c r="C1412">
        <v>14223</v>
      </c>
      <c r="D1412" t="s">
        <v>3121</v>
      </c>
      <c r="E1412">
        <v>31528</v>
      </c>
      <c r="F1412" t="s">
        <v>729</v>
      </c>
      <c r="G1412">
        <v>315</v>
      </c>
      <c r="H1412" t="s">
        <v>64</v>
      </c>
      <c r="I1412">
        <v>3</v>
      </c>
      <c r="J1412" t="s">
        <v>50</v>
      </c>
    </row>
    <row r="1413" spans="1:10" x14ac:dyDescent="0.25">
      <c r="A1413" t="s">
        <v>7355</v>
      </c>
      <c r="B1413">
        <f>75499.2797383097*(1/100/100)</f>
        <v>7.5499279738309708</v>
      </c>
      <c r="C1413">
        <v>14225</v>
      </c>
      <c r="D1413" t="s">
        <v>729</v>
      </c>
      <c r="E1413">
        <v>31528</v>
      </c>
      <c r="F1413" t="s">
        <v>729</v>
      </c>
      <c r="G1413">
        <v>315</v>
      </c>
      <c r="H1413" t="s">
        <v>64</v>
      </c>
      <c r="I1413">
        <v>3</v>
      </c>
      <c r="J1413" t="s">
        <v>50</v>
      </c>
    </row>
    <row r="1414" spans="1:10" x14ac:dyDescent="0.25">
      <c r="A1414" t="s">
        <v>7355</v>
      </c>
      <c r="B1414">
        <f>27116.7072115536*(1/100/100)</f>
        <v>2.7116707211553601</v>
      </c>
      <c r="C1414">
        <v>14227</v>
      </c>
      <c r="D1414" t="s">
        <v>3999</v>
      </c>
      <c r="E1414">
        <v>31523</v>
      </c>
      <c r="F1414" t="s">
        <v>726</v>
      </c>
      <c r="G1414">
        <v>315</v>
      </c>
      <c r="H1414" t="s">
        <v>64</v>
      </c>
      <c r="I1414">
        <v>3</v>
      </c>
      <c r="J1414" t="s">
        <v>50</v>
      </c>
    </row>
    <row r="1415" spans="1:10" x14ac:dyDescent="0.25">
      <c r="A1415" t="s">
        <v>7355</v>
      </c>
      <c r="B1415">
        <f>9882.37780085047*(1/100/100)</f>
        <v>0.98823778008504715</v>
      </c>
      <c r="C1415">
        <v>14228</v>
      </c>
      <c r="D1415" t="s">
        <v>4000</v>
      </c>
      <c r="E1415">
        <v>31523</v>
      </c>
      <c r="F1415" t="s">
        <v>726</v>
      </c>
      <c r="G1415">
        <v>315</v>
      </c>
      <c r="H1415" t="s">
        <v>64</v>
      </c>
      <c r="I1415">
        <v>3</v>
      </c>
      <c r="J1415" t="s">
        <v>50</v>
      </c>
    </row>
    <row r="1416" spans="1:10" x14ac:dyDescent="0.25">
      <c r="A1416" t="s">
        <v>7355</v>
      </c>
      <c r="B1416">
        <f>126004.6640765*(1/100/100)</f>
        <v>12.600466407650002</v>
      </c>
      <c r="C1416">
        <v>14230</v>
      </c>
      <c r="D1416" t="s">
        <v>4025</v>
      </c>
      <c r="E1416">
        <v>31530</v>
      </c>
      <c r="F1416" t="s">
        <v>730</v>
      </c>
      <c r="G1416">
        <v>315</v>
      </c>
      <c r="H1416" t="s">
        <v>64</v>
      </c>
      <c r="I1416">
        <v>3</v>
      </c>
      <c r="J1416" t="s">
        <v>50</v>
      </c>
    </row>
    <row r="1417" spans="1:10" x14ac:dyDescent="0.25">
      <c r="A1417" t="s">
        <v>7355</v>
      </c>
      <c r="B1417">
        <f>13305.3200085397*(1/100/100)</f>
        <v>1.3305320008539701</v>
      </c>
      <c r="C1417">
        <v>14232</v>
      </c>
      <c r="D1417" t="s">
        <v>2619</v>
      </c>
      <c r="E1417">
        <v>31523</v>
      </c>
      <c r="F1417" t="s">
        <v>726</v>
      </c>
      <c r="G1417">
        <v>315</v>
      </c>
      <c r="H1417" t="s">
        <v>64</v>
      </c>
      <c r="I1417">
        <v>3</v>
      </c>
      <c r="J1417" t="s">
        <v>50</v>
      </c>
    </row>
    <row r="1418" spans="1:10" x14ac:dyDescent="0.25">
      <c r="A1418" t="s">
        <v>7355</v>
      </c>
      <c r="B1418">
        <f>15599.58776241*(1/100/100)</f>
        <v>1.5599587762410001</v>
      </c>
      <c r="C1418">
        <v>14233</v>
      </c>
      <c r="D1418" t="s">
        <v>3958</v>
      </c>
      <c r="E1418">
        <v>31511</v>
      </c>
      <c r="F1418" t="s">
        <v>716</v>
      </c>
      <c r="G1418">
        <v>315</v>
      </c>
      <c r="H1418" t="s">
        <v>64</v>
      </c>
      <c r="I1418">
        <v>3</v>
      </c>
      <c r="J1418" t="s">
        <v>50</v>
      </c>
    </row>
    <row r="1419" spans="1:10" x14ac:dyDescent="0.25">
      <c r="A1419" t="s">
        <v>7355</v>
      </c>
      <c r="B1419">
        <f>77664.1664268191*(1/100/100)</f>
        <v>7.7664166426819099</v>
      </c>
      <c r="C1419">
        <v>14234</v>
      </c>
      <c r="D1419" t="s">
        <v>2468</v>
      </c>
      <c r="E1419">
        <v>31541</v>
      </c>
      <c r="F1419" t="s">
        <v>2468</v>
      </c>
      <c r="G1419">
        <v>315</v>
      </c>
      <c r="H1419" t="s">
        <v>64</v>
      </c>
      <c r="I1419">
        <v>3</v>
      </c>
      <c r="J1419" t="s">
        <v>50</v>
      </c>
    </row>
    <row r="1420" spans="1:10" x14ac:dyDescent="0.25">
      <c r="A1420" t="s">
        <v>7355</v>
      </c>
      <c r="B1420">
        <f>55602.5320715*(1/100/100)</f>
        <v>5.5602532071499997</v>
      </c>
      <c r="C1420">
        <v>14235</v>
      </c>
      <c r="D1420" t="s">
        <v>4079</v>
      </c>
      <c r="E1420">
        <v>31541</v>
      </c>
      <c r="F1420" t="s">
        <v>2468</v>
      </c>
      <c r="G1420">
        <v>315</v>
      </c>
      <c r="H1420" t="s">
        <v>64</v>
      </c>
      <c r="I1420">
        <v>3</v>
      </c>
      <c r="J1420" t="s">
        <v>50</v>
      </c>
    </row>
    <row r="1421" spans="1:10" x14ac:dyDescent="0.25">
      <c r="A1421" t="s">
        <v>7355</v>
      </c>
      <c r="B1421">
        <f>10146.3224899913*(1/100/100)</f>
        <v>1.0146322489991302</v>
      </c>
      <c r="C1421">
        <v>14237</v>
      </c>
      <c r="D1421" t="s">
        <v>4001</v>
      </c>
      <c r="E1421">
        <v>31523</v>
      </c>
      <c r="F1421" t="s">
        <v>726</v>
      </c>
      <c r="G1421">
        <v>315</v>
      </c>
      <c r="H1421" t="s">
        <v>64</v>
      </c>
      <c r="I1421">
        <v>3</v>
      </c>
      <c r="J1421" t="s">
        <v>50</v>
      </c>
    </row>
    <row r="1422" spans="1:10" x14ac:dyDescent="0.25">
      <c r="A1422" t="s">
        <v>7355</v>
      </c>
      <c r="B1422">
        <f>19889.5191194322*(1/100/100)</f>
        <v>1.98895191194322</v>
      </c>
      <c r="C1422">
        <v>14238</v>
      </c>
      <c r="D1422" t="s">
        <v>4002</v>
      </c>
      <c r="E1422">
        <v>31523</v>
      </c>
      <c r="F1422" t="s">
        <v>726</v>
      </c>
      <c r="G1422">
        <v>315</v>
      </c>
      <c r="H1422" t="s">
        <v>64</v>
      </c>
      <c r="I1422">
        <v>3</v>
      </c>
      <c r="J1422" t="s">
        <v>50</v>
      </c>
    </row>
    <row r="1423" spans="1:10" x14ac:dyDescent="0.25">
      <c r="A1423" t="s">
        <v>7355</v>
      </c>
      <c r="B1423">
        <f>49968.3375253247*(1/100/100)</f>
        <v>4.9968337525324698</v>
      </c>
      <c r="C1423">
        <v>14239</v>
      </c>
      <c r="D1423" t="s">
        <v>3959</v>
      </c>
      <c r="E1423">
        <v>31511</v>
      </c>
      <c r="F1423" t="s">
        <v>716</v>
      </c>
      <c r="G1423">
        <v>315</v>
      </c>
      <c r="H1423" t="s">
        <v>64</v>
      </c>
      <c r="I1423">
        <v>3</v>
      </c>
      <c r="J1423" t="s">
        <v>50</v>
      </c>
    </row>
    <row r="1424" spans="1:10" x14ac:dyDescent="0.25">
      <c r="A1424" t="s">
        <v>7355</v>
      </c>
      <c r="B1424">
        <f>6456.68300773744*(1/100/100)</f>
        <v>0.64566830077374404</v>
      </c>
      <c r="C1424">
        <v>14240</v>
      </c>
      <c r="D1424" t="s">
        <v>4003</v>
      </c>
      <c r="E1424">
        <v>31523</v>
      </c>
      <c r="F1424" t="s">
        <v>726</v>
      </c>
      <c r="G1424">
        <v>315</v>
      </c>
      <c r="H1424" t="s">
        <v>64</v>
      </c>
      <c r="I1424">
        <v>3</v>
      </c>
      <c r="J1424" t="s">
        <v>50</v>
      </c>
    </row>
    <row r="1425" spans="1:10" x14ac:dyDescent="0.25">
      <c r="A1425" t="s">
        <v>7355</v>
      </c>
      <c r="B1425">
        <f>66003.5136684887*(1/100/100)</f>
        <v>6.6003513668488702</v>
      </c>
      <c r="C1425">
        <v>14241</v>
      </c>
      <c r="D1425" t="s">
        <v>4116</v>
      </c>
      <c r="E1425">
        <v>31552</v>
      </c>
      <c r="F1425" t="s">
        <v>742</v>
      </c>
      <c r="G1425">
        <v>315</v>
      </c>
      <c r="H1425" t="s">
        <v>64</v>
      </c>
      <c r="I1425">
        <v>3</v>
      </c>
      <c r="J1425" t="s">
        <v>50</v>
      </c>
    </row>
    <row r="1426" spans="1:10" x14ac:dyDescent="0.25">
      <c r="A1426" t="s">
        <v>7355</v>
      </c>
      <c r="B1426">
        <f>9701.6051497286*(1/100/100)</f>
        <v>0.97016051497286016</v>
      </c>
      <c r="C1426">
        <v>14301</v>
      </c>
      <c r="D1426" t="s">
        <v>4052</v>
      </c>
      <c r="E1426">
        <v>31535</v>
      </c>
      <c r="F1426" t="s">
        <v>734</v>
      </c>
      <c r="G1426">
        <v>315</v>
      </c>
      <c r="H1426" t="s">
        <v>64</v>
      </c>
      <c r="I1426">
        <v>3</v>
      </c>
      <c r="J1426" t="s">
        <v>50</v>
      </c>
    </row>
    <row r="1427" spans="1:10" x14ac:dyDescent="0.25">
      <c r="A1427" t="s">
        <v>7355</v>
      </c>
      <c r="B1427">
        <f>12511.6097292628*(1/100/100)</f>
        <v>1.25116097292628</v>
      </c>
      <c r="C1427">
        <v>14302</v>
      </c>
      <c r="D1427" t="s">
        <v>3922</v>
      </c>
      <c r="E1427">
        <v>31502</v>
      </c>
      <c r="F1427" t="s">
        <v>708</v>
      </c>
      <c r="G1427">
        <v>315</v>
      </c>
      <c r="H1427" t="s">
        <v>64</v>
      </c>
      <c r="I1427">
        <v>3</v>
      </c>
      <c r="J1427" t="s">
        <v>50</v>
      </c>
    </row>
    <row r="1428" spans="1:10" x14ac:dyDescent="0.25">
      <c r="A1428" t="s">
        <v>7355</v>
      </c>
      <c r="B1428">
        <f>44310.3017229793*(1/100/100)</f>
        <v>4.4310301722979295</v>
      </c>
      <c r="C1428">
        <v>14303</v>
      </c>
      <c r="D1428" t="s">
        <v>4030</v>
      </c>
      <c r="E1428">
        <v>31534</v>
      </c>
      <c r="F1428" t="s">
        <v>733</v>
      </c>
      <c r="G1428">
        <v>315</v>
      </c>
      <c r="H1428" t="s">
        <v>64</v>
      </c>
      <c r="I1428">
        <v>3</v>
      </c>
      <c r="J1428" t="s">
        <v>50</v>
      </c>
    </row>
    <row r="1429" spans="1:10" x14ac:dyDescent="0.25">
      <c r="A1429" t="s">
        <v>7355</v>
      </c>
      <c r="B1429">
        <f>30163.432612699*(1/100/100)</f>
        <v>3.0163432612699004</v>
      </c>
      <c r="C1429">
        <v>14304</v>
      </c>
      <c r="D1429" t="s">
        <v>4031</v>
      </c>
      <c r="E1429">
        <v>31534</v>
      </c>
      <c r="F1429" t="s">
        <v>733</v>
      </c>
      <c r="G1429">
        <v>315</v>
      </c>
      <c r="H1429" t="s">
        <v>64</v>
      </c>
      <c r="I1429">
        <v>3</v>
      </c>
      <c r="J1429" t="s">
        <v>50</v>
      </c>
    </row>
    <row r="1430" spans="1:10" x14ac:dyDescent="0.25">
      <c r="A1430" t="s">
        <v>7355</v>
      </c>
      <c r="B1430">
        <f>7283.078445552*(1/100/100)</f>
        <v>0.72830784455520003</v>
      </c>
      <c r="C1430">
        <v>14305</v>
      </c>
      <c r="D1430" t="s">
        <v>4032</v>
      </c>
      <c r="E1430">
        <v>31534</v>
      </c>
      <c r="F1430" t="s">
        <v>733</v>
      </c>
      <c r="G1430">
        <v>315</v>
      </c>
      <c r="H1430" t="s">
        <v>64</v>
      </c>
      <c r="I1430">
        <v>3</v>
      </c>
      <c r="J1430" t="s">
        <v>50</v>
      </c>
    </row>
    <row r="1431" spans="1:10" x14ac:dyDescent="0.25">
      <c r="A1431" t="s">
        <v>7355</v>
      </c>
      <c r="B1431">
        <f>17031.3390414043*(1/100/100)</f>
        <v>1.7031339041404299</v>
      </c>
      <c r="C1431">
        <v>14306</v>
      </c>
      <c r="D1431" t="s">
        <v>4053</v>
      </c>
      <c r="E1431">
        <v>31535</v>
      </c>
      <c r="F1431" t="s">
        <v>734</v>
      </c>
      <c r="G1431">
        <v>315</v>
      </c>
      <c r="H1431" t="s">
        <v>64</v>
      </c>
      <c r="I1431">
        <v>3</v>
      </c>
      <c r="J1431" t="s">
        <v>50</v>
      </c>
    </row>
    <row r="1432" spans="1:10" x14ac:dyDescent="0.25">
      <c r="A1432" t="s">
        <v>7355</v>
      </c>
      <c r="B1432">
        <f>11512.8200887108*(1/100/100)</f>
        <v>1.15128200887108</v>
      </c>
      <c r="C1432">
        <v>14307</v>
      </c>
      <c r="D1432" t="s">
        <v>4033</v>
      </c>
      <c r="E1432">
        <v>31534</v>
      </c>
      <c r="F1432" t="s">
        <v>733</v>
      </c>
      <c r="G1432">
        <v>315</v>
      </c>
      <c r="H1432" t="s">
        <v>64</v>
      </c>
      <c r="I1432">
        <v>3</v>
      </c>
      <c r="J1432" t="s">
        <v>50</v>
      </c>
    </row>
    <row r="1433" spans="1:10" x14ac:dyDescent="0.25">
      <c r="A1433" t="s">
        <v>7355</v>
      </c>
      <c r="B1433">
        <f>15342.4323295697*(1/100/100)</f>
        <v>1.53424323295697</v>
      </c>
      <c r="C1433">
        <v>14308</v>
      </c>
      <c r="D1433" t="s">
        <v>4034</v>
      </c>
      <c r="E1433">
        <v>31534</v>
      </c>
      <c r="F1433" t="s">
        <v>733</v>
      </c>
      <c r="G1433">
        <v>315</v>
      </c>
      <c r="H1433" t="s">
        <v>64</v>
      </c>
      <c r="I1433">
        <v>3</v>
      </c>
      <c r="J1433" t="s">
        <v>50</v>
      </c>
    </row>
    <row r="1434" spans="1:10" x14ac:dyDescent="0.25">
      <c r="A1434" t="s">
        <v>7355</v>
      </c>
      <c r="B1434">
        <f>9170.58893820886*(1/100/100)</f>
        <v>0.91705889382088612</v>
      </c>
      <c r="C1434">
        <v>14309</v>
      </c>
      <c r="D1434" t="s">
        <v>3923</v>
      </c>
      <c r="E1434">
        <v>31502</v>
      </c>
      <c r="F1434" t="s">
        <v>708</v>
      </c>
      <c r="G1434">
        <v>315</v>
      </c>
      <c r="H1434" t="s">
        <v>64</v>
      </c>
      <c r="I1434">
        <v>3</v>
      </c>
      <c r="J1434" t="s">
        <v>50</v>
      </c>
    </row>
    <row r="1435" spans="1:10" x14ac:dyDescent="0.25">
      <c r="A1435" t="s">
        <v>7355</v>
      </c>
      <c r="B1435">
        <f>2544.09631864786*(1/100/100)</f>
        <v>0.25440963186478599</v>
      </c>
      <c r="C1435">
        <v>14310</v>
      </c>
      <c r="D1435" t="s">
        <v>4054</v>
      </c>
      <c r="E1435">
        <v>31535</v>
      </c>
      <c r="F1435" t="s">
        <v>734</v>
      </c>
      <c r="G1435">
        <v>315</v>
      </c>
      <c r="H1435" t="s">
        <v>64</v>
      </c>
      <c r="I1435">
        <v>3</v>
      </c>
      <c r="J1435" t="s">
        <v>50</v>
      </c>
    </row>
    <row r="1436" spans="1:10" x14ac:dyDescent="0.25">
      <c r="A1436" t="s">
        <v>7355</v>
      </c>
      <c r="B1436">
        <f>3889.81669422925*(1/100/100)</f>
        <v>0.388981669422925</v>
      </c>
      <c r="C1436">
        <v>14311</v>
      </c>
      <c r="D1436" t="s">
        <v>4088</v>
      </c>
      <c r="E1436">
        <v>31546</v>
      </c>
      <c r="F1436" t="s">
        <v>738</v>
      </c>
      <c r="G1436">
        <v>315</v>
      </c>
      <c r="H1436" t="s">
        <v>64</v>
      </c>
      <c r="I1436">
        <v>3</v>
      </c>
      <c r="J1436" t="s">
        <v>50</v>
      </c>
    </row>
    <row r="1437" spans="1:10" x14ac:dyDescent="0.25">
      <c r="A1437" t="s">
        <v>7355</v>
      </c>
      <c r="B1437">
        <f>13989.9976144623*(1/100/100)</f>
        <v>1.39899976144623</v>
      </c>
      <c r="C1437">
        <v>14312</v>
      </c>
      <c r="D1437" t="s">
        <v>4089</v>
      </c>
      <c r="E1437">
        <v>31546</v>
      </c>
      <c r="F1437" t="s">
        <v>738</v>
      </c>
      <c r="G1437">
        <v>315</v>
      </c>
      <c r="H1437" t="s">
        <v>64</v>
      </c>
      <c r="I1437">
        <v>3</v>
      </c>
      <c r="J1437" t="s">
        <v>50</v>
      </c>
    </row>
    <row r="1438" spans="1:10" x14ac:dyDescent="0.25">
      <c r="A1438" t="s">
        <v>7355</v>
      </c>
      <c r="B1438">
        <f>16642.5611420974*(1/100/100)</f>
        <v>1.6642561142097398</v>
      </c>
      <c r="C1438">
        <v>14313</v>
      </c>
      <c r="D1438" t="s">
        <v>2511</v>
      </c>
      <c r="E1438">
        <v>31535</v>
      </c>
      <c r="F1438" t="s">
        <v>734</v>
      </c>
      <c r="G1438">
        <v>315</v>
      </c>
      <c r="H1438" t="s">
        <v>64</v>
      </c>
      <c r="I1438">
        <v>3</v>
      </c>
      <c r="J1438" t="s">
        <v>50</v>
      </c>
    </row>
    <row r="1439" spans="1:10" x14ac:dyDescent="0.25">
      <c r="A1439" t="s">
        <v>7355</v>
      </c>
      <c r="B1439">
        <f>8524.40160523397*(1/100/100)</f>
        <v>0.85244016052339711</v>
      </c>
      <c r="C1439">
        <v>14314</v>
      </c>
      <c r="D1439" t="s">
        <v>4090</v>
      </c>
      <c r="E1439">
        <v>31546</v>
      </c>
      <c r="F1439" t="s">
        <v>738</v>
      </c>
      <c r="G1439">
        <v>315</v>
      </c>
      <c r="H1439" t="s">
        <v>64</v>
      </c>
      <c r="I1439">
        <v>3</v>
      </c>
      <c r="J1439" t="s">
        <v>50</v>
      </c>
    </row>
    <row r="1440" spans="1:10" x14ac:dyDescent="0.25">
      <c r="A1440" t="s">
        <v>7355</v>
      </c>
      <c r="B1440">
        <f>12127.11461131*(1/100/100)</f>
        <v>1.2127114611310001</v>
      </c>
      <c r="C1440">
        <v>14315</v>
      </c>
      <c r="D1440" t="s">
        <v>842</v>
      </c>
      <c r="E1440">
        <v>31534</v>
      </c>
      <c r="F1440" t="s">
        <v>733</v>
      </c>
      <c r="G1440">
        <v>315</v>
      </c>
      <c r="H1440" t="s">
        <v>64</v>
      </c>
      <c r="I1440">
        <v>3</v>
      </c>
      <c r="J1440" t="s">
        <v>50</v>
      </c>
    </row>
    <row r="1441" spans="1:10" x14ac:dyDescent="0.25">
      <c r="A1441" t="s">
        <v>7355</v>
      </c>
      <c r="B1441">
        <f>28106.2638568686*(1/100/100)</f>
        <v>2.8106263856868603</v>
      </c>
      <c r="C1441">
        <v>14316</v>
      </c>
      <c r="D1441" t="s">
        <v>4011</v>
      </c>
      <c r="E1441">
        <v>31525</v>
      </c>
      <c r="F1441" t="s">
        <v>727</v>
      </c>
      <c r="G1441">
        <v>315</v>
      </c>
      <c r="H1441" t="s">
        <v>64</v>
      </c>
      <c r="I1441">
        <v>3</v>
      </c>
      <c r="J1441" t="s">
        <v>50</v>
      </c>
    </row>
    <row r="1442" spans="1:10" x14ac:dyDescent="0.25">
      <c r="A1442" t="s">
        <v>7355</v>
      </c>
      <c r="B1442">
        <f>10789.8198423293*(1/100/100)</f>
        <v>1.07898198423293</v>
      </c>
      <c r="C1442">
        <v>14317</v>
      </c>
      <c r="D1442" t="s">
        <v>4091</v>
      </c>
      <c r="E1442">
        <v>31546</v>
      </c>
      <c r="F1442" t="s">
        <v>738</v>
      </c>
      <c r="G1442">
        <v>315</v>
      </c>
      <c r="H1442" t="s">
        <v>64</v>
      </c>
      <c r="I1442">
        <v>3</v>
      </c>
      <c r="J1442" t="s">
        <v>50</v>
      </c>
    </row>
    <row r="1443" spans="1:10" x14ac:dyDescent="0.25">
      <c r="A1443" t="s">
        <v>7355</v>
      </c>
      <c r="B1443">
        <f>4187.36013021621*(1/100/100)</f>
        <v>0.418736013021621</v>
      </c>
      <c r="C1443">
        <v>14318</v>
      </c>
      <c r="D1443" t="s">
        <v>4055</v>
      </c>
      <c r="E1443">
        <v>31535</v>
      </c>
      <c r="F1443" t="s">
        <v>734</v>
      </c>
      <c r="G1443">
        <v>315</v>
      </c>
      <c r="H1443" t="s">
        <v>64</v>
      </c>
      <c r="I1443">
        <v>3</v>
      </c>
      <c r="J1443" t="s">
        <v>50</v>
      </c>
    </row>
    <row r="1444" spans="1:10" x14ac:dyDescent="0.25">
      <c r="A1444" t="s">
        <v>7355</v>
      </c>
      <c r="B1444">
        <f>1455.75531294579*(1/100/100)</f>
        <v>0.14557553129457901</v>
      </c>
      <c r="C1444">
        <v>14319</v>
      </c>
      <c r="D1444" t="s">
        <v>4035</v>
      </c>
      <c r="E1444">
        <v>31534</v>
      </c>
      <c r="F1444" t="s">
        <v>733</v>
      </c>
      <c r="G1444">
        <v>315</v>
      </c>
      <c r="H1444" t="s">
        <v>64</v>
      </c>
      <c r="I1444">
        <v>3</v>
      </c>
      <c r="J1444" t="s">
        <v>50</v>
      </c>
    </row>
    <row r="1445" spans="1:10" x14ac:dyDescent="0.25">
      <c r="A1445" t="s">
        <v>7355</v>
      </c>
      <c r="B1445">
        <f>2961.18373191243*(1/100/100)</f>
        <v>0.29611837319124301</v>
      </c>
      <c r="C1445">
        <v>14320</v>
      </c>
      <c r="D1445" t="s">
        <v>4036</v>
      </c>
      <c r="E1445">
        <v>31534</v>
      </c>
      <c r="F1445" t="s">
        <v>733</v>
      </c>
      <c r="G1445">
        <v>315</v>
      </c>
      <c r="H1445" t="s">
        <v>64</v>
      </c>
      <c r="I1445">
        <v>3</v>
      </c>
      <c r="J1445" t="s">
        <v>50</v>
      </c>
    </row>
    <row r="1446" spans="1:10" x14ac:dyDescent="0.25">
      <c r="A1446" t="s">
        <v>7355</v>
      </c>
      <c r="B1446">
        <f>7588.23839282635*(1/100/100)</f>
        <v>0.75882383928263497</v>
      </c>
      <c r="C1446">
        <v>14321</v>
      </c>
      <c r="D1446" t="s">
        <v>4037</v>
      </c>
      <c r="E1446">
        <v>31534</v>
      </c>
      <c r="F1446" t="s">
        <v>733</v>
      </c>
      <c r="G1446">
        <v>315</v>
      </c>
      <c r="H1446" t="s">
        <v>64</v>
      </c>
      <c r="I1446">
        <v>3</v>
      </c>
      <c r="J1446" t="s">
        <v>50</v>
      </c>
    </row>
    <row r="1447" spans="1:10" x14ac:dyDescent="0.25">
      <c r="A1447" t="s">
        <v>7355</v>
      </c>
      <c r="B1447">
        <f>86194.8109473433*(1/100/100)</f>
        <v>8.619481094734331</v>
      </c>
      <c r="C1447">
        <v>14322</v>
      </c>
      <c r="D1447" t="s">
        <v>4012</v>
      </c>
      <c r="E1447">
        <v>31525</v>
      </c>
      <c r="F1447" t="s">
        <v>727</v>
      </c>
      <c r="G1447">
        <v>315</v>
      </c>
      <c r="H1447" t="s">
        <v>64</v>
      </c>
      <c r="I1447">
        <v>3</v>
      </c>
      <c r="J1447" t="s">
        <v>50</v>
      </c>
    </row>
    <row r="1448" spans="1:10" x14ac:dyDescent="0.25">
      <c r="A1448" t="s">
        <v>7355</v>
      </c>
      <c r="B1448">
        <f>6674.72084763577*(1/100/100)</f>
        <v>0.667472084763577</v>
      </c>
      <c r="C1448">
        <v>14323</v>
      </c>
      <c r="D1448" t="s">
        <v>4038</v>
      </c>
      <c r="E1448">
        <v>31534</v>
      </c>
      <c r="F1448" t="s">
        <v>733</v>
      </c>
      <c r="G1448">
        <v>315</v>
      </c>
      <c r="H1448" t="s">
        <v>64</v>
      </c>
      <c r="I1448">
        <v>3</v>
      </c>
      <c r="J1448" t="s">
        <v>50</v>
      </c>
    </row>
    <row r="1449" spans="1:10" x14ac:dyDescent="0.25">
      <c r="A1449" t="s">
        <v>7355</v>
      </c>
      <c r="B1449">
        <f>4998.14018188946*(1/100/100)</f>
        <v>0.49981401818894605</v>
      </c>
      <c r="C1449">
        <v>14324</v>
      </c>
      <c r="D1449" t="s">
        <v>4056</v>
      </c>
      <c r="E1449">
        <v>31535</v>
      </c>
      <c r="F1449" t="s">
        <v>734</v>
      </c>
      <c r="G1449">
        <v>315</v>
      </c>
      <c r="H1449" t="s">
        <v>64</v>
      </c>
      <c r="I1449">
        <v>3</v>
      </c>
      <c r="J1449" t="s">
        <v>50</v>
      </c>
    </row>
    <row r="1450" spans="1:10" x14ac:dyDescent="0.25">
      <c r="A1450" t="s">
        <v>7355</v>
      </c>
      <c r="B1450">
        <f>14329.7715206884*(1/100/100)</f>
        <v>1.4329771520688401</v>
      </c>
      <c r="C1450">
        <v>14325</v>
      </c>
      <c r="D1450" t="s">
        <v>4057</v>
      </c>
      <c r="E1450">
        <v>31535</v>
      </c>
      <c r="F1450" t="s">
        <v>734</v>
      </c>
      <c r="G1450">
        <v>315</v>
      </c>
      <c r="H1450" t="s">
        <v>64</v>
      </c>
      <c r="I1450">
        <v>3</v>
      </c>
      <c r="J1450" t="s">
        <v>50</v>
      </c>
    </row>
    <row r="1451" spans="1:10" x14ac:dyDescent="0.25">
      <c r="A1451" t="s">
        <v>7355</v>
      </c>
      <c r="B1451">
        <f>10579.2531236946*(1/100/100)</f>
        <v>1.0579253123694601</v>
      </c>
      <c r="C1451">
        <v>14326</v>
      </c>
      <c r="D1451" t="s">
        <v>3924</v>
      </c>
      <c r="E1451">
        <v>31502</v>
      </c>
      <c r="F1451" t="s">
        <v>708</v>
      </c>
      <c r="G1451">
        <v>315</v>
      </c>
      <c r="H1451" t="s">
        <v>64</v>
      </c>
      <c r="I1451">
        <v>3</v>
      </c>
      <c r="J1451" t="s">
        <v>50</v>
      </c>
    </row>
    <row r="1452" spans="1:10" x14ac:dyDescent="0.25">
      <c r="A1452" t="s">
        <v>7355</v>
      </c>
      <c r="B1452">
        <f>14463.2453469638*(1/100/100)</f>
        <v>1.44632453469638</v>
      </c>
      <c r="C1452">
        <v>14327</v>
      </c>
      <c r="D1452" t="s">
        <v>3511</v>
      </c>
      <c r="E1452">
        <v>31534</v>
      </c>
      <c r="F1452" t="s">
        <v>733</v>
      </c>
      <c r="G1452">
        <v>315</v>
      </c>
      <c r="H1452" t="s">
        <v>64</v>
      </c>
      <c r="I1452">
        <v>3</v>
      </c>
      <c r="J1452" t="s">
        <v>50</v>
      </c>
    </row>
    <row r="1453" spans="1:10" x14ac:dyDescent="0.25">
      <c r="A1453" t="s">
        <v>7355</v>
      </c>
      <c r="B1453">
        <f>15607.8757680403*(1/100/100)</f>
        <v>1.56078757680403</v>
      </c>
      <c r="C1453">
        <v>14328</v>
      </c>
      <c r="D1453" t="s">
        <v>4058</v>
      </c>
      <c r="E1453">
        <v>31535</v>
      </c>
      <c r="F1453" t="s">
        <v>734</v>
      </c>
      <c r="G1453">
        <v>315</v>
      </c>
      <c r="H1453" t="s">
        <v>64</v>
      </c>
      <c r="I1453">
        <v>3</v>
      </c>
      <c r="J1453" t="s">
        <v>50</v>
      </c>
    </row>
    <row r="1454" spans="1:10" x14ac:dyDescent="0.25">
      <c r="A1454" t="s">
        <v>7355</v>
      </c>
      <c r="B1454">
        <f>37751.9062225219*(1/100/100)</f>
        <v>3.7751906222521905</v>
      </c>
      <c r="C1454">
        <v>14329</v>
      </c>
      <c r="D1454" t="s">
        <v>4092</v>
      </c>
      <c r="E1454">
        <v>31546</v>
      </c>
      <c r="F1454" t="s">
        <v>738</v>
      </c>
      <c r="G1454">
        <v>315</v>
      </c>
      <c r="H1454" t="s">
        <v>64</v>
      </c>
      <c r="I1454">
        <v>3</v>
      </c>
      <c r="J1454" t="s">
        <v>50</v>
      </c>
    </row>
    <row r="1455" spans="1:10" x14ac:dyDescent="0.25">
      <c r="A1455" t="s">
        <v>7355</v>
      </c>
      <c r="B1455">
        <f>2452.91402976276*(1/100/100)</f>
        <v>0.24529140297627602</v>
      </c>
      <c r="C1455">
        <v>14330</v>
      </c>
      <c r="D1455" t="s">
        <v>2690</v>
      </c>
      <c r="E1455">
        <v>31535</v>
      </c>
      <c r="F1455" t="s">
        <v>734</v>
      </c>
      <c r="G1455">
        <v>315</v>
      </c>
      <c r="H1455" t="s">
        <v>64</v>
      </c>
      <c r="I1455">
        <v>3</v>
      </c>
      <c r="J1455" t="s">
        <v>50</v>
      </c>
    </row>
    <row r="1456" spans="1:10" x14ac:dyDescent="0.25">
      <c r="A1456" t="s">
        <v>7355</v>
      </c>
      <c r="B1456">
        <f>8409.24222520212*(1/100/100)</f>
        <v>0.84092422252021215</v>
      </c>
      <c r="C1456">
        <v>14331</v>
      </c>
      <c r="D1456" t="s">
        <v>4093</v>
      </c>
      <c r="E1456">
        <v>31546</v>
      </c>
      <c r="F1456" t="s">
        <v>738</v>
      </c>
      <c r="G1456">
        <v>315</v>
      </c>
      <c r="H1456" t="s">
        <v>64</v>
      </c>
      <c r="I1456">
        <v>3</v>
      </c>
      <c r="J1456" t="s">
        <v>50</v>
      </c>
    </row>
    <row r="1457" spans="1:10" x14ac:dyDescent="0.25">
      <c r="A1457" t="s">
        <v>7355</v>
      </c>
      <c r="B1457">
        <f>5995.57307132352*(1/100/100)</f>
        <v>0.599557307132352</v>
      </c>
      <c r="C1457">
        <v>14332</v>
      </c>
      <c r="D1457" t="s">
        <v>4039</v>
      </c>
      <c r="E1457">
        <v>31534</v>
      </c>
      <c r="F1457" t="s">
        <v>733</v>
      </c>
      <c r="G1457">
        <v>315</v>
      </c>
      <c r="H1457" t="s">
        <v>64</v>
      </c>
      <c r="I1457">
        <v>3</v>
      </c>
      <c r="J1457" t="s">
        <v>50</v>
      </c>
    </row>
    <row r="1458" spans="1:10" x14ac:dyDescent="0.25">
      <c r="A1458" t="s">
        <v>7355</v>
      </c>
      <c r="B1458">
        <f>7875.06751275041*(1/100/100)</f>
        <v>0.78750675127504099</v>
      </c>
      <c r="C1458">
        <v>14333</v>
      </c>
      <c r="D1458" t="s">
        <v>4040</v>
      </c>
      <c r="E1458">
        <v>31534</v>
      </c>
      <c r="F1458" t="s">
        <v>733</v>
      </c>
      <c r="G1458">
        <v>315</v>
      </c>
      <c r="H1458" t="s">
        <v>64</v>
      </c>
      <c r="I1458">
        <v>3</v>
      </c>
      <c r="J1458" t="s">
        <v>50</v>
      </c>
    </row>
    <row r="1459" spans="1:10" x14ac:dyDescent="0.25">
      <c r="A1459" t="s">
        <v>7355</v>
      </c>
      <c r="B1459">
        <f>2368.42976600849*(1/100/100)</f>
        <v>0.23684297660084899</v>
      </c>
      <c r="C1459">
        <v>14334</v>
      </c>
      <c r="D1459" t="s">
        <v>4094</v>
      </c>
      <c r="E1459">
        <v>31546</v>
      </c>
      <c r="F1459" t="s">
        <v>738</v>
      </c>
      <c r="G1459">
        <v>315</v>
      </c>
      <c r="H1459" t="s">
        <v>64</v>
      </c>
      <c r="I1459">
        <v>3</v>
      </c>
      <c r="J1459" t="s">
        <v>50</v>
      </c>
    </row>
    <row r="1460" spans="1:10" x14ac:dyDescent="0.25">
      <c r="A1460" t="s">
        <v>7355</v>
      </c>
      <c r="B1460">
        <f>3820.62737321483*(1/100/100)</f>
        <v>0.38206273732148305</v>
      </c>
      <c r="C1460">
        <v>14335</v>
      </c>
      <c r="D1460" t="s">
        <v>280</v>
      </c>
      <c r="E1460">
        <v>31535</v>
      </c>
      <c r="F1460" t="s">
        <v>734</v>
      </c>
      <c r="G1460">
        <v>315</v>
      </c>
      <c r="H1460" t="s">
        <v>64</v>
      </c>
      <c r="I1460">
        <v>3</v>
      </c>
      <c r="J1460" t="s">
        <v>50</v>
      </c>
    </row>
    <row r="1461" spans="1:10" x14ac:dyDescent="0.25">
      <c r="A1461" t="s">
        <v>7355</v>
      </c>
      <c r="B1461">
        <f>13886.5052399111*(1/100/100)</f>
        <v>1.38865052399111</v>
      </c>
      <c r="C1461">
        <v>14336</v>
      </c>
      <c r="D1461" t="s">
        <v>3482</v>
      </c>
      <c r="E1461">
        <v>31534</v>
      </c>
      <c r="F1461" t="s">
        <v>733</v>
      </c>
      <c r="G1461">
        <v>315</v>
      </c>
      <c r="H1461" t="s">
        <v>64</v>
      </c>
      <c r="I1461">
        <v>3</v>
      </c>
      <c r="J1461" t="s">
        <v>50</v>
      </c>
    </row>
    <row r="1462" spans="1:10" x14ac:dyDescent="0.25">
      <c r="A1462" t="s">
        <v>7355</v>
      </c>
      <c r="B1462">
        <f>2555.35108246575*(1/100/100)</f>
        <v>0.25553510824657505</v>
      </c>
      <c r="C1462">
        <v>14337</v>
      </c>
      <c r="D1462" t="s">
        <v>4059</v>
      </c>
      <c r="E1462">
        <v>31535</v>
      </c>
      <c r="F1462" t="s">
        <v>734</v>
      </c>
      <c r="G1462">
        <v>315</v>
      </c>
      <c r="H1462" t="s">
        <v>64</v>
      </c>
      <c r="I1462">
        <v>3</v>
      </c>
      <c r="J1462" t="s">
        <v>50</v>
      </c>
    </row>
    <row r="1463" spans="1:10" x14ac:dyDescent="0.25">
      <c r="A1463" t="s">
        <v>7355</v>
      </c>
      <c r="B1463">
        <f>2321.65082868684*(1/100/100)</f>
        <v>0.23216508286868404</v>
      </c>
      <c r="C1463">
        <v>14338</v>
      </c>
      <c r="D1463" t="s">
        <v>4060</v>
      </c>
      <c r="E1463">
        <v>31535</v>
      </c>
      <c r="F1463" t="s">
        <v>734</v>
      </c>
      <c r="G1463">
        <v>315</v>
      </c>
      <c r="H1463" t="s">
        <v>64</v>
      </c>
      <c r="I1463">
        <v>3</v>
      </c>
      <c r="J1463" t="s">
        <v>50</v>
      </c>
    </row>
    <row r="1464" spans="1:10" x14ac:dyDescent="0.25">
      <c r="A1464" t="s">
        <v>7355</v>
      </c>
      <c r="B1464">
        <f>8557.47478961714*(1/100/100)</f>
        <v>0.85574747896171399</v>
      </c>
      <c r="C1464">
        <v>14339</v>
      </c>
      <c r="D1464" t="s">
        <v>4041</v>
      </c>
      <c r="E1464">
        <v>31534</v>
      </c>
      <c r="F1464" t="s">
        <v>733</v>
      </c>
      <c r="G1464">
        <v>315</v>
      </c>
      <c r="H1464" t="s">
        <v>64</v>
      </c>
      <c r="I1464">
        <v>3</v>
      </c>
      <c r="J1464" t="s">
        <v>50</v>
      </c>
    </row>
    <row r="1465" spans="1:10" x14ac:dyDescent="0.25">
      <c r="A1465" t="s">
        <v>7355</v>
      </c>
      <c r="B1465">
        <f>7276.69996994585*(1/100/100)</f>
        <v>0.72766999699458501</v>
      </c>
      <c r="C1465">
        <v>14340</v>
      </c>
      <c r="D1465" t="s">
        <v>4042</v>
      </c>
      <c r="E1465">
        <v>31534</v>
      </c>
      <c r="F1465" t="s">
        <v>733</v>
      </c>
      <c r="G1465">
        <v>315</v>
      </c>
      <c r="H1465" t="s">
        <v>64</v>
      </c>
      <c r="I1465">
        <v>3</v>
      </c>
      <c r="J1465" t="s">
        <v>50</v>
      </c>
    </row>
    <row r="1466" spans="1:10" x14ac:dyDescent="0.25">
      <c r="A1466" t="s">
        <v>7355</v>
      </c>
      <c r="B1466">
        <f>8435.64008567571*(1/100/100)</f>
        <v>0.84356400856757108</v>
      </c>
      <c r="C1466">
        <v>14341</v>
      </c>
      <c r="D1466" t="s">
        <v>3770</v>
      </c>
      <c r="E1466">
        <v>31502</v>
      </c>
      <c r="F1466" t="s">
        <v>708</v>
      </c>
      <c r="G1466">
        <v>315</v>
      </c>
      <c r="H1466" t="s">
        <v>64</v>
      </c>
      <c r="I1466">
        <v>3</v>
      </c>
      <c r="J1466" t="s">
        <v>50</v>
      </c>
    </row>
    <row r="1467" spans="1:10" x14ac:dyDescent="0.25">
      <c r="A1467" t="s">
        <v>7355</v>
      </c>
      <c r="B1467">
        <f>1686.95085593181*(1/100/100)</f>
        <v>0.16869508559318103</v>
      </c>
      <c r="C1467">
        <v>14342</v>
      </c>
      <c r="D1467" t="s">
        <v>4043</v>
      </c>
      <c r="E1467">
        <v>31534</v>
      </c>
      <c r="F1467" t="s">
        <v>733</v>
      </c>
      <c r="G1467">
        <v>315</v>
      </c>
      <c r="H1467" t="s">
        <v>64</v>
      </c>
      <c r="I1467">
        <v>3</v>
      </c>
      <c r="J1467" t="s">
        <v>50</v>
      </c>
    </row>
    <row r="1468" spans="1:10" x14ac:dyDescent="0.25">
      <c r="A1468" t="s">
        <v>7355</v>
      </c>
      <c r="B1468">
        <f>4037.13531042205*(1/100/100)</f>
        <v>0.40371353104220503</v>
      </c>
      <c r="C1468">
        <v>14343</v>
      </c>
      <c r="D1468" t="s">
        <v>4061</v>
      </c>
      <c r="E1468">
        <v>31535</v>
      </c>
      <c r="F1468" t="s">
        <v>734</v>
      </c>
      <c r="G1468">
        <v>315</v>
      </c>
      <c r="H1468" t="s">
        <v>64</v>
      </c>
      <c r="I1468">
        <v>3</v>
      </c>
      <c r="J1468" t="s">
        <v>50</v>
      </c>
    </row>
    <row r="1469" spans="1:10" x14ac:dyDescent="0.25">
      <c r="A1469" t="s">
        <v>7355</v>
      </c>
      <c r="B1469">
        <f>14304.94241445*(1/100/100)</f>
        <v>1.4304942414450001</v>
      </c>
      <c r="C1469">
        <v>14344</v>
      </c>
      <c r="D1469" t="s">
        <v>3925</v>
      </c>
      <c r="E1469">
        <v>31502</v>
      </c>
      <c r="F1469" t="s">
        <v>708</v>
      </c>
      <c r="G1469">
        <v>315</v>
      </c>
      <c r="H1469" t="s">
        <v>64</v>
      </c>
      <c r="I1469">
        <v>3</v>
      </c>
      <c r="J1469" t="s">
        <v>50</v>
      </c>
    </row>
    <row r="1470" spans="1:10" x14ac:dyDescent="0.25">
      <c r="A1470" t="s">
        <v>7355</v>
      </c>
      <c r="B1470">
        <f>3990.44683075242*(1/100/100)</f>
        <v>0.39904468307524199</v>
      </c>
      <c r="C1470">
        <v>14345</v>
      </c>
      <c r="D1470" t="s">
        <v>4062</v>
      </c>
      <c r="E1470">
        <v>31535</v>
      </c>
      <c r="F1470" t="s">
        <v>734</v>
      </c>
      <c r="G1470">
        <v>315</v>
      </c>
      <c r="H1470" t="s">
        <v>64</v>
      </c>
      <c r="I1470">
        <v>3</v>
      </c>
      <c r="J1470" t="s">
        <v>50</v>
      </c>
    </row>
    <row r="1471" spans="1:10" x14ac:dyDescent="0.25">
      <c r="A1471" t="s">
        <v>7355</v>
      </c>
      <c r="B1471">
        <f>11510.3695686092*(1/100/100)</f>
        <v>1.15103695686092</v>
      </c>
      <c r="C1471">
        <v>14346</v>
      </c>
      <c r="D1471" t="s">
        <v>3926</v>
      </c>
      <c r="E1471">
        <v>31502</v>
      </c>
      <c r="F1471" t="s">
        <v>708</v>
      </c>
      <c r="G1471">
        <v>315</v>
      </c>
      <c r="H1471" t="s">
        <v>64</v>
      </c>
      <c r="I1471">
        <v>3</v>
      </c>
      <c r="J1471" t="s">
        <v>50</v>
      </c>
    </row>
    <row r="1472" spans="1:10" x14ac:dyDescent="0.25">
      <c r="A1472" t="s">
        <v>7355</v>
      </c>
      <c r="B1472">
        <f>120560.733840276*(1/100/100)</f>
        <v>12.0560733840276</v>
      </c>
      <c r="C1472">
        <v>14347</v>
      </c>
      <c r="D1472" t="s">
        <v>733</v>
      </c>
      <c r="E1472">
        <v>31534</v>
      </c>
      <c r="F1472" t="s">
        <v>733</v>
      </c>
      <c r="G1472">
        <v>315</v>
      </c>
      <c r="H1472" t="s">
        <v>64</v>
      </c>
      <c r="I1472">
        <v>3</v>
      </c>
      <c r="J1472" t="s">
        <v>50</v>
      </c>
    </row>
    <row r="1473" spans="1:10" x14ac:dyDescent="0.25">
      <c r="A1473" t="s">
        <v>7355</v>
      </c>
      <c r="B1473">
        <f>5316.05637454351*(1/100/100)</f>
        <v>0.53160563745435108</v>
      </c>
      <c r="C1473">
        <v>14348</v>
      </c>
      <c r="D1473" t="s">
        <v>980</v>
      </c>
      <c r="E1473">
        <v>31535</v>
      </c>
      <c r="F1473" t="s">
        <v>734</v>
      </c>
      <c r="G1473">
        <v>315</v>
      </c>
      <c r="H1473" t="s">
        <v>64</v>
      </c>
      <c r="I1473">
        <v>3</v>
      </c>
      <c r="J1473" t="s">
        <v>50</v>
      </c>
    </row>
    <row r="1474" spans="1:10" x14ac:dyDescent="0.25">
      <c r="A1474" t="s">
        <v>7355</v>
      </c>
      <c r="B1474">
        <f>4365.00418322748*(1/100/100)</f>
        <v>0.43650041832274805</v>
      </c>
      <c r="C1474">
        <v>14349</v>
      </c>
      <c r="D1474" t="s">
        <v>4044</v>
      </c>
      <c r="E1474">
        <v>31534</v>
      </c>
      <c r="F1474" t="s">
        <v>733</v>
      </c>
      <c r="G1474">
        <v>315</v>
      </c>
      <c r="H1474" t="s">
        <v>64</v>
      </c>
      <c r="I1474">
        <v>3</v>
      </c>
      <c r="J1474" t="s">
        <v>50</v>
      </c>
    </row>
    <row r="1475" spans="1:10" x14ac:dyDescent="0.25">
      <c r="A1475" t="s">
        <v>7355</v>
      </c>
      <c r="B1475">
        <f>15896.2317702135*(1/100/100)</f>
        <v>1.58962317702135</v>
      </c>
      <c r="C1475">
        <v>14350</v>
      </c>
      <c r="D1475" t="s">
        <v>4045</v>
      </c>
      <c r="E1475">
        <v>31534</v>
      </c>
      <c r="F1475" t="s">
        <v>733</v>
      </c>
      <c r="G1475">
        <v>315</v>
      </c>
      <c r="H1475" t="s">
        <v>64</v>
      </c>
      <c r="I1475">
        <v>3</v>
      </c>
      <c r="J1475" t="s">
        <v>50</v>
      </c>
    </row>
    <row r="1476" spans="1:10" x14ac:dyDescent="0.25">
      <c r="A1476" t="s">
        <v>7355</v>
      </c>
      <c r="B1476">
        <f>3880.03813828838*(1/100/100)</f>
        <v>0.38800381382883803</v>
      </c>
      <c r="C1476">
        <v>14351</v>
      </c>
      <c r="D1476" t="s">
        <v>4095</v>
      </c>
      <c r="E1476">
        <v>31546</v>
      </c>
      <c r="F1476" t="s">
        <v>738</v>
      </c>
      <c r="G1476">
        <v>315</v>
      </c>
      <c r="H1476" t="s">
        <v>64</v>
      </c>
      <c r="I1476">
        <v>3</v>
      </c>
      <c r="J1476" t="s">
        <v>50</v>
      </c>
    </row>
    <row r="1477" spans="1:10" x14ac:dyDescent="0.25">
      <c r="A1477" t="s">
        <v>7355</v>
      </c>
      <c r="B1477">
        <f>38704.2124163913*(1/100/100)</f>
        <v>3.8704212416391304</v>
      </c>
      <c r="C1477">
        <v>14352</v>
      </c>
      <c r="D1477" t="s">
        <v>734</v>
      </c>
      <c r="E1477">
        <v>31535</v>
      </c>
      <c r="F1477" t="s">
        <v>734</v>
      </c>
      <c r="G1477">
        <v>315</v>
      </c>
      <c r="H1477" t="s">
        <v>64</v>
      </c>
      <c r="I1477">
        <v>3</v>
      </c>
      <c r="J1477" t="s">
        <v>50</v>
      </c>
    </row>
    <row r="1478" spans="1:10" x14ac:dyDescent="0.25">
      <c r="A1478" t="s">
        <v>7355</v>
      </c>
      <c r="B1478">
        <f>2296.3490995896*(1/100/100)</f>
        <v>0.22963490995896002</v>
      </c>
      <c r="C1478">
        <v>14353</v>
      </c>
      <c r="D1478" t="s">
        <v>4063</v>
      </c>
      <c r="E1478">
        <v>31535</v>
      </c>
      <c r="F1478" t="s">
        <v>734</v>
      </c>
      <c r="G1478">
        <v>315</v>
      </c>
      <c r="H1478" t="s">
        <v>64</v>
      </c>
      <c r="I1478">
        <v>3</v>
      </c>
      <c r="J1478" t="s">
        <v>50</v>
      </c>
    </row>
    <row r="1479" spans="1:10" x14ac:dyDescent="0.25">
      <c r="A1479" t="s">
        <v>7355</v>
      </c>
      <c r="B1479">
        <f>9173.06008210987*(1/100/100)</f>
        <v>0.91730600821098707</v>
      </c>
      <c r="C1479">
        <v>14354</v>
      </c>
      <c r="D1479" t="s">
        <v>3927</v>
      </c>
      <c r="E1479">
        <v>31502</v>
      </c>
      <c r="F1479" t="s">
        <v>708</v>
      </c>
      <c r="G1479">
        <v>315</v>
      </c>
      <c r="H1479" t="s">
        <v>64</v>
      </c>
      <c r="I1479">
        <v>3</v>
      </c>
      <c r="J1479" t="s">
        <v>50</v>
      </c>
    </row>
    <row r="1480" spans="1:10" x14ac:dyDescent="0.25">
      <c r="A1480" t="s">
        <v>7355</v>
      </c>
      <c r="B1480">
        <f>23153.0480043671*(1/100/100)</f>
        <v>2.3153048004367101</v>
      </c>
      <c r="C1480">
        <v>14355</v>
      </c>
      <c r="D1480" t="s">
        <v>4096</v>
      </c>
      <c r="E1480">
        <v>31546</v>
      </c>
      <c r="F1480" t="s">
        <v>738</v>
      </c>
      <c r="G1480">
        <v>315</v>
      </c>
      <c r="H1480" t="s">
        <v>64</v>
      </c>
      <c r="I1480">
        <v>3</v>
      </c>
      <c r="J1480" t="s">
        <v>50</v>
      </c>
    </row>
    <row r="1481" spans="1:10" x14ac:dyDescent="0.25">
      <c r="A1481" t="s">
        <v>7355</v>
      </c>
      <c r="B1481">
        <f>2035.65417051297*(1/100/100)</f>
        <v>0.20356541705129702</v>
      </c>
      <c r="C1481">
        <v>14356</v>
      </c>
      <c r="D1481" t="s">
        <v>2228</v>
      </c>
      <c r="E1481">
        <v>31535</v>
      </c>
      <c r="F1481" t="s">
        <v>734</v>
      </c>
      <c r="G1481">
        <v>315</v>
      </c>
      <c r="H1481" t="s">
        <v>64</v>
      </c>
      <c r="I1481">
        <v>3</v>
      </c>
      <c r="J1481" t="s">
        <v>50</v>
      </c>
    </row>
    <row r="1482" spans="1:10" x14ac:dyDescent="0.25">
      <c r="A1482" t="s">
        <v>7355</v>
      </c>
      <c r="B1482">
        <f>1056.93937074404*(1/100/100)</f>
        <v>0.105693937074404</v>
      </c>
      <c r="C1482">
        <v>14357</v>
      </c>
      <c r="D1482" t="s">
        <v>4046</v>
      </c>
      <c r="E1482">
        <v>31534</v>
      </c>
      <c r="F1482" t="s">
        <v>733</v>
      </c>
      <c r="G1482">
        <v>315</v>
      </c>
      <c r="H1482" t="s">
        <v>64</v>
      </c>
      <c r="I1482">
        <v>3</v>
      </c>
      <c r="J1482" t="s">
        <v>50</v>
      </c>
    </row>
    <row r="1483" spans="1:10" x14ac:dyDescent="0.25">
      <c r="A1483" t="s">
        <v>7355</v>
      </c>
      <c r="B1483">
        <f>12445.0817086214*(1/100/100)</f>
        <v>1.2445081708621399</v>
      </c>
      <c r="C1483">
        <v>14358</v>
      </c>
      <c r="D1483" t="s">
        <v>4097</v>
      </c>
      <c r="E1483">
        <v>31546</v>
      </c>
      <c r="F1483" t="s">
        <v>738</v>
      </c>
      <c r="G1483">
        <v>315</v>
      </c>
      <c r="H1483" t="s">
        <v>64</v>
      </c>
      <c r="I1483">
        <v>3</v>
      </c>
      <c r="J1483" t="s">
        <v>50</v>
      </c>
    </row>
    <row r="1484" spans="1:10" x14ac:dyDescent="0.25">
      <c r="A1484" t="s">
        <v>7355</v>
      </c>
      <c r="B1484">
        <f>9490.67999065487*(1/100/100)</f>
        <v>0.949067999065487</v>
      </c>
      <c r="C1484">
        <v>14359</v>
      </c>
      <c r="D1484" t="s">
        <v>4098</v>
      </c>
      <c r="E1484">
        <v>31546</v>
      </c>
      <c r="F1484" t="s">
        <v>738</v>
      </c>
      <c r="G1484">
        <v>315</v>
      </c>
      <c r="H1484" t="s">
        <v>64</v>
      </c>
      <c r="I1484">
        <v>3</v>
      </c>
      <c r="J1484" t="s">
        <v>50</v>
      </c>
    </row>
    <row r="1485" spans="1:10" x14ac:dyDescent="0.25">
      <c r="A1485" t="s">
        <v>7355</v>
      </c>
      <c r="B1485">
        <f>5267.9309379728*(1/100/100)</f>
        <v>0.52679309379728001</v>
      </c>
      <c r="C1485">
        <v>14360</v>
      </c>
      <c r="D1485" t="s">
        <v>3928</v>
      </c>
      <c r="E1485">
        <v>31502</v>
      </c>
      <c r="F1485" t="s">
        <v>708</v>
      </c>
      <c r="G1485">
        <v>315</v>
      </c>
      <c r="H1485" t="s">
        <v>64</v>
      </c>
      <c r="I1485">
        <v>3</v>
      </c>
      <c r="J1485" t="s">
        <v>50</v>
      </c>
    </row>
    <row r="1486" spans="1:10" x14ac:dyDescent="0.25">
      <c r="A1486" t="s">
        <v>7355</v>
      </c>
      <c r="B1486">
        <f>6096.50309130725*(1/100/100)</f>
        <v>0.60965030913072504</v>
      </c>
      <c r="C1486">
        <v>14361</v>
      </c>
      <c r="D1486" t="s">
        <v>4064</v>
      </c>
      <c r="E1486">
        <v>31535</v>
      </c>
      <c r="F1486" t="s">
        <v>734</v>
      </c>
      <c r="G1486">
        <v>315</v>
      </c>
      <c r="H1486" t="s">
        <v>64</v>
      </c>
      <c r="I1486">
        <v>3</v>
      </c>
      <c r="J1486" t="s">
        <v>50</v>
      </c>
    </row>
    <row r="1487" spans="1:10" x14ac:dyDescent="0.25">
      <c r="A1487" t="s">
        <v>7355</v>
      </c>
      <c r="B1487">
        <f>2541.74858800729*(1/100/100)</f>
        <v>0.25417485880072899</v>
      </c>
      <c r="C1487">
        <v>14362</v>
      </c>
      <c r="D1487" t="s">
        <v>4047</v>
      </c>
      <c r="E1487">
        <v>31534</v>
      </c>
      <c r="F1487" t="s">
        <v>733</v>
      </c>
      <c r="G1487">
        <v>315</v>
      </c>
      <c r="H1487" t="s">
        <v>64</v>
      </c>
      <c r="I1487">
        <v>3</v>
      </c>
      <c r="J1487" t="s">
        <v>50</v>
      </c>
    </row>
    <row r="1488" spans="1:10" x14ac:dyDescent="0.25">
      <c r="A1488" t="s">
        <v>7355</v>
      </c>
      <c r="B1488">
        <f>5650.14863506723*(1/100/100)</f>
        <v>0.56501486350672303</v>
      </c>
      <c r="C1488">
        <v>14363</v>
      </c>
      <c r="D1488" t="s">
        <v>3277</v>
      </c>
      <c r="E1488">
        <v>31534</v>
      </c>
      <c r="F1488" t="s">
        <v>733</v>
      </c>
      <c r="G1488">
        <v>315</v>
      </c>
      <c r="H1488" t="s">
        <v>64</v>
      </c>
      <c r="I1488">
        <v>3</v>
      </c>
      <c r="J1488" t="s">
        <v>50</v>
      </c>
    </row>
    <row r="1489" spans="1:10" x14ac:dyDescent="0.25">
      <c r="A1489" t="s">
        <v>7355</v>
      </c>
      <c r="B1489">
        <f>3970.70870937184*(1/100/100)</f>
        <v>0.39707087093718402</v>
      </c>
      <c r="C1489">
        <v>14364</v>
      </c>
      <c r="D1489" t="s">
        <v>3696</v>
      </c>
      <c r="E1489">
        <v>31535</v>
      </c>
      <c r="F1489" t="s">
        <v>734</v>
      </c>
      <c r="G1489">
        <v>315</v>
      </c>
      <c r="H1489" t="s">
        <v>64</v>
      </c>
      <c r="I1489">
        <v>3</v>
      </c>
      <c r="J1489" t="s">
        <v>50</v>
      </c>
    </row>
    <row r="1490" spans="1:10" x14ac:dyDescent="0.25">
      <c r="A1490" t="s">
        <v>7355</v>
      </c>
      <c r="B1490">
        <f>27524.110913887*(1/100/100)</f>
        <v>2.7524110913887001</v>
      </c>
      <c r="C1490">
        <v>14365</v>
      </c>
      <c r="D1490" t="s">
        <v>4048</v>
      </c>
      <c r="E1490">
        <v>31534</v>
      </c>
      <c r="F1490" t="s">
        <v>733</v>
      </c>
      <c r="G1490">
        <v>315</v>
      </c>
      <c r="H1490" t="s">
        <v>64</v>
      </c>
      <c r="I1490">
        <v>3</v>
      </c>
      <c r="J1490" t="s">
        <v>50</v>
      </c>
    </row>
    <row r="1491" spans="1:10" x14ac:dyDescent="0.25">
      <c r="A1491" t="s">
        <v>7355</v>
      </c>
      <c r="B1491">
        <f>5311.5421198991*(1/100/100)</f>
        <v>0.53115421198990997</v>
      </c>
      <c r="C1491">
        <v>14366</v>
      </c>
      <c r="D1491" t="s">
        <v>4049</v>
      </c>
      <c r="E1491">
        <v>31534</v>
      </c>
      <c r="F1491" t="s">
        <v>733</v>
      </c>
      <c r="G1491">
        <v>315</v>
      </c>
      <c r="H1491" t="s">
        <v>64</v>
      </c>
      <c r="I1491">
        <v>3</v>
      </c>
      <c r="J1491" t="s">
        <v>50</v>
      </c>
    </row>
    <row r="1492" spans="1:10" x14ac:dyDescent="0.25">
      <c r="A1492" t="s">
        <v>7355</v>
      </c>
      <c r="B1492">
        <f>43380.4536393587*(1/100/100)</f>
        <v>4.33804536393587</v>
      </c>
      <c r="C1492">
        <v>14367</v>
      </c>
      <c r="D1492" t="s">
        <v>738</v>
      </c>
      <c r="E1492">
        <v>31546</v>
      </c>
      <c r="F1492" t="s">
        <v>738</v>
      </c>
      <c r="G1492">
        <v>315</v>
      </c>
      <c r="H1492" t="s">
        <v>64</v>
      </c>
      <c r="I1492">
        <v>3</v>
      </c>
      <c r="J1492" t="s">
        <v>50</v>
      </c>
    </row>
    <row r="1493" spans="1:10" x14ac:dyDescent="0.25">
      <c r="A1493" t="s">
        <v>7355</v>
      </c>
      <c r="B1493">
        <f>6153.61135934061*(1/100/100)</f>
        <v>0.61536113593406105</v>
      </c>
      <c r="C1493">
        <v>14368</v>
      </c>
      <c r="D1493" t="s">
        <v>4099</v>
      </c>
      <c r="E1493">
        <v>31546</v>
      </c>
      <c r="F1493" t="s">
        <v>738</v>
      </c>
      <c r="G1493">
        <v>315</v>
      </c>
      <c r="H1493" t="s">
        <v>64</v>
      </c>
      <c r="I1493">
        <v>3</v>
      </c>
      <c r="J1493" t="s">
        <v>50</v>
      </c>
    </row>
    <row r="1494" spans="1:10" x14ac:dyDescent="0.25">
      <c r="A1494" t="s">
        <v>7355</v>
      </c>
      <c r="B1494">
        <f>41145.0818601201*(1/100/100)</f>
        <v>4.1145081860120101</v>
      </c>
      <c r="C1494">
        <v>14370</v>
      </c>
      <c r="D1494" t="s">
        <v>4050</v>
      </c>
      <c r="E1494">
        <v>31534</v>
      </c>
      <c r="F1494" t="s">
        <v>733</v>
      </c>
      <c r="G1494">
        <v>315</v>
      </c>
      <c r="H1494" t="s">
        <v>64</v>
      </c>
      <c r="I1494">
        <v>3</v>
      </c>
      <c r="J1494" t="s">
        <v>50</v>
      </c>
    </row>
    <row r="1495" spans="1:10" x14ac:dyDescent="0.25">
      <c r="A1495" t="s">
        <v>7355</v>
      </c>
      <c r="B1495">
        <f>4441.46914982561*(1/100/100)</f>
        <v>0.44414691498256098</v>
      </c>
      <c r="C1495">
        <v>14371</v>
      </c>
      <c r="D1495" t="s">
        <v>4065</v>
      </c>
      <c r="E1495">
        <v>31535</v>
      </c>
      <c r="F1495" t="s">
        <v>734</v>
      </c>
      <c r="G1495">
        <v>315</v>
      </c>
      <c r="H1495" t="s">
        <v>64</v>
      </c>
      <c r="I1495">
        <v>3</v>
      </c>
      <c r="J1495" t="s">
        <v>50</v>
      </c>
    </row>
    <row r="1496" spans="1:10" x14ac:dyDescent="0.25">
      <c r="A1496" t="s">
        <v>7355</v>
      </c>
      <c r="B1496">
        <f>23507.4314193458*(1/100/100)</f>
        <v>2.3507431419345801</v>
      </c>
      <c r="C1496">
        <v>14372</v>
      </c>
      <c r="D1496" t="s">
        <v>4066</v>
      </c>
      <c r="E1496">
        <v>31535</v>
      </c>
      <c r="F1496" t="s">
        <v>734</v>
      </c>
      <c r="G1496">
        <v>315</v>
      </c>
      <c r="H1496" t="s">
        <v>64</v>
      </c>
      <c r="I1496">
        <v>3</v>
      </c>
      <c r="J1496" t="s">
        <v>50</v>
      </c>
    </row>
    <row r="1497" spans="1:10" x14ac:dyDescent="0.25">
      <c r="A1497" t="s">
        <v>7355</v>
      </c>
      <c r="B1497">
        <f>11239.21372816*(1/100/100)</f>
        <v>1.123921372816</v>
      </c>
      <c r="C1497">
        <v>14373</v>
      </c>
      <c r="D1497" t="s">
        <v>4051</v>
      </c>
      <c r="E1497">
        <v>31534</v>
      </c>
      <c r="F1497" t="s">
        <v>733</v>
      </c>
      <c r="G1497">
        <v>315</v>
      </c>
      <c r="H1497" t="s">
        <v>64</v>
      </c>
      <c r="I1497">
        <v>3</v>
      </c>
      <c r="J1497" t="s">
        <v>50</v>
      </c>
    </row>
    <row r="1498" spans="1:10" x14ac:dyDescent="0.25">
      <c r="A1498" t="s">
        <v>7355</v>
      </c>
      <c r="B1498">
        <f>5137.39887286582*(1/100/100)</f>
        <v>0.51373988728658193</v>
      </c>
      <c r="C1498">
        <v>14374</v>
      </c>
      <c r="D1498" t="s">
        <v>3492</v>
      </c>
      <c r="E1498">
        <v>31535</v>
      </c>
      <c r="F1498" t="s">
        <v>734</v>
      </c>
      <c r="G1498">
        <v>315</v>
      </c>
      <c r="H1498" t="s">
        <v>64</v>
      </c>
      <c r="I1498">
        <v>3</v>
      </c>
      <c r="J1498" t="s">
        <v>50</v>
      </c>
    </row>
    <row r="1499" spans="1:10" x14ac:dyDescent="0.25">
      <c r="A1499" t="s">
        <v>7355</v>
      </c>
      <c r="B1499">
        <f>9699.57815051843*(1/100/100)</f>
        <v>0.96995781505184298</v>
      </c>
      <c r="C1499">
        <v>14375</v>
      </c>
      <c r="D1499" t="s">
        <v>4013</v>
      </c>
      <c r="E1499">
        <v>31525</v>
      </c>
      <c r="F1499" t="s">
        <v>727</v>
      </c>
      <c r="G1499">
        <v>315</v>
      </c>
      <c r="H1499" t="s">
        <v>64</v>
      </c>
      <c r="I1499">
        <v>3</v>
      </c>
      <c r="J1499" t="s">
        <v>50</v>
      </c>
    </row>
    <row r="1500" spans="1:10" x14ac:dyDescent="0.25">
      <c r="A1500" t="s">
        <v>7355</v>
      </c>
      <c r="B1500">
        <f>19761.2664198489*(1/100/100)</f>
        <v>1.9761266419848902</v>
      </c>
      <c r="C1500">
        <v>14376</v>
      </c>
      <c r="D1500" t="s">
        <v>4014</v>
      </c>
      <c r="E1500">
        <v>31525</v>
      </c>
      <c r="F1500" t="s">
        <v>727</v>
      </c>
      <c r="G1500">
        <v>315</v>
      </c>
      <c r="H1500" t="s">
        <v>64</v>
      </c>
      <c r="I1500">
        <v>3</v>
      </c>
      <c r="J1500" t="s">
        <v>50</v>
      </c>
    </row>
    <row r="1501" spans="1:10" x14ac:dyDescent="0.25">
      <c r="A1501" t="s">
        <v>7355</v>
      </c>
      <c r="B1501">
        <f>11038.7902252157*(1/100/100)</f>
        <v>1.10387902252157</v>
      </c>
      <c r="C1501">
        <v>14377</v>
      </c>
      <c r="D1501" t="s">
        <v>4015</v>
      </c>
      <c r="E1501">
        <v>31525</v>
      </c>
      <c r="F1501" t="s">
        <v>727</v>
      </c>
      <c r="G1501">
        <v>315</v>
      </c>
      <c r="H1501" t="s">
        <v>64</v>
      </c>
      <c r="I1501">
        <v>3</v>
      </c>
      <c r="J1501" t="s">
        <v>50</v>
      </c>
    </row>
    <row r="1502" spans="1:10" x14ac:dyDescent="0.25">
      <c r="A1502" t="s">
        <v>7355</v>
      </c>
      <c r="B1502">
        <f>34029.374174989*(1/100/100)</f>
        <v>3.4029374174989004</v>
      </c>
      <c r="C1502">
        <v>14378</v>
      </c>
      <c r="D1502" t="s">
        <v>2836</v>
      </c>
      <c r="E1502">
        <v>31525</v>
      </c>
      <c r="F1502" t="s">
        <v>727</v>
      </c>
      <c r="G1502">
        <v>315</v>
      </c>
      <c r="H1502" t="s">
        <v>64</v>
      </c>
      <c r="I1502">
        <v>3</v>
      </c>
      <c r="J1502" t="s">
        <v>50</v>
      </c>
    </row>
    <row r="1503" spans="1:10" x14ac:dyDescent="0.25">
      <c r="A1503" t="s">
        <v>7355</v>
      </c>
      <c r="B1503">
        <f>9902.33670100285*(1/100/100)</f>
        <v>0.99023367010028507</v>
      </c>
      <c r="C1503">
        <v>14379</v>
      </c>
      <c r="D1503" t="s">
        <v>4016</v>
      </c>
      <c r="E1503">
        <v>31525</v>
      </c>
      <c r="F1503" t="s">
        <v>727</v>
      </c>
      <c r="G1503">
        <v>315</v>
      </c>
      <c r="H1503" t="s">
        <v>64</v>
      </c>
      <c r="I1503">
        <v>3</v>
      </c>
      <c r="J1503" t="s">
        <v>50</v>
      </c>
    </row>
    <row r="1504" spans="1:10" x14ac:dyDescent="0.25">
      <c r="A1504" t="s">
        <v>7355</v>
      </c>
      <c r="B1504">
        <f>49030.8781043187*(1/100/100)</f>
        <v>4.9030878104318703</v>
      </c>
      <c r="C1504">
        <v>14380</v>
      </c>
      <c r="D1504" t="s">
        <v>4017</v>
      </c>
      <c r="E1504">
        <v>31525</v>
      </c>
      <c r="F1504" t="s">
        <v>727</v>
      </c>
      <c r="G1504">
        <v>315</v>
      </c>
      <c r="H1504" t="s">
        <v>64</v>
      </c>
      <c r="I1504">
        <v>3</v>
      </c>
      <c r="J1504" t="s">
        <v>50</v>
      </c>
    </row>
    <row r="1505" spans="1:10" x14ac:dyDescent="0.25">
      <c r="A1505" t="s">
        <v>7355</v>
      </c>
      <c r="B1505">
        <f>8007.68836249606*(1/100/100)</f>
        <v>0.80076883624960604</v>
      </c>
      <c r="C1505">
        <v>14381</v>
      </c>
      <c r="D1505" t="s">
        <v>4018</v>
      </c>
      <c r="E1505">
        <v>31525</v>
      </c>
      <c r="F1505" t="s">
        <v>727</v>
      </c>
      <c r="G1505">
        <v>315</v>
      </c>
      <c r="H1505" t="s">
        <v>64</v>
      </c>
      <c r="I1505">
        <v>3</v>
      </c>
      <c r="J1505" t="s">
        <v>50</v>
      </c>
    </row>
    <row r="1506" spans="1:10" x14ac:dyDescent="0.25">
      <c r="A1506" t="s">
        <v>7355</v>
      </c>
      <c r="B1506">
        <f>15872.8023280248*(1/100/100)</f>
        <v>1.58728023280248</v>
      </c>
      <c r="C1506">
        <v>14382</v>
      </c>
      <c r="D1506" t="s">
        <v>4019</v>
      </c>
      <c r="E1506">
        <v>31525</v>
      </c>
      <c r="F1506" t="s">
        <v>727</v>
      </c>
      <c r="G1506">
        <v>315</v>
      </c>
      <c r="H1506" t="s">
        <v>64</v>
      </c>
      <c r="I1506">
        <v>3</v>
      </c>
      <c r="J1506" t="s">
        <v>50</v>
      </c>
    </row>
    <row r="1507" spans="1:10" x14ac:dyDescent="0.25">
      <c r="A1507" t="s">
        <v>7355</v>
      </c>
      <c r="B1507">
        <f>182579.061312134*(1/100/100)</f>
        <v>18.257906131213399</v>
      </c>
      <c r="C1507">
        <v>14401</v>
      </c>
      <c r="D1507" t="s">
        <v>711</v>
      </c>
      <c r="E1507">
        <v>31505</v>
      </c>
      <c r="F1507" t="s">
        <v>711</v>
      </c>
      <c r="G1507">
        <v>315</v>
      </c>
      <c r="H1507" t="s">
        <v>64</v>
      </c>
      <c r="I1507">
        <v>3</v>
      </c>
      <c r="J1507" t="s">
        <v>50</v>
      </c>
    </row>
    <row r="1508" spans="1:10" x14ac:dyDescent="0.25">
      <c r="A1508" t="s">
        <v>7355</v>
      </c>
      <c r="B1508">
        <f>25223.6561461435*(1/100/100)</f>
        <v>2.5223656146143503</v>
      </c>
      <c r="C1508">
        <v>14403</v>
      </c>
      <c r="D1508" t="s">
        <v>3706</v>
      </c>
      <c r="E1508">
        <v>31549</v>
      </c>
      <c r="F1508" t="s">
        <v>739</v>
      </c>
      <c r="G1508">
        <v>315</v>
      </c>
      <c r="H1508" t="s">
        <v>64</v>
      </c>
      <c r="I1508">
        <v>3</v>
      </c>
      <c r="J1508" t="s">
        <v>50</v>
      </c>
    </row>
    <row r="1509" spans="1:10" x14ac:dyDescent="0.25">
      <c r="A1509" t="s">
        <v>7355</v>
      </c>
      <c r="B1509">
        <f>69714.1752892307*(1/100/100)</f>
        <v>6.9714175289230704</v>
      </c>
      <c r="C1509">
        <v>14404</v>
      </c>
      <c r="D1509" t="s">
        <v>4100</v>
      </c>
      <c r="E1509">
        <v>31549</v>
      </c>
      <c r="F1509" t="s">
        <v>739</v>
      </c>
      <c r="G1509">
        <v>315</v>
      </c>
      <c r="H1509" t="s">
        <v>64</v>
      </c>
      <c r="I1509">
        <v>3</v>
      </c>
      <c r="J1509" t="s">
        <v>50</v>
      </c>
    </row>
    <row r="1510" spans="1:10" x14ac:dyDescent="0.25">
      <c r="A1510" t="s">
        <v>7355</v>
      </c>
      <c r="B1510">
        <f>51772.0030836767*(1/100/100)</f>
        <v>5.1772003083676701</v>
      </c>
      <c r="C1510">
        <v>14405</v>
      </c>
      <c r="D1510" t="s">
        <v>3929</v>
      </c>
      <c r="E1510">
        <v>31503</v>
      </c>
      <c r="F1510" t="s">
        <v>709</v>
      </c>
      <c r="G1510">
        <v>315</v>
      </c>
      <c r="H1510" t="s">
        <v>64</v>
      </c>
      <c r="I1510">
        <v>3</v>
      </c>
      <c r="J1510" t="s">
        <v>50</v>
      </c>
    </row>
    <row r="1511" spans="1:10" x14ac:dyDescent="0.25">
      <c r="A1511" t="s">
        <v>7355</v>
      </c>
      <c r="B1511">
        <f>67816.757450964*(1/100/100)</f>
        <v>6.7816757450963996</v>
      </c>
      <c r="C1511">
        <v>14406</v>
      </c>
      <c r="D1511" t="s">
        <v>3930</v>
      </c>
      <c r="E1511">
        <v>31503</v>
      </c>
      <c r="F1511" t="s">
        <v>709</v>
      </c>
      <c r="G1511">
        <v>315</v>
      </c>
      <c r="H1511" t="s">
        <v>64</v>
      </c>
      <c r="I1511">
        <v>3</v>
      </c>
      <c r="J1511" t="s">
        <v>50</v>
      </c>
    </row>
    <row r="1512" spans="1:10" x14ac:dyDescent="0.25">
      <c r="A1512" t="s">
        <v>7355</v>
      </c>
      <c r="B1512">
        <f>137934.634997299*(1/100/100)</f>
        <v>13.793463499729901</v>
      </c>
      <c r="C1512">
        <v>14407</v>
      </c>
      <c r="D1512" t="s">
        <v>4076</v>
      </c>
      <c r="E1512">
        <v>31540</v>
      </c>
      <c r="F1512" t="s">
        <v>4077</v>
      </c>
      <c r="G1512">
        <v>315</v>
      </c>
      <c r="H1512" t="s">
        <v>64</v>
      </c>
      <c r="I1512">
        <v>3</v>
      </c>
      <c r="J1512" t="s">
        <v>50</v>
      </c>
    </row>
    <row r="1513" spans="1:10" x14ac:dyDescent="0.25">
      <c r="A1513" t="s">
        <v>7355</v>
      </c>
      <c r="B1513">
        <f>52566.5910866735*(1/100/100)</f>
        <v>5.2566591086673498</v>
      </c>
      <c r="C1513">
        <v>14408</v>
      </c>
      <c r="D1513" t="s">
        <v>4020</v>
      </c>
      <c r="E1513">
        <v>31527</v>
      </c>
      <c r="F1513" t="s">
        <v>728</v>
      </c>
      <c r="G1513">
        <v>315</v>
      </c>
      <c r="H1513" t="s">
        <v>64</v>
      </c>
      <c r="I1513">
        <v>3</v>
      </c>
      <c r="J1513" t="s">
        <v>50</v>
      </c>
    </row>
    <row r="1514" spans="1:10" x14ac:dyDescent="0.25">
      <c r="A1514" t="s">
        <v>7355</v>
      </c>
      <c r="B1514">
        <f>51243.792699475*(1/100/100)</f>
        <v>5.1243792699475001</v>
      </c>
      <c r="C1514">
        <v>14409</v>
      </c>
      <c r="D1514" t="s">
        <v>3935</v>
      </c>
      <c r="E1514">
        <v>31505</v>
      </c>
      <c r="F1514" t="s">
        <v>711</v>
      </c>
      <c r="G1514">
        <v>315</v>
      </c>
      <c r="H1514" t="s">
        <v>64</v>
      </c>
      <c r="I1514">
        <v>3</v>
      </c>
      <c r="J1514" t="s">
        <v>50</v>
      </c>
    </row>
    <row r="1515" spans="1:10" x14ac:dyDescent="0.25">
      <c r="A1515" t="s">
        <v>7355</v>
      </c>
      <c r="B1515">
        <f>78233.762800063*(1/100/100)</f>
        <v>7.8233762800063014</v>
      </c>
      <c r="C1515">
        <v>14410</v>
      </c>
      <c r="D1515" t="s">
        <v>3931</v>
      </c>
      <c r="E1515">
        <v>31503</v>
      </c>
      <c r="F1515" t="s">
        <v>709</v>
      </c>
      <c r="G1515">
        <v>315</v>
      </c>
      <c r="H1515" t="s">
        <v>64</v>
      </c>
      <c r="I1515">
        <v>3</v>
      </c>
      <c r="J1515" t="s">
        <v>50</v>
      </c>
    </row>
    <row r="1516" spans="1:10" x14ac:dyDescent="0.25">
      <c r="A1516" t="s">
        <v>7355</v>
      </c>
      <c r="B1516">
        <f>143058.082889112*(1/100/100)</f>
        <v>14.305808288911201</v>
      </c>
      <c r="C1516">
        <v>14411</v>
      </c>
      <c r="D1516" t="s">
        <v>4021</v>
      </c>
      <c r="E1516">
        <v>31527</v>
      </c>
      <c r="F1516" t="s">
        <v>728</v>
      </c>
      <c r="G1516">
        <v>315</v>
      </c>
      <c r="H1516" t="s">
        <v>64</v>
      </c>
      <c r="I1516">
        <v>3</v>
      </c>
      <c r="J1516" t="s">
        <v>50</v>
      </c>
    </row>
    <row r="1517" spans="1:10" x14ac:dyDescent="0.25">
      <c r="A1517" t="s">
        <v>7355</v>
      </c>
      <c r="B1517">
        <f>122788.666451204*(1/100/100)</f>
        <v>12.2788666451204</v>
      </c>
      <c r="C1517">
        <v>14412</v>
      </c>
      <c r="D1517" t="s">
        <v>731</v>
      </c>
      <c r="E1517">
        <v>31531</v>
      </c>
      <c r="F1517" t="s">
        <v>731</v>
      </c>
      <c r="G1517">
        <v>315</v>
      </c>
      <c r="H1517" t="s">
        <v>64</v>
      </c>
      <c r="I1517">
        <v>3</v>
      </c>
      <c r="J1517" t="s">
        <v>50</v>
      </c>
    </row>
    <row r="1518" spans="1:10" x14ac:dyDescent="0.25">
      <c r="A1518" t="s">
        <v>7355</v>
      </c>
      <c r="B1518">
        <f>95264.0736216827*(1/100/100)</f>
        <v>9.5264073621682712</v>
      </c>
      <c r="C1518">
        <v>14413</v>
      </c>
      <c r="D1518" t="s">
        <v>3932</v>
      </c>
      <c r="E1518">
        <v>31503</v>
      </c>
      <c r="F1518" t="s">
        <v>709</v>
      </c>
      <c r="G1518">
        <v>315</v>
      </c>
      <c r="H1518" t="s">
        <v>64</v>
      </c>
      <c r="I1518">
        <v>3</v>
      </c>
      <c r="J1518" t="s">
        <v>50</v>
      </c>
    </row>
    <row r="1519" spans="1:10" x14ac:dyDescent="0.25">
      <c r="A1519" t="s">
        <v>7355</v>
      </c>
      <c r="B1519">
        <f>50479.0111162456*(1/100/100)</f>
        <v>5.0479011116245607</v>
      </c>
      <c r="C1519">
        <v>14414</v>
      </c>
      <c r="D1519" t="s">
        <v>3933</v>
      </c>
      <c r="E1519">
        <v>31503</v>
      </c>
      <c r="F1519" t="s">
        <v>709</v>
      </c>
      <c r="G1519">
        <v>315</v>
      </c>
      <c r="H1519" t="s">
        <v>64</v>
      </c>
      <c r="I1519">
        <v>3</v>
      </c>
      <c r="J1519" t="s">
        <v>50</v>
      </c>
    </row>
    <row r="1520" spans="1:10" x14ac:dyDescent="0.25">
      <c r="A1520" t="s">
        <v>7355</v>
      </c>
      <c r="B1520">
        <f>65406.206130732*(1/100/100)</f>
        <v>6.5406206130731999</v>
      </c>
      <c r="C1520">
        <v>14415</v>
      </c>
      <c r="D1520" t="s">
        <v>4101</v>
      </c>
      <c r="E1520">
        <v>31549</v>
      </c>
      <c r="F1520" t="s">
        <v>739</v>
      </c>
      <c r="G1520">
        <v>315</v>
      </c>
      <c r="H1520" t="s">
        <v>64</v>
      </c>
      <c r="I1520">
        <v>3</v>
      </c>
      <c r="J1520" t="s">
        <v>50</v>
      </c>
    </row>
    <row r="1521" spans="1:10" x14ac:dyDescent="0.25">
      <c r="A1521" t="s">
        <v>7355</v>
      </c>
      <c r="B1521">
        <f>25858.8533573649*(1/100/100)</f>
        <v>2.5858853357364899</v>
      </c>
      <c r="C1521">
        <v>14416</v>
      </c>
      <c r="D1521" t="s">
        <v>4102</v>
      </c>
      <c r="E1521">
        <v>31549</v>
      </c>
      <c r="F1521" t="s">
        <v>739</v>
      </c>
      <c r="G1521">
        <v>315</v>
      </c>
      <c r="H1521" t="s">
        <v>64</v>
      </c>
      <c r="I1521">
        <v>3</v>
      </c>
      <c r="J1521" t="s">
        <v>50</v>
      </c>
    </row>
    <row r="1522" spans="1:10" x14ac:dyDescent="0.25">
      <c r="A1522" t="s">
        <v>7355</v>
      </c>
      <c r="B1522">
        <f>119058.266579902*(1/100/100)</f>
        <v>11.9058266579902</v>
      </c>
      <c r="C1522">
        <v>14417</v>
      </c>
      <c r="D1522" t="s">
        <v>2218</v>
      </c>
      <c r="E1522">
        <v>31540</v>
      </c>
      <c r="F1522" t="s">
        <v>4077</v>
      </c>
      <c r="G1522">
        <v>315</v>
      </c>
      <c r="H1522" t="s">
        <v>64</v>
      </c>
      <c r="I1522">
        <v>3</v>
      </c>
      <c r="J1522" t="s">
        <v>50</v>
      </c>
    </row>
    <row r="1523" spans="1:10" x14ac:dyDescent="0.25">
      <c r="A1523" t="s">
        <v>7355</v>
      </c>
      <c r="B1523">
        <f>24285.4561916369*(1/100/100)</f>
        <v>2.4285456191636898</v>
      </c>
      <c r="C1523">
        <v>14418</v>
      </c>
      <c r="D1523" t="s">
        <v>3936</v>
      </c>
      <c r="E1523">
        <v>31505</v>
      </c>
      <c r="F1523" t="s">
        <v>711</v>
      </c>
      <c r="G1523">
        <v>315</v>
      </c>
      <c r="H1523" t="s">
        <v>64</v>
      </c>
      <c r="I1523">
        <v>3</v>
      </c>
      <c r="J1523" t="s">
        <v>50</v>
      </c>
    </row>
    <row r="1524" spans="1:10" x14ac:dyDescent="0.25">
      <c r="A1524" t="s">
        <v>7355</v>
      </c>
      <c r="B1524">
        <f>25693.4428461976*(1/100/100)</f>
        <v>2.5693442846197598</v>
      </c>
      <c r="C1524">
        <v>14419</v>
      </c>
      <c r="D1524" t="s">
        <v>3934</v>
      </c>
      <c r="E1524">
        <v>31503</v>
      </c>
      <c r="F1524" t="s">
        <v>709</v>
      </c>
      <c r="G1524">
        <v>315</v>
      </c>
      <c r="H1524" t="s">
        <v>64</v>
      </c>
      <c r="I1524">
        <v>3</v>
      </c>
      <c r="J1524" t="s">
        <v>50</v>
      </c>
    </row>
    <row r="1525" spans="1:10" x14ac:dyDescent="0.25">
      <c r="A1525" t="s">
        <v>7355</v>
      </c>
      <c r="B1525">
        <f>411946.160149484*(1/100/100)</f>
        <v>41.194616014948402</v>
      </c>
      <c r="C1525">
        <v>14420</v>
      </c>
      <c r="D1525" t="s">
        <v>4103</v>
      </c>
      <c r="E1525">
        <v>31549</v>
      </c>
      <c r="F1525" t="s">
        <v>739</v>
      </c>
      <c r="G1525">
        <v>315</v>
      </c>
      <c r="H1525" t="s">
        <v>64</v>
      </c>
      <c r="I1525">
        <v>3</v>
      </c>
      <c r="J1525" t="s">
        <v>50</v>
      </c>
    </row>
    <row r="1526" spans="1:10" x14ac:dyDescent="0.25">
      <c r="A1526" t="s">
        <v>7355</v>
      </c>
      <c r="B1526">
        <f>148682.038255451*(1/100/100)</f>
        <v>14.868203825545102</v>
      </c>
      <c r="C1526">
        <v>15001</v>
      </c>
      <c r="D1526" t="s">
        <v>745</v>
      </c>
      <c r="E1526">
        <v>31603</v>
      </c>
      <c r="F1526" t="s">
        <v>745</v>
      </c>
      <c r="G1526">
        <v>316</v>
      </c>
      <c r="H1526" t="s">
        <v>65</v>
      </c>
      <c r="I1526">
        <v>3</v>
      </c>
      <c r="J1526" t="s">
        <v>50</v>
      </c>
    </row>
    <row r="1527" spans="1:10" x14ac:dyDescent="0.25">
      <c r="A1527" t="s">
        <v>7355</v>
      </c>
      <c r="B1527">
        <f>48849.6639386382*(1/100/100)</f>
        <v>4.8849663938638201</v>
      </c>
      <c r="C1527">
        <v>15002</v>
      </c>
      <c r="D1527" t="s">
        <v>3478</v>
      </c>
      <c r="E1527">
        <v>31612</v>
      </c>
      <c r="F1527" t="s">
        <v>752</v>
      </c>
      <c r="G1527">
        <v>316</v>
      </c>
      <c r="H1527" t="s">
        <v>65</v>
      </c>
      <c r="I1527">
        <v>3</v>
      </c>
      <c r="J1527" t="s">
        <v>50</v>
      </c>
    </row>
    <row r="1528" spans="1:10" x14ac:dyDescent="0.25">
      <c r="A1528" t="s">
        <v>7355</v>
      </c>
      <c r="B1528">
        <f>105213.848395495*(1/100/100)</f>
        <v>10.521384839549501</v>
      </c>
      <c r="C1528">
        <v>15003</v>
      </c>
      <c r="D1528" t="s">
        <v>4219</v>
      </c>
      <c r="E1528">
        <v>31654</v>
      </c>
      <c r="F1528" t="s">
        <v>775</v>
      </c>
      <c r="G1528">
        <v>316</v>
      </c>
      <c r="H1528" t="s">
        <v>65</v>
      </c>
      <c r="I1528">
        <v>3</v>
      </c>
      <c r="J1528" t="s">
        <v>50</v>
      </c>
    </row>
    <row r="1529" spans="1:10" x14ac:dyDescent="0.25">
      <c r="A1529" t="s">
        <v>7355</v>
      </c>
      <c r="B1529">
        <f>64761.8433865458*(1/100/100)</f>
        <v>6.4761843386545799</v>
      </c>
      <c r="C1529">
        <v>15005</v>
      </c>
      <c r="D1529" t="s">
        <v>4176</v>
      </c>
      <c r="E1529">
        <v>31633</v>
      </c>
      <c r="F1529" t="s">
        <v>65</v>
      </c>
      <c r="G1529">
        <v>316</v>
      </c>
      <c r="H1529" t="s">
        <v>65</v>
      </c>
      <c r="I1529">
        <v>3</v>
      </c>
      <c r="J1529" t="s">
        <v>50</v>
      </c>
    </row>
    <row r="1530" spans="1:10" x14ac:dyDescent="0.25">
      <c r="A1530" t="s">
        <v>7355</v>
      </c>
      <c r="B1530">
        <f>42996.0671492108*(1/100/100)</f>
        <v>4.2996067149210804</v>
      </c>
      <c r="C1530">
        <v>15006</v>
      </c>
      <c r="D1530" t="s">
        <v>4220</v>
      </c>
      <c r="E1530">
        <v>31654</v>
      </c>
      <c r="F1530" t="s">
        <v>775</v>
      </c>
      <c r="G1530">
        <v>316</v>
      </c>
      <c r="H1530" t="s">
        <v>65</v>
      </c>
      <c r="I1530">
        <v>3</v>
      </c>
      <c r="J1530" t="s">
        <v>50</v>
      </c>
    </row>
    <row r="1531" spans="1:10" x14ac:dyDescent="0.25">
      <c r="A1531" t="s">
        <v>7355</v>
      </c>
      <c r="B1531">
        <f>19804.665145863*(1/100/100)</f>
        <v>1.9804665145863001</v>
      </c>
      <c r="C1531">
        <v>15007</v>
      </c>
      <c r="D1531" t="s">
        <v>4172</v>
      </c>
      <c r="E1531">
        <v>31630</v>
      </c>
      <c r="F1531" t="s">
        <v>764</v>
      </c>
      <c r="G1531">
        <v>316</v>
      </c>
      <c r="H1531" t="s">
        <v>65</v>
      </c>
      <c r="I1531">
        <v>3</v>
      </c>
      <c r="J1531" t="s">
        <v>50</v>
      </c>
    </row>
    <row r="1532" spans="1:10" x14ac:dyDescent="0.25">
      <c r="A1532" t="s">
        <v>7355</v>
      </c>
      <c r="B1532">
        <f>131987.949544318*(1/100/100)</f>
        <v>13.198794954431801</v>
      </c>
      <c r="C1532">
        <v>15008</v>
      </c>
      <c r="D1532" t="s">
        <v>4177</v>
      </c>
      <c r="E1532">
        <v>31633</v>
      </c>
      <c r="F1532" t="s">
        <v>65</v>
      </c>
      <c r="G1532">
        <v>316</v>
      </c>
      <c r="H1532" t="s">
        <v>65</v>
      </c>
      <c r="I1532">
        <v>3</v>
      </c>
      <c r="J1532" t="s">
        <v>50</v>
      </c>
    </row>
    <row r="1533" spans="1:10" x14ac:dyDescent="0.25">
      <c r="A1533" t="s">
        <v>7355</v>
      </c>
      <c r="B1533">
        <f>55212.4644528844*(1/100/100)</f>
        <v>5.5212464452884404</v>
      </c>
      <c r="C1533">
        <v>15011</v>
      </c>
      <c r="D1533" t="s">
        <v>4178</v>
      </c>
      <c r="E1533">
        <v>31633</v>
      </c>
      <c r="F1533" t="s">
        <v>65</v>
      </c>
      <c r="G1533">
        <v>316</v>
      </c>
      <c r="H1533" t="s">
        <v>65</v>
      </c>
      <c r="I1533">
        <v>3</v>
      </c>
      <c r="J1533" t="s">
        <v>50</v>
      </c>
    </row>
    <row r="1534" spans="1:10" x14ac:dyDescent="0.25">
      <c r="A1534" t="s">
        <v>7355</v>
      </c>
      <c r="B1534">
        <f>24033.5537319169*(1/100/100)</f>
        <v>2.4033553731916903</v>
      </c>
      <c r="C1534">
        <v>15012</v>
      </c>
      <c r="D1534" t="s">
        <v>3711</v>
      </c>
      <c r="E1534">
        <v>31630</v>
      </c>
      <c r="F1534" t="s">
        <v>764</v>
      </c>
      <c r="G1534">
        <v>316</v>
      </c>
      <c r="H1534" t="s">
        <v>65</v>
      </c>
      <c r="I1534">
        <v>3</v>
      </c>
      <c r="J1534" t="s">
        <v>50</v>
      </c>
    </row>
    <row r="1535" spans="1:10" x14ac:dyDescent="0.25">
      <c r="A1535" t="s">
        <v>7355</v>
      </c>
      <c r="B1535">
        <f>172400.10070151*(1/100/100)</f>
        <v>17.240010070151001</v>
      </c>
      <c r="C1535">
        <v>15013</v>
      </c>
      <c r="D1535" t="s">
        <v>752</v>
      </c>
      <c r="E1535">
        <v>31612</v>
      </c>
      <c r="F1535" t="s">
        <v>752</v>
      </c>
      <c r="G1535">
        <v>316</v>
      </c>
      <c r="H1535" t="s">
        <v>65</v>
      </c>
      <c r="I1535">
        <v>3</v>
      </c>
      <c r="J1535" t="s">
        <v>50</v>
      </c>
    </row>
    <row r="1536" spans="1:10" x14ac:dyDescent="0.25">
      <c r="A1536" t="s">
        <v>7355</v>
      </c>
      <c r="B1536">
        <f>38321.0620485698*(1/100/100)</f>
        <v>3.8321062048569803</v>
      </c>
      <c r="C1536">
        <v>15015</v>
      </c>
      <c r="D1536" t="s">
        <v>4173</v>
      </c>
      <c r="E1536">
        <v>31630</v>
      </c>
      <c r="F1536" t="s">
        <v>764</v>
      </c>
      <c r="G1536">
        <v>316</v>
      </c>
      <c r="H1536" t="s">
        <v>65</v>
      </c>
      <c r="I1536">
        <v>3</v>
      </c>
      <c r="J1536" t="s">
        <v>50</v>
      </c>
    </row>
    <row r="1537" spans="1:10" x14ac:dyDescent="0.25">
      <c r="A1537" t="s">
        <v>7355</v>
      </c>
      <c r="B1537">
        <f>18071.9784328038*(1/100/100)</f>
        <v>1.8071978432803801</v>
      </c>
      <c r="C1537">
        <v>15016</v>
      </c>
      <c r="D1537" t="s">
        <v>4187</v>
      </c>
      <c r="E1537">
        <v>31636</v>
      </c>
      <c r="F1537" t="s">
        <v>765</v>
      </c>
      <c r="G1537">
        <v>316</v>
      </c>
      <c r="H1537" t="s">
        <v>65</v>
      </c>
      <c r="I1537">
        <v>3</v>
      </c>
      <c r="J1537" t="s">
        <v>50</v>
      </c>
    </row>
    <row r="1538" spans="1:10" x14ac:dyDescent="0.25">
      <c r="A1538" t="s">
        <v>7355</v>
      </c>
      <c r="B1538">
        <f>38768.5800119477*(1/100/100)</f>
        <v>3.87685800119477</v>
      </c>
      <c r="C1538">
        <v>15017</v>
      </c>
      <c r="D1538" t="s">
        <v>4174</v>
      </c>
      <c r="E1538">
        <v>31630</v>
      </c>
      <c r="F1538" t="s">
        <v>764</v>
      </c>
      <c r="G1538">
        <v>316</v>
      </c>
      <c r="H1538" t="s">
        <v>65</v>
      </c>
      <c r="I1538">
        <v>3</v>
      </c>
      <c r="J1538" t="s">
        <v>50</v>
      </c>
    </row>
    <row r="1539" spans="1:10" x14ac:dyDescent="0.25">
      <c r="A1539" t="s">
        <v>7355</v>
      </c>
      <c r="B1539">
        <f>76902.9066767694*(1/100/100)</f>
        <v>7.6902906676769405</v>
      </c>
      <c r="C1539">
        <v>15018</v>
      </c>
      <c r="D1539" t="s">
        <v>4221</v>
      </c>
      <c r="E1539">
        <v>31654</v>
      </c>
      <c r="F1539" t="s">
        <v>775</v>
      </c>
      <c r="G1539">
        <v>316</v>
      </c>
      <c r="H1539" t="s">
        <v>65</v>
      </c>
      <c r="I1539">
        <v>3</v>
      </c>
      <c r="J1539" t="s">
        <v>50</v>
      </c>
    </row>
    <row r="1540" spans="1:10" x14ac:dyDescent="0.25">
      <c r="A1540" t="s">
        <v>7355</v>
      </c>
      <c r="B1540">
        <f>65110.6233450988*(1/100/100)</f>
        <v>6.5110623345098801</v>
      </c>
      <c r="C1540">
        <v>15019</v>
      </c>
      <c r="D1540" t="s">
        <v>4139</v>
      </c>
      <c r="E1540">
        <v>31612</v>
      </c>
      <c r="F1540" t="s">
        <v>752</v>
      </c>
      <c r="G1540">
        <v>316</v>
      </c>
      <c r="H1540" t="s">
        <v>65</v>
      </c>
      <c r="I1540">
        <v>3</v>
      </c>
      <c r="J1540" t="s">
        <v>50</v>
      </c>
    </row>
    <row r="1541" spans="1:10" x14ac:dyDescent="0.25">
      <c r="A1541" t="s">
        <v>7355</v>
      </c>
      <c r="B1541">
        <f>68142.9501554449*(1/100/100)</f>
        <v>6.8142950155444897</v>
      </c>
      <c r="C1541">
        <v>15020</v>
      </c>
      <c r="D1541" t="s">
        <v>4179</v>
      </c>
      <c r="E1541">
        <v>31633</v>
      </c>
      <c r="F1541" t="s">
        <v>65</v>
      </c>
      <c r="G1541">
        <v>316</v>
      </c>
      <c r="H1541" t="s">
        <v>65</v>
      </c>
      <c r="I1541">
        <v>3</v>
      </c>
      <c r="J1541" t="s">
        <v>50</v>
      </c>
    </row>
    <row r="1542" spans="1:10" x14ac:dyDescent="0.25">
      <c r="A1542" t="s">
        <v>7355</v>
      </c>
      <c r="B1542">
        <f>104124.633776118*(1/100/100)</f>
        <v>10.4124633776118</v>
      </c>
      <c r="C1542">
        <v>15022</v>
      </c>
      <c r="D1542" t="s">
        <v>4180</v>
      </c>
      <c r="E1542">
        <v>31633</v>
      </c>
      <c r="F1542" t="s">
        <v>65</v>
      </c>
      <c r="G1542">
        <v>316</v>
      </c>
      <c r="H1542" t="s">
        <v>65</v>
      </c>
      <c r="I1542">
        <v>3</v>
      </c>
      <c r="J1542" t="s">
        <v>50</v>
      </c>
    </row>
    <row r="1543" spans="1:10" x14ac:dyDescent="0.25">
      <c r="A1543" t="s">
        <v>7355</v>
      </c>
      <c r="B1543">
        <f>116016.986093993*(1/100/100)</f>
        <v>11.6016986093993</v>
      </c>
      <c r="C1543">
        <v>15023</v>
      </c>
      <c r="D1543" t="s">
        <v>4181</v>
      </c>
      <c r="E1543">
        <v>31633</v>
      </c>
      <c r="F1543" t="s">
        <v>65</v>
      </c>
      <c r="G1543">
        <v>316</v>
      </c>
      <c r="H1543" t="s">
        <v>65</v>
      </c>
      <c r="I1543">
        <v>3</v>
      </c>
      <c r="J1543" t="s">
        <v>50</v>
      </c>
    </row>
    <row r="1544" spans="1:10" x14ac:dyDescent="0.25">
      <c r="A1544" t="s">
        <v>7355</v>
      </c>
      <c r="B1544">
        <f>1433.97678706967*(1/100/100)</f>
        <v>0.14339767870696701</v>
      </c>
      <c r="C1544">
        <v>15024</v>
      </c>
      <c r="D1544" t="s">
        <v>4188</v>
      </c>
      <c r="E1544">
        <v>31636</v>
      </c>
      <c r="F1544" t="s">
        <v>765</v>
      </c>
      <c r="G1544">
        <v>316</v>
      </c>
      <c r="H1544" t="s">
        <v>65</v>
      </c>
      <c r="I1544">
        <v>3</v>
      </c>
      <c r="J1544" t="s">
        <v>50</v>
      </c>
    </row>
    <row r="1545" spans="1:10" x14ac:dyDescent="0.25">
      <c r="A1545" t="s">
        <v>7355</v>
      </c>
      <c r="B1545">
        <f>228716.077678377*(1/100/100)</f>
        <v>22.871607767837702</v>
      </c>
      <c r="C1545">
        <v>15025</v>
      </c>
      <c r="D1545" t="s">
        <v>764</v>
      </c>
      <c r="E1545">
        <v>31630</v>
      </c>
      <c r="F1545" t="s">
        <v>764</v>
      </c>
      <c r="G1545">
        <v>316</v>
      </c>
      <c r="H1545" t="s">
        <v>65</v>
      </c>
      <c r="I1545">
        <v>3</v>
      </c>
      <c r="J1545" t="s">
        <v>50</v>
      </c>
    </row>
    <row r="1546" spans="1:10" x14ac:dyDescent="0.25">
      <c r="A1546" t="s">
        <v>7355</v>
      </c>
      <c r="B1546">
        <f>88608.875673967*(1/100/100)</f>
        <v>8.8608875673967002</v>
      </c>
      <c r="C1546">
        <v>15026</v>
      </c>
      <c r="D1546" t="s">
        <v>539</v>
      </c>
      <c r="E1546">
        <v>31633</v>
      </c>
      <c r="F1546" t="s">
        <v>65</v>
      </c>
      <c r="G1546">
        <v>316</v>
      </c>
      <c r="H1546" t="s">
        <v>65</v>
      </c>
      <c r="I1546">
        <v>3</v>
      </c>
      <c r="J1546" t="s">
        <v>50</v>
      </c>
    </row>
    <row r="1547" spans="1:10" x14ac:dyDescent="0.25">
      <c r="A1547" t="s">
        <v>7355</v>
      </c>
      <c r="B1547">
        <f>52086.7916418479*(1/100/100)</f>
        <v>5.2086791641847903</v>
      </c>
      <c r="C1547">
        <v>15027</v>
      </c>
      <c r="D1547" t="s">
        <v>4127</v>
      </c>
      <c r="E1547">
        <v>31603</v>
      </c>
      <c r="F1547" t="s">
        <v>745</v>
      </c>
      <c r="G1547">
        <v>316</v>
      </c>
      <c r="H1547" t="s">
        <v>65</v>
      </c>
      <c r="I1547">
        <v>3</v>
      </c>
      <c r="J1547" t="s">
        <v>50</v>
      </c>
    </row>
    <row r="1548" spans="1:10" x14ac:dyDescent="0.25">
      <c r="A1548" t="s">
        <v>7355</v>
      </c>
      <c r="B1548">
        <f>604967.559146318*(1/100/100)</f>
        <v>60.496755914631805</v>
      </c>
      <c r="C1548">
        <v>15028</v>
      </c>
      <c r="D1548" t="s">
        <v>65</v>
      </c>
      <c r="E1548">
        <v>31633</v>
      </c>
      <c r="F1548" t="s">
        <v>65</v>
      </c>
      <c r="G1548">
        <v>316</v>
      </c>
      <c r="H1548" t="s">
        <v>65</v>
      </c>
      <c r="I1548">
        <v>3</v>
      </c>
      <c r="J1548" t="s">
        <v>50</v>
      </c>
    </row>
    <row r="1549" spans="1:10" x14ac:dyDescent="0.25">
      <c r="A1549" t="s">
        <v>7355</v>
      </c>
      <c r="B1549">
        <f>49806.3027407299*(1/100/100)</f>
        <v>4.9806302740729906</v>
      </c>
      <c r="C1549">
        <v>15029</v>
      </c>
      <c r="D1549" t="s">
        <v>3566</v>
      </c>
      <c r="E1549">
        <v>31630</v>
      </c>
      <c r="F1549" t="s">
        <v>764</v>
      </c>
      <c r="G1549">
        <v>316</v>
      </c>
      <c r="H1549" t="s">
        <v>65</v>
      </c>
      <c r="I1549">
        <v>3</v>
      </c>
      <c r="J1549" t="s">
        <v>50</v>
      </c>
    </row>
    <row r="1550" spans="1:10" x14ac:dyDescent="0.25">
      <c r="A1550" t="s">
        <v>7355</v>
      </c>
      <c r="B1550">
        <f>116168.830916207*(1/100/100)</f>
        <v>11.616883091620702</v>
      </c>
      <c r="C1550">
        <v>15030</v>
      </c>
      <c r="D1550" t="s">
        <v>765</v>
      </c>
      <c r="E1550">
        <v>31636</v>
      </c>
      <c r="F1550" t="s">
        <v>765</v>
      </c>
      <c r="G1550">
        <v>316</v>
      </c>
      <c r="H1550" t="s">
        <v>65</v>
      </c>
      <c r="I1550">
        <v>3</v>
      </c>
      <c r="J1550" t="s">
        <v>50</v>
      </c>
    </row>
    <row r="1551" spans="1:10" x14ac:dyDescent="0.25">
      <c r="A1551" t="s">
        <v>7355</v>
      </c>
      <c r="B1551">
        <f>24922.2044837221*(1/100/100)</f>
        <v>2.4922204483722101</v>
      </c>
      <c r="C1551">
        <v>15031</v>
      </c>
      <c r="D1551" t="s">
        <v>4189</v>
      </c>
      <c r="E1551">
        <v>31636</v>
      </c>
      <c r="F1551" t="s">
        <v>765</v>
      </c>
      <c r="G1551">
        <v>316</v>
      </c>
      <c r="H1551" t="s">
        <v>65</v>
      </c>
      <c r="I1551">
        <v>3</v>
      </c>
      <c r="J1551" t="s">
        <v>50</v>
      </c>
    </row>
    <row r="1552" spans="1:10" x14ac:dyDescent="0.25">
      <c r="A1552" t="s">
        <v>7355</v>
      </c>
      <c r="B1552">
        <f>42122.9245662188*(1/100/100)</f>
        <v>4.2122924566218796</v>
      </c>
      <c r="C1552">
        <v>15033</v>
      </c>
      <c r="D1552" t="s">
        <v>4128</v>
      </c>
      <c r="E1552">
        <v>31603</v>
      </c>
      <c r="F1552" t="s">
        <v>745</v>
      </c>
      <c r="G1552">
        <v>316</v>
      </c>
      <c r="H1552" t="s">
        <v>65</v>
      </c>
      <c r="I1552">
        <v>3</v>
      </c>
      <c r="J1552" t="s">
        <v>50</v>
      </c>
    </row>
    <row r="1553" spans="1:10" x14ac:dyDescent="0.25">
      <c r="A1553" t="s">
        <v>7355</v>
      </c>
      <c r="B1553">
        <f>126650.894255425*(1/100/100)</f>
        <v>12.665089425542501</v>
      </c>
      <c r="C1553">
        <v>15034</v>
      </c>
      <c r="D1553" t="s">
        <v>4182</v>
      </c>
      <c r="E1553">
        <v>31633</v>
      </c>
      <c r="F1553" t="s">
        <v>65</v>
      </c>
      <c r="G1553">
        <v>316</v>
      </c>
      <c r="H1553" t="s">
        <v>65</v>
      </c>
      <c r="I1553">
        <v>3</v>
      </c>
      <c r="J1553" t="s">
        <v>50</v>
      </c>
    </row>
    <row r="1554" spans="1:10" x14ac:dyDescent="0.25">
      <c r="A1554" t="s">
        <v>7355</v>
      </c>
      <c r="B1554">
        <f>57630.743775315*(1/100/100)</f>
        <v>5.7630743775315008</v>
      </c>
      <c r="C1554">
        <v>15035</v>
      </c>
      <c r="D1554" t="s">
        <v>3166</v>
      </c>
      <c r="E1554">
        <v>31612</v>
      </c>
      <c r="F1554" t="s">
        <v>752</v>
      </c>
      <c r="G1554">
        <v>316</v>
      </c>
      <c r="H1554" t="s">
        <v>65</v>
      </c>
      <c r="I1554">
        <v>3</v>
      </c>
      <c r="J1554" t="s">
        <v>50</v>
      </c>
    </row>
    <row r="1555" spans="1:10" x14ac:dyDescent="0.25">
      <c r="A1555" t="s">
        <v>7355</v>
      </c>
      <c r="B1555">
        <f>27430.6561993325*(1/100/100)</f>
        <v>2.7430656199332502</v>
      </c>
      <c r="C1555">
        <v>15036</v>
      </c>
      <c r="D1555" t="s">
        <v>4175</v>
      </c>
      <c r="E1555">
        <v>31630</v>
      </c>
      <c r="F1555" t="s">
        <v>764</v>
      </c>
      <c r="G1555">
        <v>316</v>
      </c>
      <c r="H1555" t="s">
        <v>65</v>
      </c>
      <c r="I1555">
        <v>3</v>
      </c>
      <c r="J1555" t="s">
        <v>50</v>
      </c>
    </row>
    <row r="1556" spans="1:10" x14ac:dyDescent="0.25">
      <c r="A1556" t="s">
        <v>7355</v>
      </c>
      <c r="B1556">
        <f>49313.8976065211*(1/100/100)</f>
        <v>4.9313897606521104</v>
      </c>
      <c r="C1556">
        <v>15037</v>
      </c>
      <c r="D1556" t="s">
        <v>4129</v>
      </c>
      <c r="E1556">
        <v>31603</v>
      </c>
      <c r="F1556" t="s">
        <v>745</v>
      </c>
      <c r="G1556">
        <v>316</v>
      </c>
      <c r="H1556" t="s">
        <v>65</v>
      </c>
      <c r="I1556">
        <v>3</v>
      </c>
      <c r="J1556" t="s">
        <v>50</v>
      </c>
    </row>
    <row r="1557" spans="1:10" x14ac:dyDescent="0.25">
      <c r="A1557" t="s">
        <v>7355</v>
      </c>
      <c r="B1557">
        <f>146803.734243852*(1/100/100)</f>
        <v>14.6803734243852</v>
      </c>
      <c r="C1557">
        <v>15038</v>
      </c>
      <c r="D1557" t="s">
        <v>4140</v>
      </c>
      <c r="E1557">
        <v>31612</v>
      </c>
      <c r="F1557" t="s">
        <v>752</v>
      </c>
      <c r="G1557">
        <v>316</v>
      </c>
      <c r="H1557" t="s">
        <v>65</v>
      </c>
      <c r="I1557">
        <v>3</v>
      </c>
      <c r="J1557" t="s">
        <v>50</v>
      </c>
    </row>
    <row r="1558" spans="1:10" x14ac:dyDescent="0.25">
      <c r="A1558" t="s">
        <v>7355</v>
      </c>
      <c r="B1558">
        <f>90507.363348814*(1/100/100)</f>
        <v>9.0507363348814014</v>
      </c>
      <c r="C1558">
        <v>15039</v>
      </c>
      <c r="D1558" t="s">
        <v>4183</v>
      </c>
      <c r="E1558">
        <v>31633</v>
      </c>
      <c r="F1558" t="s">
        <v>65</v>
      </c>
      <c r="G1558">
        <v>316</v>
      </c>
      <c r="H1558" t="s">
        <v>65</v>
      </c>
      <c r="I1558">
        <v>3</v>
      </c>
      <c r="J1558" t="s">
        <v>50</v>
      </c>
    </row>
    <row r="1559" spans="1:10" x14ac:dyDescent="0.25">
      <c r="A1559" t="s">
        <v>7355</v>
      </c>
      <c r="B1559">
        <f>128474.392573793*(1/100/100)</f>
        <v>12.8474392573793</v>
      </c>
      <c r="C1559">
        <v>15042</v>
      </c>
      <c r="D1559" t="s">
        <v>775</v>
      </c>
      <c r="E1559">
        <v>31654</v>
      </c>
      <c r="F1559" t="s">
        <v>775</v>
      </c>
      <c r="G1559">
        <v>316</v>
      </c>
      <c r="H1559" t="s">
        <v>65</v>
      </c>
      <c r="I1559">
        <v>3</v>
      </c>
      <c r="J1559" t="s">
        <v>50</v>
      </c>
    </row>
    <row r="1560" spans="1:10" x14ac:dyDescent="0.25">
      <c r="A1560" t="s">
        <v>7355</v>
      </c>
      <c r="B1560">
        <f>24267.5960243385*(1/100/100)</f>
        <v>2.4267596024338505</v>
      </c>
      <c r="C1560">
        <v>15043</v>
      </c>
      <c r="D1560" t="s">
        <v>3287</v>
      </c>
      <c r="E1560">
        <v>31603</v>
      </c>
      <c r="F1560" t="s">
        <v>745</v>
      </c>
      <c r="G1560">
        <v>316</v>
      </c>
      <c r="H1560" t="s">
        <v>65</v>
      </c>
      <c r="I1560">
        <v>3</v>
      </c>
      <c r="J1560" t="s">
        <v>50</v>
      </c>
    </row>
    <row r="1561" spans="1:10" x14ac:dyDescent="0.25">
      <c r="A1561" t="s">
        <v>7355</v>
      </c>
      <c r="B1561">
        <f>66288.2764850481*(1/100/100)</f>
        <v>6.628827648504811</v>
      </c>
      <c r="C1561">
        <v>15044</v>
      </c>
      <c r="D1561" t="s">
        <v>4141</v>
      </c>
      <c r="E1561">
        <v>31612</v>
      </c>
      <c r="F1561" t="s">
        <v>752</v>
      </c>
      <c r="G1561">
        <v>316</v>
      </c>
      <c r="H1561" t="s">
        <v>65</v>
      </c>
      <c r="I1561">
        <v>3</v>
      </c>
      <c r="J1561" t="s">
        <v>50</v>
      </c>
    </row>
    <row r="1562" spans="1:10" x14ac:dyDescent="0.25">
      <c r="A1562" t="s">
        <v>7355</v>
      </c>
      <c r="B1562">
        <f>73207.5135671736*(1/100/100)</f>
        <v>7.320751356717361</v>
      </c>
      <c r="C1562">
        <v>15101</v>
      </c>
      <c r="D1562" t="s">
        <v>4152</v>
      </c>
      <c r="E1562">
        <v>31617</v>
      </c>
      <c r="F1562" t="s">
        <v>757</v>
      </c>
      <c r="G1562">
        <v>316</v>
      </c>
      <c r="H1562" t="s">
        <v>65</v>
      </c>
      <c r="I1562">
        <v>3</v>
      </c>
      <c r="J1562" t="s">
        <v>50</v>
      </c>
    </row>
    <row r="1563" spans="1:10" x14ac:dyDescent="0.25">
      <c r="A1563" t="s">
        <v>7355</v>
      </c>
      <c r="B1563">
        <f>180915.460321885*(1/100/100)</f>
        <v>18.091546032188504</v>
      </c>
      <c r="C1563">
        <v>15102</v>
      </c>
      <c r="D1563" t="s">
        <v>744</v>
      </c>
      <c r="E1563">
        <v>31601</v>
      </c>
      <c r="F1563" t="s">
        <v>744</v>
      </c>
      <c r="G1563">
        <v>316</v>
      </c>
      <c r="H1563" t="s">
        <v>65</v>
      </c>
      <c r="I1563">
        <v>3</v>
      </c>
      <c r="J1563" t="s">
        <v>50</v>
      </c>
    </row>
    <row r="1564" spans="1:10" x14ac:dyDescent="0.25">
      <c r="A1564" t="s">
        <v>7355</v>
      </c>
      <c r="B1564">
        <f>72212.3494172893*(1/100/100)</f>
        <v>7.2212349417289303</v>
      </c>
      <c r="C1564">
        <v>15103</v>
      </c>
      <c r="D1564" t="s">
        <v>4191</v>
      </c>
      <c r="E1564">
        <v>31644</v>
      </c>
      <c r="F1564" t="s">
        <v>767</v>
      </c>
      <c r="G1564">
        <v>316</v>
      </c>
      <c r="H1564" t="s">
        <v>65</v>
      </c>
      <c r="I1564">
        <v>3</v>
      </c>
      <c r="J1564" t="s">
        <v>50</v>
      </c>
    </row>
    <row r="1565" spans="1:10" x14ac:dyDescent="0.25">
      <c r="A1565" t="s">
        <v>7355</v>
      </c>
      <c r="B1565">
        <f>180425.509770341*(1/100/100)</f>
        <v>18.042550977034104</v>
      </c>
      <c r="C1565">
        <v>15105</v>
      </c>
      <c r="D1565" t="s">
        <v>746</v>
      </c>
      <c r="E1565">
        <v>31604</v>
      </c>
      <c r="F1565" t="s">
        <v>746</v>
      </c>
      <c r="G1565">
        <v>316</v>
      </c>
      <c r="H1565" t="s">
        <v>65</v>
      </c>
      <c r="I1565">
        <v>3</v>
      </c>
      <c r="J1565" t="s">
        <v>50</v>
      </c>
    </row>
    <row r="1566" spans="1:10" x14ac:dyDescent="0.25">
      <c r="A1566" t="s">
        <v>7355</v>
      </c>
      <c r="B1566">
        <f>138125.038935496*(1/100/100)</f>
        <v>13.812503893549602</v>
      </c>
      <c r="C1566">
        <v>15106</v>
      </c>
      <c r="D1566" t="s">
        <v>748</v>
      </c>
      <c r="E1566">
        <v>31606</v>
      </c>
      <c r="F1566" t="s">
        <v>748</v>
      </c>
      <c r="G1566">
        <v>316</v>
      </c>
      <c r="H1566" t="s">
        <v>65</v>
      </c>
      <c r="I1566">
        <v>3</v>
      </c>
      <c r="J1566" t="s">
        <v>50</v>
      </c>
    </row>
    <row r="1567" spans="1:10" x14ac:dyDescent="0.25">
      <c r="A1567" t="s">
        <v>7355</v>
      </c>
      <c r="B1567">
        <f>60516.9479873524*(1/100/100)</f>
        <v>6.051694798735241</v>
      </c>
      <c r="C1567">
        <v>15107</v>
      </c>
      <c r="D1567" t="s">
        <v>4192</v>
      </c>
      <c r="E1567">
        <v>31644</v>
      </c>
      <c r="F1567" t="s">
        <v>767</v>
      </c>
      <c r="G1567">
        <v>316</v>
      </c>
      <c r="H1567" t="s">
        <v>65</v>
      </c>
      <c r="I1567">
        <v>3</v>
      </c>
      <c r="J1567" t="s">
        <v>50</v>
      </c>
    </row>
    <row r="1568" spans="1:10" x14ac:dyDescent="0.25">
      <c r="A1568" t="s">
        <v>7355</v>
      </c>
      <c r="B1568">
        <f>105687.222706536*(1/100/100)</f>
        <v>10.568722270653602</v>
      </c>
      <c r="C1568">
        <v>15108</v>
      </c>
      <c r="D1568" t="s">
        <v>749</v>
      </c>
      <c r="E1568">
        <v>31608</v>
      </c>
      <c r="F1568" t="s">
        <v>749</v>
      </c>
      <c r="G1568">
        <v>316</v>
      </c>
      <c r="H1568" t="s">
        <v>65</v>
      </c>
      <c r="I1568">
        <v>3</v>
      </c>
      <c r="J1568" t="s">
        <v>50</v>
      </c>
    </row>
    <row r="1569" spans="1:10" x14ac:dyDescent="0.25">
      <c r="A1569" t="s">
        <v>7355</v>
      </c>
      <c r="B1569">
        <f>37798.0313946141*(1/100/100)</f>
        <v>3.7798031394614107</v>
      </c>
      <c r="C1569">
        <v>15109</v>
      </c>
      <c r="D1569" t="s">
        <v>4193</v>
      </c>
      <c r="E1569">
        <v>31644</v>
      </c>
      <c r="F1569" t="s">
        <v>767</v>
      </c>
      <c r="G1569">
        <v>316</v>
      </c>
      <c r="H1569" t="s">
        <v>65</v>
      </c>
      <c r="I1569">
        <v>3</v>
      </c>
      <c r="J1569" t="s">
        <v>50</v>
      </c>
    </row>
    <row r="1570" spans="1:10" x14ac:dyDescent="0.25">
      <c r="A1570" t="s">
        <v>7355</v>
      </c>
      <c r="B1570">
        <f>58700.197483455*(1/100/100)</f>
        <v>5.8700197483455003</v>
      </c>
      <c r="C1570">
        <v>15110</v>
      </c>
      <c r="D1570" t="s">
        <v>4153</v>
      </c>
      <c r="E1570">
        <v>31617</v>
      </c>
      <c r="F1570" t="s">
        <v>757</v>
      </c>
      <c r="G1570">
        <v>316</v>
      </c>
      <c r="H1570" t="s">
        <v>65</v>
      </c>
      <c r="I1570">
        <v>3</v>
      </c>
      <c r="J1570" t="s">
        <v>50</v>
      </c>
    </row>
    <row r="1571" spans="1:10" x14ac:dyDescent="0.25">
      <c r="A1571" t="s">
        <v>7355</v>
      </c>
      <c r="B1571">
        <f>209681.087865222*(1/100/100)</f>
        <v>20.968108786522201</v>
      </c>
      <c r="C1571">
        <v>15111</v>
      </c>
      <c r="D1571" t="s">
        <v>757</v>
      </c>
      <c r="E1571">
        <v>31617</v>
      </c>
      <c r="F1571" t="s">
        <v>757</v>
      </c>
      <c r="G1571">
        <v>316</v>
      </c>
      <c r="H1571" t="s">
        <v>65</v>
      </c>
      <c r="I1571">
        <v>3</v>
      </c>
      <c r="J1571" t="s">
        <v>50</v>
      </c>
    </row>
    <row r="1572" spans="1:10" x14ac:dyDescent="0.25">
      <c r="A1572" t="s">
        <v>7355</v>
      </c>
      <c r="B1572">
        <f>26984.796457719*(1/100/100)</f>
        <v>2.6984796457719002</v>
      </c>
      <c r="C1572">
        <v>15112</v>
      </c>
      <c r="D1572" t="s">
        <v>3293</v>
      </c>
      <c r="E1572">
        <v>31658</v>
      </c>
      <c r="F1572" t="s">
        <v>777</v>
      </c>
      <c r="G1572">
        <v>316</v>
      </c>
      <c r="H1572" t="s">
        <v>65</v>
      </c>
      <c r="I1572">
        <v>3</v>
      </c>
      <c r="J1572" t="s">
        <v>50</v>
      </c>
    </row>
    <row r="1573" spans="1:10" x14ac:dyDescent="0.25">
      <c r="A1573" t="s">
        <v>7355</v>
      </c>
      <c r="B1573">
        <f>21305.0098692221*(1/100/100)</f>
        <v>2.1305009869222102</v>
      </c>
      <c r="C1573">
        <v>15113</v>
      </c>
      <c r="D1573" t="s">
        <v>4154</v>
      </c>
      <c r="E1573">
        <v>31617</v>
      </c>
      <c r="F1573" t="s">
        <v>757</v>
      </c>
      <c r="G1573">
        <v>316</v>
      </c>
      <c r="H1573" t="s">
        <v>65</v>
      </c>
      <c r="I1573">
        <v>3</v>
      </c>
      <c r="J1573" t="s">
        <v>50</v>
      </c>
    </row>
    <row r="1574" spans="1:10" x14ac:dyDescent="0.25">
      <c r="A1574" t="s">
        <v>7355</v>
      </c>
      <c r="B1574">
        <f>181766.224487032*(1/100/100)</f>
        <v>18.176622448703203</v>
      </c>
      <c r="C1574">
        <v>15114</v>
      </c>
      <c r="D1574" t="s">
        <v>758</v>
      </c>
      <c r="E1574">
        <v>31620</v>
      </c>
      <c r="F1574" t="s">
        <v>758</v>
      </c>
      <c r="G1574">
        <v>316</v>
      </c>
      <c r="H1574" t="s">
        <v>65</v>
      </c>
      <c r="I1574">
        <v>3</v>
      </c>
      <c r="J1574" t="s">
        <v>50</v>
      </c>
    </row>
    <row r="1575" spans="1:10" x14ac:dyDescent="0.25">
      <c r="A1575" t="s">
        <v>7355</v>
      </c>
      <c r="B1575">
        <f>187918.933693319*(1/100/100)</f>
        <v>18.791893369331902</v>
      </c>
      <c r="C1575">
        <v>15115</v>
      </c>
      <c r="D1575" t="s">
        <v>759</v>
      </c>
      <c r="E1575">
        <v>31621</v>
      </c>
      <c r="F1575" t="s">
        <v>759</v>
      </c>
      <c r="G1575">
        <v>316</v>
      </c>
      <c r="H1575" t="s">
        <v>65</v>
      </c>
      <c r="I1575">
        <v>3</v>
      </c>
      <c r="J1575" t="s">
        <v>50</v>
      </c>
    </row>
    <row r="1576" spans="1:10" x14ac:dyDescent="0.25">
      <c r="A1576" t="s">
        <v>7355</v>
      </c>
      <c r="B1576">
        <f>1933.16034457019*(1/100/100)</f>
        <v>0.19331603445701903</v>
      </c>
      <c r="C1576">
        <v>15116</v>
      </c>
      <c r="D1576" t="s">
        <v>4194</v>
      </c>
      <c r="E1576">
        <v>31644</v>
      </c>
      <c r="F1576" t="s">
        <v>767</v>
      </c>
      <c r="G1576">
        <v>316</v>
      </c>
      <c r="H1576" t="s">
        <v>65</v>
      </c>
      <c r="I1576">
        <v>3</v>
      </c>
      <c r="J1576" t="s">
        <v>50</v>
      </c>
    </row>
    <row r="1577" spans="1:10" x14ac:dyDescent="0.25">
      <c r="A1577" t="s">
        <v>7355</v>
      </c>
      <c r="B1577">
        <f>108374.839655922*(1/100/100)</f>
        <v>10.837483965592201</v>
      </c>
      <c r="C1577">
        <v>15117</v>
      </c>
      <c r="D1577" t="s">
        <v>941</v>
      </c>
      <c r="E1577">
        <v>31604</v>
      </c>
      <c r="F1577" t="s">
        <v>746</v>
      </c>
      <c r="G1577">
        <v>316</v>
      </c>
      <c r="H1577" t="s">
        <v>65</v>
      </c>
      <c r="I1577">
        <v>3</v>
      </c>
      <c r="J1577" t="s">
        <v>50</v>
      </c>
    </row>
    <row r="1578" spans="1:10" x14ac:dyDescent="0.25">
      <c r="A1578" t="s">
        <v>7355</v>
      </c>
      <c r="B1578">
        <f>57499.6022697923*(1/100/100)</f>
        <v>5.7499602269792307</v>
      </c>
      <c r="C1578">
        <v>15118</v>
      </c>
      <c r="D1578" t="s">
        <v>4195</v>
      </c>
      <c r="E1578">
        <v>31644</v>
      </c>
      <c r="F1578" t="s">
        <v>767</v>
      </c>
      <c r="G1578">
        <v>316</v>
      </c>
      <c r="H1578" t="s">
        <v>65</v>
      </c>
      <c r="I1578">
        <v>3</v>
      </c>
      <c r="J1578" t="s">
        <v>50</v>
      </c>
    </row>
    <row r="1579" spans="1:10" x14ac:dyDescent="0.25">
      <c r="A1579" t="s">
        <v>7355</v>
      </c>
      <c r="B1579">
        <f>78433.684793691*(1/100/100)</f>
        <v>7.8433684793691008</v>
      </c>
      <c r="C1579">
        <v>15119</v>
      </c>
      <c r="D1579" t="s">
        <v>4196</v>
      </c>
      <c r="E1579">
        <v>31644</v>
      </c>
      <c r="F1579" t="s">
        <v>767</v>
      </c>
      <c r="G1579">
        <v>316</v>
      </c>
      <c r="H1579" t="s">
        <v>65</v>
      </c>
      <c r="I1579">
        <v>3</v>
      </c>
      <c r="J1579" t="s">
        <v>50</v>
      </c>
    </row>
    <row r="1580" spans="1:10" x14ac:dyDescent="0.25">
      <c r="A1580" t="s">
        <v>7355</v>
      </c>
      <c r="B1580">
        <f>71470.5559623782*(1/100/100)</f>
        <v>7.1470555962378208</v>
      </c>
      <c r="C1580">
        <v>15120</v>
      </c>
      <c r="D1580" t="s">
        <v>4132</v>
      </c>
      <c r="E1580">
        <v>31606</v>
      </c>
      <c r="F1580" t="s">
        <v>748</v>
      </c>
      <c r="G1580">
        <v>316</v>
      </c>
      <c r="H1580" t="s">
        <v>65</v>
      </c>
      <c r="I1580">
        <v>3</v>
      </c>
      <c r="J1580" t="s">
        <v>50</v>
      </c>
    </row>
    <row r="1581" spans="1:10" x14ac:dyDescent="0.25">
      <c r="A1581" t="s">
        <v>7355</v>
      </c>
      <c r="B1581">
        <f>118517.21311485*(1/100/100)</f>
        <v>11.851721311485001</v>
      </c>
      <c r="C1581">
        <v>15121</v>
      </c>
      <c r="D1581" t="s">
        <v>777</v>
      </c>
      <c r="E1581">
        <v>31658</v>
      </c>
      <c r="F1581" t="s">
        <v>777</v>
      </c>
      <c r="G1581">
        <v>316</v>
      </c>
      <c r="H1581" t="s">
        <v>65</v>
      </c>
      <c r="I1581">
        <v>3</v>
      </c>
      <c r="J1581" t="s">
        <v>50</v>
      </c>
    </row>
    <row r="1582" spans="1:10" x14ac:dyDescent="0.25">
      <c r="A1582" t="s">
        <v>7355</v>
      </c>
      <c r="B1582">
        <f>1345.01891007622*(1/100/100)</f>
        <v>0.134501891007622</v>
      </c>
      <c r="C1582">
        <v>15122</v>
      </c>
      <c r="D1582" t="s">
        <v>4197</v>
      </c>
      <c r="E1582">
        <v>31644</v>
      </c>
      <c r="F1582" t="s">
        <v>767</v>
      </c>
      <c r="G1582">
        <v>316</v>
      </c>
      <c r="H1582" t="s">
        <v>65</v>
      </c>
      <c r="I1582">
        <v>3</v>
      </c>
      <c r="J1582" t="s">
        <v>50</v>
      </c>
    </row>
    <row r="1583" spans="1:10" x14ac:dyDescent="0.25">
      <c r="A1583" t="s">
        <v>7355</v>
      </c>
      <c r="B1583">
        <f>97337.3138523284*(1/100/100)</f>
        <v>9.73373138523284</v>
      </c>
      <c r="C1583">
        <v>15123</v>
      </c>
      <c r="D1583" t="s">
        <v>4198</v>
      </c>
      <c r="E1583">
        <v>31644</v>
      </c>
      <c r="F1583" t="s">
        <v>767</v>
      </c>
      <c r="G1583">
        <v>316</v>
      </c>
      <c r="H1583" t="s">
        <v>65</v>
      </c>
      <c r="I1583">
        <v>3</v>
      </c>
      <c r="J1583" t="s">
        <v>50</v>
      </c>
    </row>
    <row r="1584" spans="1:10" x14ac:dyDescent="0.25">
      <c r="A1584" t="s">
        <v>7355</v>
      </c>
      <c r="B1584">
        <f>433251.51811992*(1/100/100)</f>
        <v>43.325151811992001</v>
      </c>
      <c r="C1584">
        <v>15124</v>
      </c>
      <c r="D1584" t="s">
        <v>767</v>
      </c>
      <c r="E1584">
        <v>31644</v>
      </c>
      <c r="F1584" t="s">
        <v>767</v>
      </c>
      <c r="G1584">
        <v>316</v>
      </c>
      <c r="H1584" t="s">
        <v>65</v>
      </c>
      <c r="I1584">
        <v>3</v>
      </c>
      <c r="J1584" t="s">
        <v>50</v>
      </c>
    </row>
    <row r="1585" spans="1:10" x14ac:dyDescent="0.25">
      <c r="A1585" t="s">
        <v>7355</v>
      </c>
      <c r="B1585">
        <f>162602.785234301*(1/100/100)</f>
        <v>16.260278523430102</v>
      </c>
      <c r="C1585">
        <v>15125</v>
      </c>
      <c r="D1585" t="s">
        <v>768</v>
      </c>
      <c r="E1585">
        <v>31645</v>
      </c>
      <c r="F1585" t="s">
        <v>768</v>
      </c>
      <c r="G1585">
        <v>316</v>
      </c>
      <c r="H1585" t="s">
        <v>65</v>
      </c>
      <c r="I1585">
        <v>3</v>
      </c>
      <c r="J1585" t="s">
        <v>50</v>
      </c>
    </row>
    <row r="1586" spans="1:10" x14ac:dyDescent="0.25">
      <c r="A1586" t="s">
        <v>7355</v>
      </c>
      <c r="B1586">
        <f>108581.456249864*(1/100/100)</f>
        <v>10.858145624986401</v>
      </c>
      <c r="C1586">
        <v>15126</v>
      </c>
      <c r="D1586" t="s">
        <v>4130</v>
      </c>
      <c r="E1586">
        <v>31604</v>
      </c>
      <c r="F1586" t="s">
        <v>746</v>
      </c>
      <c r="G1586">
        <v>316</v>
      </c>
      <c r="H1586" t="s">
        <v>65</v>
      </c>
      <c r="I1586">
        <v>3</v>
      </c>
      <c r="J1586" t="s">
        <v>50</v>
      </c>
    </row>
    <row r="1587" spans="1:10" x14ac:dyDescent="0.25">
      <c r="A1587" t="s">
        <v>7355</v>
      </c>
      <c r="B1587">
        <f>176012.685626947*(1/100/100)</f>
        <v>17.601268562694703</v>
      </c>
      <c r="C1587">
        <v>15127</v>
      </c>
      <c r="D1587" t="s">
        <v>769</v>
      </c>
      <c r="E1587">
        <v>31646</v>
      </c>
      <c r="F1587" t="s">
        <v>769</v>
      </c>
      <c r="G1587">
        <v>316</v>
      </c>
      <c r="H1587" t="s">
        <v>65</v>
      </c>
      <c r="I1587">
        <v>3</v>
      </c>
      <c r="J1587" t="s">
        <v>50</v>
      </c>
    </row>
    <row r="1588" spans="1:10" x14ac:dyDescent="0.25">
      <c r="A1588" t="s">
        <v>7355</v>
      </c>
      <c r="B1588">
        <f>100562.210753604*(1/100/100)</f>
        <v>10.0562210753604</v>
      </c>
      <c r="C1588">
        <v>15128</v>
      </c>
      <c r="D1588" t="s">
        <v>4133</v>
      </c>
      <c r="E1588">
        <v>31606</v>
      </c>
      <c r="F1588" t="s">
        <v>748</v>
      </c>
      <c r="G1588">
        <v>316</v>
      </c>
      <c r="H1588" t="s">
        <v>65</v>
      </c>
      <c r="I1588">
        <v>3</v>
      </c>
      <c r="J1588" t="s">
        <v>50</v>
      </c>
    </row>
    <row r="1589" spans="1:10" x14ac:dyDescent="0.25">
      <c r="A1589" t="s">
        <v>7355</v>
      </c>
      <c r="B1589">
        <f>43975.1281806792*(1/100/100)</f>
        <v>4.3975128180679208</v>
      </c>
      <c r="C1589">
        <v>15129</v>
      </c>
      <c r="D1589" t="s">
        <v>4134</v>
      </c>
      <c r="E1589">
        <v>31606</v>
      </c>
      <c r="F1589" t="s">
        <v>748</v>
      </c>
      <c r="G1589">
        <v>316</v>
      </c>
      <c r="H1589" t="s">
        <v>65</v>
      </c>
      <c r="I1589">
        <v>3</v>
      </c>
      <c r="J1589" t="s">
        <v>50</v>
      </c>
    </row>
    <row r="1590" spans="1:10" x14ac:dyDescent="0.25">
      <c r="A1590" t="s">
        <v>7355</v>
      </c>
      <c r="B1590">
        <f>82750.4059777342*(1/100/100)</f>
        <v>8.2750405977734207</v>
      </c>
      <c r="C1590">
        <v>15130</v>
      </c>
      <c r="D1590" t="s">
        <v>4199</v>
      </c>
      <c r="E1590">
        <v>31644</v>
      </c>
      <c r="F1590" t="s">
        <v>767</v>
      </c>
      <c r="G1590">
        <v>316</v>
      </c>
      <c r="H1590" t="s">
        <v>65</v>
      </c>
      <c r="I1590">
        <v>3</v>
      </c>
      <c r="J1590" t="s">
        <v>50</v>
      </c>
    </row>
    <row r="1591" spans="1:10" x14ac:dyDescent="0.25">
      <c r="A1591" t="s">
        <v>7355</v>
      </c>
      <c r="B1591">
        <f>122739.656104871*(1/100/100)</f>
        <v>12.273965610487101</v>
      </c>
      <c r="C1591">
        <v>15131</v>
      </c>
      <c r="D1591" t="s">
        <v>4200</v>
      </c>
      <c r="E1591">
        <v>31644</v>
      </c>
      <c r="F1591" t="s">
        <v>767</v>
      </c>
      <c r="G1591">
        <v>316</v>
      </c>
      <c r="H1591" t="s">
        <v>65</v>
      </c>
      <c r="I1591">
        <v>3</v>
      </c>
      <c r="J1591" t="s">
        <v>50</v>
      </c>
    </row>
    <row r="1592" spans="1:10" x14ac:dyDescent="0.25">
      <c r="A1592" t="s">
        <v>7355</v>
      </c>
      <c r="B1592">
        <f>38462.5132729558*(1/100/100)</f>
        <v>3.8462513272955805</v>
      </c>
      <c r="C1592">
        <v>15132</v>
      </c>
      <c r="D1592" t="s">
        <v>3410</v>
      </c>
      <c r="E1592">
        <v>31644</v>
      </c>
      <c r="F1592" t="s">
        <v>767</v>
      </c>
      <c r="G1592">
        <v>316</v>
      </c>
      <c r="H1592" t="s">
        <v>65</v>
      </c>
      <c r="I1592">
        <v>3</v>
      </c>
      <c r="J1592" t="s">
        <v>50</v>
      </c>
    </row>
    <row r="1593" spans="1:10" x14ac:dyDescent="0.25">
      <c r="A1593" t="s">
        <v>7355</v>
      </c>
      <c r="B1593">
        <f>212303.836728446*(1/100/100)</f>
        <v>21.230383672844603</v>
      </c>
      <c r="C1593">
        <v>15201</v>
      </c>
      <c r="D1593" t="s">
        <v>747</v>
      </c>
      <c r="E1593">
        <v>31605</v>
      </c>
      <c r="F1593" t="s">
        <v>747</v>
      </c>
      <c r="G1593">
        <v>316</v>
      </c>
      <c r="H1593" t="s">
        <v>65</v>
      </c>
      <c r="I1593">
        <v>3</v>
      </c>
      <c r="J1593" t="s">
        <v>50</v>
      </c>
    </row>
    <row r="1594" spans="1:10" x14ac:dyDescent="0.25">
      <c r="A1594" t="s">
        <v>7355</v>
      </c>
      <c r="B1594">
        <f>36670.0550195196*(1/100/100)</f>
        <v>3.6670055019519601</v>
      </c>
      <c r="C1594">
        <v>15202</v>
      </c>
      <c r="D1594" t="s">
        <v>4155</v>
      </c>
      <c r="E1594">
        <v>31622</v>
      </c>
      <c r="F1594" t="s">
        <v>760</v>
      </c>
      <c r="G1594">
        <v>316</v>
      </c>
      <c r="H1594" t="s">
        <v>65</v>
      </c>
      <c r="I1594">
        <v>3</v>
      </c>
      <c r="J1594" t="s">
        <v>50</v>
      </c>
    </row>
    <row r="1595" spans="1:10" x14ac:dyDescent="0.25">
      <c r="A1595" t="s">
        <v>7355</v>
      </c>
      <c r="B1595">
        <f>55227.863234023*(1/100/100)</f>
        <v>5.5227863234023005</v>
      </c>
      <c r="C1595">
        <v>15203</v>
      </c>
      <c r="D1595" t="s">
        <v>4147</v>
      </c>
      <c r="E1595">
        <v>31614</v>
      </c>
      <c r="F1595" t="s">
        <v>754</v>
      </c>
      <c r="G1595">
        <v>316</v>
      </c>
      <c r="H1595" t="s">
        <v>65</v>
      </c>
      <c r="I1595">
        <v>3</v>
      </c>
      <c r="J1595" t="s">
        <v>50</v>
      </c>
    </row>
    <row r="1596" spans="1:10" x14ac:dyDescent="0.25">
      <c r="A1596" t="s">
        <v>7355</v>
      </c>
      <c r="B1596">
        <f>169341.46365166*(1/100/100)</f>
        <v>16.934146365166001</v>
      </c>
      <c r="C1596">
        <v>15204</v>
      </c>
      <c r="D1596" t="s">
        <v>754</v>
      </c>
      <c r="E1596">
        <v>31614</v>
      </c>
      <c r="F1596" t="s">
        <v>754</v>
      </c>
      <c r="G1596">
        <v>316</v>
      </c>
      <c r="H1596" t="s">
        <v>65</v>
      </c>
      <c r="I1596">
        <v>3</v>
      </c>
      <c r="J1596" t="s">
        <v>50</v>
      </c>
    </row>
    <row r="1597" spans="1:10" x14ac:dyDescent="0.25">
      <c r="A1597" t="s">
        <v>7355</v>
      </c>
      <c r="B1597">
        <f>238419.381829638*(1/100/100)</f>
        <v>23.841938182963801</v>
      </c>
      <c r="C1597">
        <v>15205</v>
      </c>
      <c r="D1597" t="s">
        <v>755</v>
      </c>
      <c r="E1597">
        <v>31615</v>
      </c>
      <c r="F1597" t="s">
        <v>755</v>
      </c>
      <c r="G1597">
        <v>316</v>
      </c>
      <c r="H1597" t="s">
        <v>65</v>
      </c>
      <c r="I1597">
        <v>3</v>
      </c>
      <c r="J1597" t="s">
        <v>50</v>
      </c>
    </row>
    <row r="1598" spans="1:10" x14ac:dyDescent="0.25">
      <c r="A1598" t="s">
        <v>7355</v>
      </c>
      <c r="B1598">
        <f>68513.5059577477*(1/100/100)</f>
        <v>6.85135059577477</v>
      </c>
      <c r="C1598">
        <v>15206</v>
      </c>
      <c r="D1598" t="s">
        <v>4158</v>
      </c>
      <c r="E1598">
        <v>31627</v>
      </c>
      <c r="F1598" t="s">
        <v>761</v>
      </c>
      <c r="G1598">
        <v>316</v>
      </c>
      <c r="H1598" t="s">
        <v>65</v>
      </c>
      <c r="I1598">
        <v>3</v>
      </c>
      <c r="J1598" t="s">
        <v>50</v>
      </c>
    </row>
    <row r="1599" spans="1:10" x14ac:dyDescent="0.25">
      <c r="A1599" t="s">
        <v>7355</v>
      </c>
      <c r="B1599">
        <f>65348.7674714969*(1/100/100)</f>
        <v>6.5348767471496902</v>
      </c>
      <c r="C1599">
        <v>15207</v>
      </c>
      <c r="D1599" t="s">
        <v>4212</v>
      </c>
      <c r="E1599">
        <v>31651</v>
      </c>
      <c r="F1599" t="s">
        <v>772</v>
      </c>
      <c r="G1599">
        <v>316</v>
      </c>
      <c r="H1599" t="s">
        <v>65</v>
      </c>
      <c r="I1599">
        <v>3</v>
      </c>
      <c r="J1599" t="s">
        <v>50</v>
      </c>
    </row>
    <row r="1600" spans="1:10" x14ac:dyDescent="0.25">
      <c r="A1600" t="s">
        <v>7355</v>
      </c>
      <c r="B1600">
        <f>59428.9862556864*(1/100/100)</f>
        <v>5.9428986255686409</v>
      </c>
      <c r="C1600">
        <v>15208</v>
      </c>
      <c r="D1600" t="s">
        <v>4148</v>
      </c>
      <c r="E1600">
        <v>31614</v>
      </c>
      <c r="F1600" t="s">
        <v>754</v>
      </c>
      <c r="G1600">
        <v>316</v>
      </c>
      <c r="H1600" t="s">
        <v>65</v>
      </c>
      <c r="I1600">
        <v>3</v>
      </c>
      <c r="J1600" t="s">
        <v>50</v>
      </c>
    </row>
    <row r="1601" spans="1:10" x14ac:dyDescent="0.25">
      <c r="A1601" t="s">
        <v>7355</v>
      </c>
      <c r="B1601">
        <f>91234.7686614916*(1/100/100)</f>
        <v>9.1234768661491614</v>
      </c>
      <c r="C1601">
        <v>15209</v>
      </c>
      <c r="D1601" t="s">
        <v>4222</v>
      </c>
      <c r="E1601">
        <v>31655</v>
      </c>
      <c r="F1601" t="s">
        <v>776</v>
      </c>
      <c r="G1601">
        <v>316</v>
      </c>
      <c r="H1601" t="s">
        <v>65</v>
      </c>
      <c r="I1601">
        <v>3</v>
      </c>
      <c r="J1601" t="s">
        <v>50</v>
      </c>
    </row>
    <row r="1602" spans="1:10" x14ac:dyDescent="0.25">
      <c r="A1602" t="s">
        <v>7355</v>
      </c>
      <c r="B1602">
        <f>133001.572902222*(1/100/100)</f>
        <v>13.300157290222199</v>
      </c>
      <c r="C1602">
        <v>15210</v>
      </c>
      <c r="D1602" t="s">
        <v>4161</v>
      </c>
      <c r="E1602">
        <v>31628</v>
      </c>
      <c r="F1602" t="s">
        <v>762</v>
      </c>
      <c r="G1602">
        <v>316</v>
      </c>
      <c r="H1602" t="s">
        <v>65</v>
      </c>
      <c r="I1602">
        <v>3</v>
      </c>
      <c r="J1602" t="s">
        <v>50</v>
      </c>
    </row>
    <row r="1603" spans="1:10" x14ac:dyDescent="0.25">
      <c r="A1603" t="s">
        <v>7355</v>
      </c>
      <c r="B1603">
        <f>283162.175504677*(1/100/100)</f>
        <v>28.316217550467702</v>
      </c>
      <c r="C1603">
        <v>15211</v>
      </c>
      <c r="D1603" t="s">
        <v>4223</v>
      </c>
      <c r="E1603">
        <v>31655</v>
      </c>
      <c r="F1603" t="s">
        <v>776</v>
      </c>
      <c r="G1603">
        <v>316</v>
      </c>
      <c r="H1603" t="s">
        <v>65</v>
      </c>
      <c r="I1603">
        <v>3</v>
      </c>
      <c r="J1603" t="s">
        <v>50</v>
      </c>
    </row>
    <row r="1604" spans="1:10" x14ac:dyDescent="0.25">
      <c r="A1604" t="s">
        <v>7355</v>
      </c>
      <c r="B1604">
        <f>28354.1084902452*(1/100/100)</f>
        <v>2.83541084902452</v>
      </c>
      <c r="C1604">
        <v>15212</v>
      </c>
      <c r="D1604" t="s">
        <v>4224</v>
      </c>
      <c r="E1604">
        <v>31655</v>
      </c>
      <c r="F1604" t="s">
        <v>776</v>
      </c>
      <c r="G1604">
        <v>316</v>
      </c>
      <c r="H1604" t="s">
        <v>65</v>
      </c>
      <c r="I1604">
        <v>3</v>
      </c>
      <c r="J1604" t="s">
        <v>50</v>
      </c>
    </row>
    <row r="1605" spans="1:10" x14ac:dyDescent="0.25">
      <c r="A1605" t="s">
        <v>7355</v>
      </c>
      <c r="B1605">
        <f>168733.595957227*(1/100/100)</f>
        <v>16.8733595957227</v>
      </c>
      <c r="C1605">
        <v>15213</v>
      </c>
      <c r="D1605" t="s">
        <v>766</v>
      </c>
      <c r="E1605">
        <v>31642</v>
      </c>
      <c r="F1605" t="s">
        <v>766</v>
      </c>
      <c r="G1605">
        <v>316</v>
      </c>
      <c r="H1605" t="s">
        <v>65</v>
      </c>
      <c r="I1605">
        <v>3</v>
      </c>
      <c r="J1605" t="s">
        <v>50</v>
      </c>
    </row>
    <row r="1606" spans="1:10" x14ac:dyDescent="0.25">
      <c r="A1606" t="s">
        <v>7355</v>
      </c>
      <c r="B1606">
        <f>62565.2015418308*(1/100/100)</f>
        <v>6.2565201541830806</v>
      </c>
      <c r="C1606">
        <v>15214</v>
      </c>
      <c r="D1606" t="s">
        <v>4149</v>
      </c>
      <c r="E1606">
        <v>31614</v>
      </c>
      <c r="F1606" t="s">
        <v>754</v>
      </c>
      <c r="G1606">
        <v>316</v>
      </c>
      <c r="H1606" t="s">
        <v>65</v>
      </c>
      <c r="I1606">
        <v>3</v>
      </c>
      <c r="J1606" t="s">
        <v>50</v>
      </c>
    </row>
    <row r="1607" spans="1:10" x14ac:dyDescent="0.25">
      <c r="A1607" t="s">
        <v>7355</v>
      </c>
      <c r="B1607">
        <f>18215.6333520833*(1/100/100)</f>
        <v>1.82156333520833</v>
      </c>
      <c r="C1607">
        <v>15215</v>
      </c>
      <c r="D1607" t="s">
        <v>4190</v>
      </c>
      <c r="E1607">
        <v>31642</v>
      </c>
      <c r="F1607" t="s">
        <v>766</v>
      </c>
      <c r="G1607">
        <v>316</v>
      </c>
      <c r="H1607" t="s">
        <v>65</v>
      </c>
      <c r="I1607">
        <v>3</v>
      </c>
      <c r="J1607" t="s">
        <v>50</v>
      </c>
    </row>
    <row r="1608" spans="1:10" x14ac:dyDescent="0.25">
      <c r="A1608" t="s">
        <v>7355</v>
      </c>
      <c r="B1608">
        <f>47197.3264431126*(1/100/100)</f>
        <v>4.7197326443112599</v>
      </c>
      <c r="C1608">
        <v>15216</v>
      </c>
      <c r="D1608" t="s">
        <v>4225</v>
      </c>
      <c r="E1608">
        <v>31655</v>
      </c>
      <c r="F1608" t="s">
        <v>776</v>
      </c>
      <c r="G1608">
        <v>316</v>
      </c>
      <c r="H1608" t="s">
        <v>65</v>
      </c>
      <c r="I1608">
        <v>3</v>
      </c>
      <c r="J1608" t="s">
        <v>50</v>
      </c>
    </row>
    <row r="1609" spans="1:10" x14ac:dyDescent="0.25">
      <c r="A1609" t="s">
        <v>7355</v>
      </c>
      <c r="B1609">
        <f>117402.170075142*(1/100/100)</f>
        <v>11.7402170075142</v>
      </c>
      <c r="C1609">
        <v>15217</v>
      </c>
      <c r="D1609" t="s">
        <v>4213</v>
      </c>
      <c r="E1609">
        <v>31651</v>
      </c>
      <c r="F1609" t="s">
        <v>772</v>
      </c>
      <c r="G1609">
        <v>316</v>
      </c>
      <c r="H1609" t="s">
        <v>65</v>
      </c>
      <c r="I1609">
        <v>3</v>
      </c>
      <c r="J1609" t="s">
        <v>50</v>
      </c>
    </row>
    <row r="1610" spans="1:10" x14ac:dyDescent="0.25">
      <c r="A1610" t="s">
        <v>7355</v>
      </c>
      <c r="B1610">
        <f>27456.3963587041*(1/100/100)</f>
        <v>2.7456396358704103</v>
      </c>
      <c r="C1610">
        <v>15218</v>
      </c>
      <c r="D1610" t="s">
        <v>4162</v>
      </c>
      <c r="E1610">
        <v>31628</v>
      </c>
      <c r="F1610" t="s">
        <v>762</v>
      </c>
      <c r="G1610">
        <v>316</v>
      </c>
      <c r="H1610" t="s">
        <v>65</v>
      </c>
      <c r="I1610">
        <v>3</v>
      </c>
      <c r="J1610" t="s">
        <v>50</v>
      </c>
    </row>
    <row r="1611" spans="1:10" x14ac:dyDescent="0.25">
      <c r="A1611" t="s">
        <v>7355</v>
      </c>
      <c r="B1611">
        <f>69653.6580774556*(1/100/100)</f>
        <v>6.9653658077455614</v>
      </c>
      <c r="C1611">
        <v>15219</v>
      </c>
      <c r="D1611" t="s">
        <v>4156</v>
      </c>
      <c r="E1611">
        <v>31622</v>
      </c>
      <c r="F1611" t="s">
        <v>760</v>
      </c>
      <c r="G1611">
        <v>316</v>
      </c>
      <c r="H1611" t="s">
        <v>65</v>
      </c>
      <c r="I1611">
        <v>3</v>
      </c>
      <c r="J1611" t="s">
        <v>50</v>
      </c>
    </row>
    <row r="1612" spans="1:10" x14ac:dyDescent="0.25">
      <c r="A1612" t="s">
        <v>7355</v>
      </c>
      <c r="B1612">
        <f>133516.351756538*(1/100/100)</f>
        <v>13.351635175653801</v>
      </c>
      <c r="C1612">
        <v>15220</v>
      </c>
      <c r="D1612" t="s">
        <v>4214</v>
      </c>
      <c r="E1612">
        <v>31651</v>
      </c>
      <c r="F1612" t="s">
        <v>772</v>
      </c>
      <c r="G1612">
        <v>316</v>
      </c>
      <c r="H1612" t="s">
        <v>65</v>
      </c>
      <c r="I1612">
        <v>3</v>
      </c>
      <c r="J1612" t="s">
        <v>50</v>
      </c>
    </row>
    <row r="1613" spans="1:10" x14ac:dyDescent="0.25">
      <c r="A1613" t="s">
        <v>7355</v>
      </c>
      <c r="B1613">
        <f>74096.2441143609*(1/100/100)</f>
        <v>7.4096244114360905</v>
      </c>
      <c r="C1613">
        <v>15221</v>
      </c>
      <c r="D1613" t="s">
        <v>4159</v>
      </c>
      <c r="E1613">
        <v>31627</v>
      </c>
      <c r="F1613" t="s">
        <v>761</v>
      </c>
      <c r="G1613">
        <v>316</v>
      </c>
      <c r="H1613" t="s">
        <v>65</v>
      </c>
      <c r="I1613">
        <v>3</v>
      </c>
      <c r="J1613" t="s">
        <v>50</v>
      </c>
    </row>
    <row r="1614" spans="1:10" x14ac:dyDescent="0.25">
      <c r="A1614" t="s">
        <v>7355</v>
      </c>
      <c r="B1614">
        <f>3918.62953124698*(1/100/100)</f>
        <v>0.39186295312469804</v>
      </c>
      <c r="C1614">
        <v>15222</v>
      </c>
      <c r="D1614" t="s">
        <v>4131</v>
      </c>
      <c r="E1614">
        <v>31605</v>
      </c>
      <c r="F1614" t="s">
        <v>747</v>
      </c>
      <c r="G1614">
        <v>316</v>
      </c>
      <c r="H1614" t="s">
        <v>65</v>
      </c>
      <c r="I1614">
        <v>3</v>
      </c>
      <c r="J1614" t="s">
        <v>50</v>
      </c>
    </row>
    <row r="1615" spans="1:10" x14ac:dyDescent="0.25">
      <c r="A1615" t="s">
        <v>7355</v>
      </c>
      <c r="B1615">
        <f>105665.305304478*(1/100/100)</f>
        <v>10.5665305304478</v>
      </c>
      <c r="C1615">
        <v>15223</v>
      </c>
      <c r="D1615" t="s">
        <v>4157</v>
      </c>
      <c r="E1615">
        <v>31622</v>
      </c>
      <c r="F1615" t="s">
        <v>760</v>
      </c>
      <c r="G1615">
        <v>316</v>
      </c>
      <c r="H1615" t="s">
        <v>65</v>
      </c>
      <c r="I1615">
        <v>3</v>
      </c>
      <c r="J1615" t="s">
        <v>50</v>
      </c>
    </row>
    <row r="1616" spans="1:10" x14ac:dyDescent="0.25">
      <c r="A1616" t="s">
        <v>7355</v>
      </c>
      <c r="B1616">
        <f>401845.15695991*(1/100/100)</f>
        <v>40.184515695991003</v>
      </c>
      <c r="C1616">
        <v>15224</v>
      </c>
      <c r="D1616" t="s">
        <v>3995</v>
      </c>
      <c r="E1616">
        <v>31655</v>
      </c>
      <c r="F1616" t="s">
        <v>776</v>
      </c>
      <c r="G1616">
        <v>316</v>
      </c>
      <c r="H1616" t="s">
        <v>65</v>
      </c>
      <c r="I1616">
        <v>3</v>
      </c>
      <c r="J1616" t="s">
        <v>50</v>
      </c>
    </row>
    <row r="1617" spans="1:10" x14ac:dyDescent="0.25">
      <c r="A1617" t="s">
        <v>7355</v>
      </c>
      <c r="B1617">
        <f>90367.2664166672*(1/100/100)</f>
        <v>9.0367266416667213</v>
      </c>
      <c r="C1617">
        <v>15225</v>
      </c>
      <c r="D1617" t="s">
        <v>4163</v>
      </c>
      <c r="E1617">
        <v>31628</v>
      </c>
      <c r="F1617" t="s">
        <v>762</v>
      </c>
      <c r="G1617">
        <v>316</v>
      </c>
      <c r="H1617" t="s">
        <v>65</v>
      </c>
      <c r="I1617">
        <v>3</v>
      </c>
      <c r="J1617" t="s">
        <v>50</v>
      </c>
    </row>
    <row r="1618" spans="1:10" x14ac:dyDescent="0.25">
      <c r="A1618" t="s">
        <v>7355</v>
      </c>
      <c r="B1618">
        <f>49679.166016207*(1/100/100)</f>
        <v>4.9679166016206997</v>
      </c>
      <c r="C1618">
        <v>15226</v>
      </c>
      <c r="D1618" t="s">
        <v>4160</v>
      </c>
      <c r="E1618">
        <v>31627</v>
      </c>
      <c r="F1618" t="s">
        <v>761</v>
      </c>
      <c r="G1618">
        <v>316</v>
      </c>
      <c r="H1618" t="s">
        <v>65</v>
      </c>
      <c r="I1618">
        <v>3</v>
      </c>
      <c r="J1618" t="s">
        <v>50</v>
      </c>
    </row>
    <row r="1619" spans="1:10" x14ac:dyDescent="0.25">
      <c r="A1619" t="s">
        <v>7355</v>
      </c>
      <c r="B1619">
        <f>175275.962577162*(1/100/100)</f>
        <v>17.527596257716201</v>
      </c>
      <c r="C1619">
        <v>16101</v>
      </c>
      <c r="D1619" t="s">
        <v>778</v>
      </c>
      <c r="E1619">
        <v>31701</v>
      </c>
      <c r="F1619" t="s">
        <v>778</v>
      </c>
      <c r="G1619">
        <v>317</v>
      </c>
      <c r="H1619" t="s">
        <v>66</v>
      </c>
      <c r="I1619">
        <v>3</v>
      </c>
      <c r="J1619" t="s">
        <v>50</v>
      </c>
    </row>
    <row r="1620" spans="1:10" x14ac:dyDescent="0.25">
      <c r="A1620" t="s">
        <v>7355</v>
      </c>
      <c r="B1620">
        <f>5755.44270701353*(1/100/100)</f>
        <v>0.57554427070135306</v>
      </c>
      <c r="C1620">
        <v>16102</v>
      </c>
      <c r="D1620" t="s">
        <v>4228</v>
      </c>
      <c r="E1620">
        <v>31706</v>
      </c>
      <c r="F1620" t="s">
        <v>782</v>
      </c>
      <c r="G1620">
        <v>317</v>
      </c>
      <c r="H1620" t="s">
        <v>66</v>
      </c>
      <c r="I1620">
        <v>3</v>
      </c>
      <c r="J1620" t="s">
        <v>50</v>
      </c>
    </row>
    <row r="1621" spans="1:10" x14ac:dyDescent="0.25">
      <c r="A1621" t="s">
        <v>7355</v>
      </c>
      <c r="B1621">
        <f>417685.941378843*(1/100/100)</f>
        <v>41.7685941378843</v>
      </c>
      <c r="C1621">
        <v>16103</v>
      </c>
      <c r="D1621" t="s">
        <v>779</v>
      </c>
      <c r="E1621">
        <v>31702</v>
      </c>
      <c r="F1621" t="s">
        <v>779</v>
      </c>
      <c r="G1621">
        <v>317</v>
      </c>
      <c r="H1621" t="s">
        <v>66</v>
      </c>
      <c r="I1621">
        <v>3</v>
      </c>
      <c r="J1621" t="s">
        <v>50</v>
      </c>
    </row>
    <row r="1622" spans="1:10" x14ac:dyDescent="0.25">
      <c r="A1622" t="s">
        <v>7355</v>
      </c>
      <c r="B1622">
        <f>473585.868161556*(1/100/100)</f>
        <v>47.358586816155601</v>
      </c>
      <c r="C1622">
        <v>16104</v>
      </c>
      <c r="D1622" t="s">
        <v>4226</v>
      </c>
      <c r="E1622">
        <v>31703</v>
      </c>
      <c r="F1622" t="s">
        <v>780</v>
      </c>
      <c r="G1622">
        <v>317</v>
      </c>
      <c r="H1622" t="s">
        <v>66</v>
      </c>
      <c r="I1622">
        <v>3</v>
      </c>
      <c r="J1622" t="s">
        <v>50</v>
      </c>
    </row>
    <row r="1623" spans="1:10" x14ac:dyDescent="0.25">
      <c r="A1623" t="s">
        <v>7355</v>
      </c>
      <c r="B1623">
        <f>976042.080750788*(1/100/100)</f>
        <v>97.604208075078802</v>
      </c>
      <c r="C1623">
        <v>16105</v>
      </c>
      <c r="D1623" t="s">
        <v>781</v>
      </c>
      <c r="E1623">
        <v>31704</v>
      </c>
      <c r="F1623" t="s">
        <v>781</v>
      </c>
      <c r="G1623">
        <v>317</v>
      </c>
      <c r="H1623" t="s">
        <v>66</v>
      </c>
      <c r="I1623">
        <v>3</v>
      </c>
      <c r="J1623" t="s">
        <v>50</v>
      </c>
    </row>
    <row r="1624" spans="1:10" x14ac:dyDescent="0.25">
      <c r="A1624" t="s">
        <v>7355</v>
      </c>
      <c r="B1624">
        <f>34856.6921147948*(1/100/100)</f>
        <v>3.4856692114794803</v>
      </c>
      <c r="C1624">
        <v>16106</v>
      </c>
      <c r="D1624" t="s">
        <v>2576</v>
      </c>
      <c r="E1624">
        <v>31726</v>
      </c>
      <c r="F1624" t="s">
        <v>796</v>
      </c>
      <c r="G1624">
        <v>317</v>
      </c>
      <c r="H1624" t="s">
        <v>66</v>
      </c>
      <c r="I1624">
        <v>3</v>
      </c>
      <c r="J1624" t="s">
        <v>50</v>
      </c>
    </row>
    <row r="1625" spans="1:10" x14ac:dyDescent="0.25">
      <c r="A1625" t="s">
        <v>7355</v>
      </c>
      <c r="B1625">
        <f>130987.979265758*(1/100/100)</f>
        <v>13.0987979265758</v>
      </c>
      <c r="C1625">
        <v>16107</v>
      </c>
      <c r="D1625" t="s">
        <v>782</v>
      </c>
      <c r="E1625">
        <v>31706</v>
      </c>
      <c r="F1625" t="s">
        <v>782</v>
      </c>
      <c r="G1625">
        <v>317</v>
      </c>
      <c r="H1625" t="s">
        <v>66</v>
      </c>
      <c r="I1625">
        <v>3</v>
      </c>
      <c r="J1625" t="s">
        <v>50</v>
      </c>
    </row>
    <row r="1626" spans="1:10" x14ac:dyDescent="0.25">
      <c r="A1626" t="s">
        <v>7355</v>
      </c>
      <c r="B1626">
        <f>155656.953828429*(1/100/100)</f>
        <v>15.5656953828429</v>
      </c>
      <c r="C1626">
        <v>16108</v>
      </c>
      <c r="D1626" t="s">
        <v>783</v>
      </c>
      <c r="E1626">
        <v>31707</v>
      </c>
      <c r="F1626" t="s">
        <v>783</v>
      </c>
      <c r="G1626">
        <v>317</v>
      </c>
      <c r="H1626" t="s">
        <v>66</v>
      </c>
      <c r="I1626">
        <v>3</v>
      </c>
      <c r="J1626" t="s">
        <v>50</v>
      </c>
    </row>
    <row r="1627" spans="1:10" x14ac:dyDescent="0.25">
      <c r="A1627" t="s">
        <v>7355</v>
      </c>
      <c r="B1627">
        <f>67215.1117633521*(1/100/100)</f>
        <v>6.7215111763352109</v>
      </c>
      <c r="C1627">
        <v>16109</v>
      </c>
      <c r="D1627" t="s">
        <v>3069</v>
      </c>
      <c r="E1627">
        <v>31726</v>
      </c>
      <c r="F1627" t="s">
        <v>796</v>
      </c>
      <c r="G1627">
        <v>317</v>
      </c>
      <c r="H1627" t="s">
        <v>66</v>
      </c>
      <c r="I1627">
        <v>3</v>
      </c>
      <c r="J1627" t="s">
        <v>50</v>
      </c>
    </row>
    <row r="1628" spans="1:10" x14ac:dyDescent="0.25">
      <c r="A1628" t="s">
        <v>7355</v>
      </c>
      <c r="B1628">
        <f>399290.959498671*(1/100/100)</f>
        <v>39.929095949867104</v>
      </c>
      <c r="C1628">
        <v>16110</v>
      </c>
      <c r="D1628" t="s">
        <v>784</v>
      </c>
      <c r="E1628">
        <v>31709</v>
      </c>
      <c r="F1628" t="s">
        <v>784</v>
      </c>
      <c r="G1628">
        <v>317</v>
      </c>
      <c r="H1628" t="s">
        <v>66</v>
      </c>
      <c r="I1628">
        <v>3</v>
      </c>
      <c r="J1628" t="s">
        <v>50</v>
      </c>
    </row>
    <row r="1629" spans="1:10" x14ac:dyDescent="0.25">
      <c r="A1629" t="s">
        <v>7355</v>
      </c>
      <c r="B1629">
        <f>867677.058553265*(1/100/100)</f>
        <v>86.767705855326497</v>
      </c>
      <c r="C1629">
        <v>16111</v>
      </c>
      <c r="D1629" t="s">
        <v>785</v>
      </c>
      <c r="E1629">
        <v>31710</v>
      </c>
      <c r="F1629" t="s">
        <v>785</v>
      </c>
      <c r="G1629">
        <v>317</v>
      </c>
      <c r="H1629" t="s">
        <v>66</v>
      </c>
      <c r="I1629">
        <v>3</v>
      </c>
      <c r="J1629" t="s">
        <v>50</v>
      </c>
    </row>
    <row r="1630" spans="1:10" x14ac:dyDescent="0.25">
      <c r="A1630" t="s">
        <v>7355</v>
      </c>
      <c r="B1630">
        <f>157207.655030938*(1/100/100)</f>
        <v>15.720765503093801</v>
      </c>
      <c r="C1630">
        <v>16112</v>
      </c>
      <c r="D1630" t="s">
        <v>786</v>
      </c>
      <c r="E1630">
        <v>31711</v>
      </c>
      <c r="F1630" t="s">
        <v>786</v>
      </c>
      <c r="G1630">
        <v>317</v>
      </c>
      <c r="H1630" t="s">
        <v>66</v>
      </c>
      <c r="I1630">
        <v>3</v>
      </c>
      <c r="J1630" t="s">
        <v>50</v>
      </c>
    </row>
    <row r="1631" spans="1:10" x14ac:dyDescent="0.25">
      <c r="A1631" t="s">
        <v>7355</v>
      </c>
      <c r="B1631">
        <f>264519.415647884*(1/100/100)</f>
        <v>26.451941564788402</v>
      </c>
      <c r="C1631">
        <v>16113</v>
      </c>
      <c r="D1631" t="s">
        <v>787</v>
      </c>
      <c r="E1631">
        <v>31712</v>
      </c>
      <c r="F1631" t="s">
        <v>787</v>
      </c>
      <c r="G1631">
        <v>317</v>
      </c>
      <c r="H1631" t="s">
        <v>66</v>
      </c>
      <c r="I1631">
        <v>3</v>
      </c>
      <c r="J1631" t="s">
        <v>50</v>
      </c>
    </row>
    <row r="1632" spans="1:10" x14ac:dyDescent="0.25">
      <c r="A1632" t="s">
        <v>7355</v>
      </c>
      <c r="B1632">
        <f>39242.4446976833*(1/100/100)</f>
        <v>3.9242444697683299</v>
      </c>
      <c r="C1632">
        <v>16114</v>
      </c>
      <c r="D1632" t="s">
        <v>4227</v>
      </c>
      <c r="E1632">
        <v>31703</v>
      </c>
      <c r="F1632" t="s">
        <v>780</v>
      </c>
      <c r="G1632">
        <v>317</v>
      </c>
      <c r="H1632" t="s">
        <v>66</v>
      </c>
      <c r="I1632">
        <v>3</v>
      </c>
      <c r="J1632" t="s">
        <v>50</v>
      </c>
    </row>
    <row r="1633" spans="1:10" x14ac:dyDescent="0.25">
      <c r="A1633" t="s">
        <v>7355</v>
      </c>
      <c r="B1633">
        <f>192149.727327154*(1/100/100)</f>
        <v>19.214972732715399</v>
      </c>
      <c r="C1633">
        <v>16115</v>
      </c>
      <c r="D1633" t="s">
        <v>788</v>
      </c>
      <c r="E1633">
        <v>31713</v>
      </c>
      <c r="F1633" t="s">
        <v>788</v>
      </c>
      <c r="G1633">
        <v>317</v>
      </c>
      <c r="H1633" t="s">
        <v>66</v>
      </c>
      <c r="I1633">
        <v>3</v>
      </c>
      <c r="J1633" t="s">
        <v>50</v>
      </c>
    </row>
    <row r="1634" spans="1:10" x14ac:dyDescent="0.25">
      <c r="A1634" t="s">
        <v>7355</v>
      </c>
      <c r="B1634">
        <f>109749.758502563*(1/100/100)</f>
        <v>10.9749758502563</v>
      </c>
      <c r="C1634">
        <v>16116</v>
      </c>
      <c r="D1634" t="s">
        <v>789</v>
      </c>
      <c r="E1634">
        <v>31714</v>
      </c>
      <c r="F1634" t="s">
        <v>789</v>
      </c>
      <c r="G1634">
        <v>317</v>
      </c>
      <c r="H1634" t="s">
        <v>66</v>
      </c>
      <c r="I1634">
        <v>3</v>
      </c>
      <c r="J1634" t="s">
        <v>50</v>
      </c>
    </row>
    <row r="1635" spans="1:10" x14ac:dyDescent="0.25">
      <c r="A1635" t="s">
        <v>7355</v>
      </c>
      <c r="B1635">
        <f>341663.226610336*(1/100/100)</f>
        <v>34.166322661033597</v>
      </c>
      <c r="C1635">
        <v>16117</v>
      </c>
      <c r="D1635" t="s">
        <v>790</v>
      </c>
      <c r="E1635">
        <v>31715</v>
      </c>
      <c r="F1635" t="s">
        <v>790</v>
      </c>
      <c r="G1635">
        <v>317</v>
      </c>
      <c r="H1635" t="s">
        <v>66</v>
      </c>
      <c r="I1635">
        <v>3</v>
      </c>
      <c r="J1635" t="s">
        <v>50</v>
      </c>
    </row>
    <row r="1636" spans="1:10" x14ac:dyDescent="0.25">
      <c r="A1636" t="s">
        <v>7355</v>
      </c>
      <c r="B1636">
        <f>537232.720892204*(1/100/100)</f>
        <v>53.723272089220401</v>
      </c>
      <c r="C1636">
        <v>16118</v>
      </c>
      <c r="D1636" t="s">
        <v>791</v>
      </c>
      <c r="E1636">
        <v>31716</v>
      </c>
      <c r="F1636" t="s">
        <v>791</v>
      </c>
      <c r="G1636">
        <v>317</v>
      </c>
      <c r="H1636" t="s">
        <v>66</v>
      </c>
      <c r="I1636">
        <v>3</v>
      </c>
      <c r="J1636" t="s">
        <v>50</v>
      </c>
    </row>
    <row r="1637" spans="1:10" x14ac:dyDescent="0.25">
      <c r="A1637" t="s">
        <v>7355</v>
      </c>
      <c r="B1637">
        <f>1055770.79691548*(1/100/100)</f>
        <v>105.57707969154799</v>
      </c>
      <c r="C1637">
        <v>16119</v>
      </c>
      <c r="D1637" t="s">
        <v>66</v>
      </c>
      <c r="E1637">
        <v>31717</v>
      </c>
      <c r="F1637" t="s">
        <v>66</v>
      </c>
      <c r="G1637">
        <v>317</v>
      </c>
      <c r="H1637" t="s">
        <v>66</v>
      </c>
      <c r="I1637">
        <v>3</v>
      </c>
      <c r="J1637" t="s">
        <v>50</v>
      </c>
    </row>
    <row r="1638" spans="1:10" x14ac:dyDescent="0.25">
      <c r="A1638" t="s">
        <v>7355</v>
      </c>
      <c r="B1638">
        <f>338020.3364826*(1/100/100)</f>
        <v>33.80203364826</v>
      </c>
      <c r="C1638">
        <v>16120</v>
      </c>
      <c r="D1638" t="s">
        <v>792</v>
      </c>
      <c r="E1638">
        <v>31718</v>
      </c>
      <c r="F1638" t="s">
        <v>792</v>
      </c>
      <c r="G1638">
        <v>317</v>
      </c>
      <c r="H1638" t="s">
        <v>66</v>
      </c>
      <c r="I1638">
        <v>3</v>
      </c>
      <c r="J1638" t="s">
        <v>50</v>
      </c>
    </row>
    <row r="1639" spans="1:10" x14ac:dyDescent="0.25">
      <c r="A1639" t="s">
        <v>7355</v>
      </c>
      <c r="B1639">
        <f>1071096.08117291*(1/100/100)</f>
        <v>107.10960811729102</v>
      </c>
      <c r="C1639">
        <v>16121</v>
      </c>
      <c r="D1639" t="s">
        <v>793</v>
      </c>
      <c r="E1639">
        <v>31719</v>
      </c>
      <c r="F1639" t="s">
        <v>793</v>
      </c>
      <c r="G1639">
        <v>317</v>
      </c>
      <c r="H1639" t="s">
        <v>66</v>
      </c>
      <c r="I1639">
        <v>3</v>
      </c>
      <c r="J1639" t="s">
        <v>50</v>
      </c>
    </row>
    <row r="1640" spans="1:10" x14ac:dyDescent="0.25">
      <c r="A1640" t="s">
        <v>7355</v>
      </c>
      <c r="B1640">
        <f>68224.1124296537*(1/100/100)</f>
        <v>6.8224112429653703</v>
      </c>
      <c r="C1640">
        <v>16122</v>
      </c>
      <c r="D1640" t="s">
        <v>3699</v>
      </c>
      <c r="E1640">
        <v>31726</v>
      </c>
      <c r="F1640" t="s">
        <v>796</v>
      </c>
      <c r="G1640">
        <v>317</v>
      </c>
      <c r="H1640" t="s">
        <v>66</v>
      </c>
      <c r="I1640">
        <v>3</v>
      </c>
      <c r="J1640" t="s">
        <v>50</v>
      </c>
    </row>
    <row r="1641" spans="1:10" x14ac:dyDescent="0.25">
      <c r="A1641" t="s">
        <v>7355</v>
      </c>
      <c r="B1641">
        <f>29204.2151701228*(1/100/100)</f>
        <v>2.9204215170122803</v>
      </c>
      <c r="C1641">
        <v>16123</v>
      </c>
      <c r="D1641" t="s">
        <v>4229</v>
      </c>
      <c r="E1641">
        <v>31712</v>
      </c>
      <c r="F1641" t="s">
        <v>787</v>
      </c>
      <c r="G1641">
        <v>317</v>
      </c>
      <c r="H1641" t="s">
        <v>66</v>
      </c>
      <c r="I1641">
        <v>3</v>
      </c>
      <c r="J1641" t="s">
        <v>50</v>
      </c>
    </row>
    <row r="1642" spans="1:10" x14ac:dyDescent="0.25">
      <c r="A1642" t="s">
        <v>7355</v>
      </c>
      <c r="B1642">
        <f>66979.8307462801*(1/100/100)</f>
        <v>6.6979830746280102</v>
      </c>
      <c r="C1642">
        <v>16124</v>
      </c>
      <c r="D1642" t="s">
        <v>4231</v>
      </c>
      <c r="E1642">
        <v>31726</v>
      </c>
      <c r="F1642" t="s">
        <v>796</v>
      </c>
      <c r="G1642">
        <v>317</v>
      </c>
      <c r="H1642" t="s">
        <v>66</v>
      </c>
      <c r="I1642">
        <v>3</v>
      </c>
      <c r="J1642" t="s">
        <v>50</v>
      </c>
    </row>
    <row r="1643" spans="1:10" x14ac:dyDescent="0.25">
      <c r="A1643" t="s">
        <v>7355</v>
      </c>
      <c r="B1643">
        <f>71688.115800695*(1/100/100)</f>
        <v>7.1688115800694998</v>
      </c>
      <c r="C1643">
        <v>16125</v>
      </c>
      <c r="D1643" t="s">
        <v>4232</v>
      </c>
      <c r="E1643">
        <v>31726</v>
      </c>
      <c r="F1643" t="s">
        <v>796</v>
      </c>
      <c r="G1643">
        <v>317</v>
      </c>
      <c r="H1643" t="s">
        <v>66</v>
      </c>
      <c r="I1643">
        <v>3</v>
      </c>
      <c r="J1643" t="s">
        <v>50</v>
      </c>
    </row>
    <row r="1644" spans="1:10" x14ac:dyDescent="0.25">
      <c r="A1644" t="s">
        <v>7355</v>
      </c>
      <c r="B1644">
        <f>776074.099293793*(1/100/100)</f>
        <v>77.607409929379301</v>
      </c>
      <c r="C1644">
        <v>16126</v>
      </c>
      <c r="D1644" t="s">
        <v>794</v>
      </c>
      <c r="E1644">
        <v>31723</v>
      </c>
      <c r="F1644" t="s">
        <v>794</v>
      </c>
      <c r="G1644">
        <v>317</v>
      </c>
      <c r="H1644" t="s">
        <v>66</v>
      </c>
      <c r="I1644">
        <v>3</v>
      </c>
      <c r="J1644" t="s">
        <v>50</v>
      </c>
    </row>
    <row r="1645" spans="1:10" x14ac:dyDescent="0.25">
      <c r="A1645" t="s">
        <v>7355</v>
      </c>
      <c r="B1645">
        <f>37059.8186091048*(1/100/100)</f>
        <v>3.7059818609104798</v>
      </c>
      <c r="C1645">
        <v>16127</v>
      </c>
      <c r="D1645" t="s">
        <v>4230</v>
      </c>
      <c r="E1645">
        <v>31712</v>
      </c>
      <c r="F1645" t="s">
        <v>787</v>
      </c>
      <c r="G1645">
        <v>317</v>
      </c>
      <c r="H1645" t="s">
        <v>66</v>
      </c>
      <c r="I1645">
        <v>3</v>
      </c>
      <c r="J1645" t="s">
        <v>50</v>
      </c>
    </row>
    <row r="1646" spans="1:10" x14ac:dyDescent="0.25">
      <c r="A1646" t="s">
        <v>7355</v>
      </c>
      <c r="B1646">
        <f>894452.333182849*(1/100/100)</f>
        <v>89.445233318284906</v>
      </c>
      <c r="C1646">
        <v>16128</v>
      </c>
      <c r="D1646" t="s">
        <v>795</v>
      </c>
      <c r="E1646">
        <v>31725</v>
      </c>
      <c r="F1646" t="s">
        <v>795</v>
      </c>
      <c r="G1646">
        <v>317</v>
      </c>
      <c r="H1646" t="s">
        <v>66</v>
      </c>
      <c r="I1646">
        <v>3</v>
      </c>
      <c r="J1646" t="s">
        <v>50</v>
      </c>
    </row>
    <row r="1647" spans="1:10" x14ac:dyDescent="0.25">
      <c r="A1647" t="s">
        <v>7355</v>
      </c>
      <c r="B1647">
        <f>130173.74380859*(1/100/100)</f>
        <v>13.017374380859001</v>
      </c>
      <c r="C1647">
        <v>18001</v>
      </c>
      <c r="D1647" t="s">
        <v>3345</v>
      </c>
      <c r="E1647">
        <v>31001</v>
      </c>
      <c r="F1647" t="s">
        <v>609</v>
      </c>
      <c r="G1647">
        <v>310</v>
      </c>
      <c r="H1647" t="s">
        <v>59</v>
      </c>
      <c r="I1647">
        <v>3</v>
      </c>
      <c r="J1647" t="s">
        <v>50</v>
      </c>
    </row>
    <row r="1648" spans="1:10" x14ac:dyDescent="0.25">
      <c r="A1648" t="s">
        <v>7355</v>
      </c>
      <c r="B1648">
        <f>68396.4832891502*(1/100/100)</f>
        <v>6.8396483289150201</v>
      </c>
      <c r="C1648">
        <v>18002</v>
      </c>
      <c r="D1648" t="s">
        <v>3371</v>
      </c>
      <c r="E1648">
        <v>31018</v>
      </c>
      <c r="F1648" t="s">
        <v>615</v>
      </c>
      <c r="G1648">
        <v>310</v>
      </c>
      <c r="H1648" t="s">
        <v>59</v>
      </c>
      <c r="I1648">
        <v>3</v>
      </c>
      <c r="J1648" t="s">
        <v>50</v>
      </c>
    </row>
    <row r="1649" spans="1:10" x14ac:dyDescent="0.25">
      <c r="A1649" t="s">
        <v>7355</v>
      </c>
      <c r="B1649">
        <f>138236.852612412*(1/100/100)</f>
        <v>13.823685261241202</v>
      </c>
      <c r="C1649">
        <v>18003</v>
      </c>
      <c r="D1649" t="s">
        <v>3443</v>
      </c>
      <c r="E1649">
        <v>31042</v>
      </c>
      <c r="F1649" t="s">
        <v>627</v>
      </c>
      <c r="G1649">
        <v>310</v>
      </c>
      <c r="H1649" t="s">
        <v>59</v>
      </c>
      <c r="I1649">
        <v>3</v>
      </c>
      <c r="J1649" t="s">
        <v>50</v>
      </c>
    </row>
    <row r="1650" spans="1:10" x14ac:dyDescent="0.25">
      <c r="A1650" t="s">
        <v>7355</v>
      </c>
      <c r="B1650">
        <f>157169.715975572*(1/100/100)</f>
        <v>15.716971597557201</v>
      </c>
      <c r="C1650">
        <v>18004</v>
      </c>
      <c r="D1650" t="s">
        <v>613</v>
      </c>
      <c r="E1650">
        <v>31015</v>
      </c>
      <c r="F1650" t="s">
        <v>613</v>
      </c>
      <c r="G1650">
        <v>310</v>
      </c>
      <c r="H1650" t="s">
        <v>59</v>
      </c>
      <c r="I1650">
        <v>3</v>
      </c>
      <c r="J1650" t="s">
        <v>50</v>
      </c>
    </row>
    <row r="1651" spans="1:10" x14ac:dyDescent="0.25">
      <c r="A1651" t="s">
        <v>7355</v>
      </c>
      <c r="B1651">
        <f>174218.671871765*(1/100/100)</f>
        <v>17.421867187176499</v>
      </c>
      <c r="C1651">
        <v>18005</v>
      </c>
      <c r="D1651" t="s">
        <v>615</v>
      </c>
      <c r="E1651">
        <v>31018</v>
      </c>
      <c r="F1651" t="s">
        <v>615</v>
      </c>
      <c r="G1651">
        <v>310</v>
      </c>
      <c r="H1651" t="s">
        <v>59</v>
      </c>
      <c r="I1651">
        <v>3</v>
      </c>
      <c r="J1651" t="s">
        <v>50</v>
      </c>
    </row>
    <row r="1652" spans="1:10" x14ac:dyDescent="0.25">
      <c r="A1652" t="s">
        <v>7355</v>
      </c>
      <c r="B1652">
        <f>79884.794627644*(1/100/100)</f>
        <v>7.9884794627644009</v>
      </c>
      <c r="C1652">
        <v>18006</v>
      </c>
      <c r="D1652" t="s">
        <v>3372</v>
      </c>
      <c r="E1652">
        <v>31018</v>
      </c>
      <c r="F1652" t="s">
        <v>615</v>
      </c>
      <c r="G1652">
        <v>310</v>
      </c>
      <c r="H1652" t="s">
        <v>59</v>
      </c>
      <c r="I1652">
        <v>3</v>
      </c>
      <c r="J1652" t="s">
        <v>50</v>
      </c>
    </row>
    <row r="1653" spans="1:10" x14ac:dyDescent="0.25">
      <c r="A1653" t="s">
        <v>7355</v>
      </c>
      <c r="B1653">
        <f>124514.277592283*(1/100/100)</f>
        <v>12.4514277592283</v>
      </c>
      <c r="C1653">
        <v>18007</v>
      </c>
      <c r="D1653" t="s">
        <v>618</v>
      </c>
      <c r="E1653">
        <v>31025</v>
      </c>
      <c r="F1653" t="s">
        <v>618</v>
      </c>
      <c r="G1653">
        <v>310</v>
      </c>
      <c r="H1653" t="s">
        <v>59</v>
      </c>
      <c r="I1653">
        <v>3</v>
      </c>
      <c r="J1653" t="s">
        <v>50</v>
      </c>
    </row>
    <row r="1654" spans="1:10" x14ac:dyDescent="0.25">
      <c r="A1654" t="s">
        <v>7355</v>
      </c>
      <c r="B1654">
        <f>131507.408866856*(1/100/100)</f>
        <v>13.150740886685602</v>
      </c>
      <c r="C1654">
        <v>18008</v>
      </c>
      <c r="D1654" t="s">
        <v>3362</v>
      </c>
      <c r="E1654">
        <v>31015</v>
      </c>
      <c r="F1654" t="s">
        <v>613</v>
      </c>
      <c r="G1654">
        <v>310</v>
      </c>
      <c r="H1654" t="s">
        <v>59</v>
      </c>
      <c r="I1654">
        <v>3</v>
      </c>
      <c r="J1654" t="s">
        <v>50</v>
      </c>
    </row>
    <row r="1655" spans="1:10" x14ac:dyDescent="0.25">
      <c r="A1655" t="s">
        <v>7355</v>
      </c>
      <c r="B1655">
        <f>68644.4098647482*(1/100/100)</f>
        <v>6.8644409864748201</v>
      </c>
      <c r="C1655">
        <v>18009</v>
      </c>
      <c r="D1655" t="s">
        <v>3420</v>
      </c>
      <c r="E1655">
        <v>31033</v>
      </c>
      <c r="F1655" t="s">
        <v>621</v>
      </c>
      <c r="G1655">
        <v>310</v>
      </c>
      <c r="H1655" t="s">
        <v>59</v>
      </c>
      <c r="I1655">
        <v>3</v>
      </c>
      <c r="J1655" t="s">
        <v>50</v>
      </c>
    </row>
    <row r="1656" spans="1:10" x14ac:dyDescent="0.25">
      <c r="A1656" t="s">
        <v>7355</v>
      </c>
      <c r="B1656">
        <f>100610.467423025*(1/100/100)</f>
        <v>10.0610467423025</v>
      </c>
      <c r="C1656">
        <v>18010</v>
      </c>
      <c r="D1656" t="s">
        <v>621</v>
      </c>
      <c r="E1656">
        <v>31033</v>
      </c>
      <c r="F1656" t="s">
        <v>621</v>
      </c>
      <c r="G1656">
        <v>310</v>
      </c>
      <c r="H1656" t="s">
        <v>59</v>
      </c>
      <c r="I1656">
        <v>3</v>
      </c>
      <c r="J1656" t="s">
        <v>50</v>
      </c>
    </row>
    <row r="1657" spans="1:10" x14ac:dyDescent="0.25">
      <c r="A1657" t="s">
        <v>7355</v>
      </c>
      <c r="B1657">
        <f>70207.8313228827*(1/100/100)</f>
        <v>7.0207831322882708</v>
      </c>
      <c r="C1657">
        <v>18011</v>
      </c>
      <c r="D1657" t="s">
        <v>2853</v>
      </c>
      <c r="E1657">
        <v>31033</v>
      </c>
      <c r="F1657" t="s">
        <v>621</v>
      </c>
      <c r="G1657">
        <v>310</v>
      </c>
      <c r="H1657" t="s">
        <v>59</v>
      </c>
      <c r="I1657">
        <v>3</v>
      </c>
      <c r="J1657" t="s">
        <v>50</v>
      </c>
    </row>
    <row r="1658" spans="1:10" x14ac:dyDescent="0.25">
      <c r="A1658" t="s">
        <v>7355</v>
      </c>
      <c r="B1658">
        <f>12630.5877265878*(1/100/100)</f>
        <v>1.2630587726587801</v>
      </c>
      <c r="C1658">
        <v>18012</v>
      </c>
      <c r="D1658" t="s">
        <v>2937</v>
      </c>
      <c r="E1658">
        <v>31033</v>
      </c>
      <c r="F1658" t="s">
        <v>621</v>
      </c>
      <c r="G1658">
        <v>310</v>
      </c>
      <c r="H1658" t="s">
        <v>59</v>
      </c>
      <c r="I1658">
        <v>3</v>
      </c>
      <c r="J1658" t="s">
        <v>50</v>
      </c>
    </row>
    <row r="1659" spans="1:10" x14ac:dyDescent="0.25">
      <c r="A1659" t="s">
        <v>7355</v>
      </c>
      <c r="B1659">
        <f>80665.5893423905*(1/100/100)</f>
        <v>8.0665589342390511</v>
      </c>
      <c r="C1659">
        <v>18013</v>
      </c>
      <c r="D1659" t="s">
        <v>3444</v>
      </c>
      <c r="E1659">
        <v>31042</v>
      </c>
      <c r="F1659" t="s">
        <v>627</v>
      </c>
      <c r="G1659">
        <v>310</v>
      </c>
      <c r="H1659" t="s">
        <v>59</v>
      </c>
      <c r="I1659">
        <v>3</v>
      </c>
      <c r="J1659" t="s">
        <v>50</v>
      </c>
    </row>
    <row r="1660" spans="1:10" x14ac:dyDescent="0.25">
      <c r="A1660" t="s">
        <v>7355</v>
      </c>
      <c r="B1660">
        <f>107659.032134908*(1/100/100)</f>
        <v>10.765903213490802</v>
      </c>
      <c r="C1660">
        <v>18014</v>
      </c>
      <c r="D1660" t="s">
        <v>3363</v>
      </c>
      <c r="E1660">
        <v>31015</v>
      </c>
      <c r="F1660" t="s">
        <v>613</v>
      </c>
      <c r="G1660">
        <v>310</v>
      </c>
      <c r="H1660" t="s">
        <v>59</v>
      </c>
      <c r="I1660">
        <v>3</v>
      </c>
      <c r="J1660" t="s">
        <v>50</v>
      </c>
    </row>
    <row r="1661" spans="1:10" x14ac:dyDescent="0.25">
      <c r="A1661" t="s">
        <v>7355</v>
      </c>
      <c r="B1661">
        <f>53954.923157236*(1/100/100)</f>
        <v>5.3954923157236001</v>
      </c>
      <c r="C1661">
        <v>18101</v>
      </c>
      <c r="D1661" t="s">
        <v>3463</v>
      </c>
      <c r="E1661">
        <v>31052</v>
      </c>
      <c r="F1661" t="s">
        <v>630</v>
      </c>
      <c r="G1661">
        <v>310</v>
      </c>
      <c r="H1661" t="s">
        <v>59</v>
      </c>
      <c r="I1661">
        <v>3</v>
      </c>
      <c r="J1661" t="s">
        <v>50</v>
      </c>
    </row>
    <row r="1662" spans="1:10" x14ac:dyDescent="0.25">
      <c r="A1662" t="s">
        <v>7355</v>
      </c>
      <c r="B1662">
        <f>27198.0762354451*(1/100/100)</f>
        <v>2.7198076235445101</v>
      </c>
      <c r="C1662">
        <v>18102</v>
      </c>
      <c r="D1662" t="s">
        <v>3464</v>
      </c>
      <c r="E1662">
        <v>31052</v>
      </c>
      <c r="F1662" t="s">
        <v>630</v>
      </c>
      <c r="G1662">
        <v>310</v>
      </c>
      <c r="H1662" t="s">
        <v>59</v>
      </c>
      <c r="I1662">
        <v>3</v>
      </c>
      <c r="J1662" t="s">
        <v>50</v>
      </c>
    </row>
    <row r="1663" spans="1:10" x14ac:dyDescent="0.25">
      <c r="A1663" t="s">
        <v>7355</v>
      </c>
      <c r="B1663">
        <f>36669.2111976457*(1/100/100)</f>
        <v>3.6669211197645701</v>
      </c>
      <c r="C1663">
        <v>18103</v>
      </c>
      <c r="D1663" t="s">
        <v>3364</v>
      </c>
      <c r="E1663">
        <v>31016</v>
      </c>
      <c r="F1663" t="s">
        <v>614</v>
      </c>
      <c r="G1663">
        <v>310</v>
      </c>
      <c r="H1663" t="s">
        <v>59</v>
      </c>
      <c r="I1663">
        <v>3</v>
      </c>
      <c r="J1663" t="s">
        <v>50</v>
      </c>
    </row>
    <row r="1664" spans="1:10" x14ac:dyDescent="0.25">
      <c r="A1664" t="s">
        <v>7355</v>
      </c>
      <c r="B1664">
        <f>27098.3578249219*(1/100/100)</f>
        <v>2.7098357824921901</v>
      </c>
      <c r="C1664">
        <v>18104</v>
      </c>
      <c r="D1664" t="s">
        <v>614</v>
      </c>
      <c r="E1664">
        <v>31016</v>
      </c>
      <c r="F1664" t="s">
        <v>614</v>
      </c>
      <c r="G1664">
        <v>310</v>
      </c>
      <c r="H1664" t="s">
        <v>59</v>
      </c>
      <c r="I1664">
        <v>3</v>
      </c>
      <c r="J1664" t="s">
        <v>50</v>
      </c>
    </row>
    <row r="1665" spans="1:10" x14ac:dyDescent="0.25">
      <c r="A1665" t="s">
        <v>7355</v>
      </c>
      <c r="B1665">
        <f>23790.1318165461*(1/100/100)</f>
        <v>2.3790131816546101</v>
      </c>
      <c r="C1665">
        <v>18105</v>
      </c>
      <c r="D1665" t="s">
        <v>3365</v>
      </c>
      <c r="E1665">
        <v>31016</v>
      </c>
      <c r="F1665" t="s">
        <v>614</v>
      </c>
      <c r="G1665">
        <v>310</v>
      </c>
      <c r="H1665" t="s">
        <v>59</v>
      </c>
      <c r="I1665">
        <v>3</v>
      </c>
      <c r="J1665" t="s">
        <v>50</v>
      </c>
    </row>
    <row r="1666" spans="1:10" x14ac:dyDescent="0.25">
      <c r="A1666" t="s">
        <v>7355</v>
      </c>
      <c r="B1666">
        <f>28450.6780661735*(1/100/100)</f>
        <v>2.84506780661735</v>
      </c>
      <c r="C1666">
        <v>18106</v>
      </c>
      <c r="D1666" t="s">
        <v>3432</v>
      </c>
      <c r="E1666">
        <v>31037</v>
      </c>
      <c r="F1666" t="s">
        <v>624</v>
      </c>
      <c r="G1666">
        <v>310</v>
      </c>
      <c r="H1666" t="s">
        <v>59</v>
      </c>
      <c r="I1666">
        <v>3</v>
      </c>
      <c r="J1666" t="s">
        <v>50</v>
      </c>
    </row>
    <row r="1667" spans="1:10" x14ac:dyDescent="0.25">
      <c r="A1667" t="s">
        <v>7355</v>
      </c>
      <c r="B1667">
        <f>80358.4272693823*(1/100/100)</f>
        <v>8.0358427269382311</v>
      </c>
      <c r="C1667">
        <v>18107</v>
      </c>
      <c r="D1667" t="s">
        <v>3433</v>
      </c>
      <c r="E1667">
        <v>31037</v>
      </c>
      <c r="F1667" t="s">
        <v>624</v>
      </c>
      <c r="G1667">
        <v>310</v>
      </c>
      <c r="H1667" t="s">
        <v>59</v>
      </c>
      <c r="I1667">
        <v>3</v>
      </c>
      <c r="J1667" t="s">
        <v>50</v>
      </c>
    </row>
    <row r="1668" spans="1:10" x14ac:dyDescent="0.25">
      <c r="A1668" t="s">
        <v>7355</v>
      </c>
      <c r="B1668">
        <f>51236.5203722871*(1/100/100)</f>
        <v>5.1236520372287107</v>
      </c>
      <c r="C1668">
        <v>18108</v>
      </c>
      <c r="D1668" t="s">
        <v>3434</v>
      </c>
      <c r="E1668">
        <v>31037</v>
      </c>
      <c r="F1668" t="s">
        <v>624</v>
      </c>
      <c r="G1668">
        <v>310</v>
      </c>
      <c r="H1668" t="s">
        <v>59</v>
      </c>
      <c r="I1668">
        <v>3</v>
      </c>
      <c r="J1668" t="s">
        <v>50</v>
      </c>
    </row>
    <row r="1669" spans="1:10" x14ac:dyDescent="0.25">
      <c r="A1669" t="s">
        <v>7355</v>
      </c>
      <c r="B1669">
        <f>33242.1011326712*(1/100/100)</f>
        <v>3.3242101132671205</v>
      </c>
      <c r="C1669">
        <v>18109</v>
      </c>
      <c r="D1669" t="s">
        <v>3421</v>
      </c>
      <c r="E1669">
        <v>31035</v>
      </c>
      <c r="F1669" t="s">
        <v>622</v>
      </c>
      <c r="G1669">
        <v>310</v>
      </c>
      <c r="H1669" t="s">
        <v>59</v>
      </c>
      <c r="I1669">
        <v>3</v>
      </c>
      <c r="J1669" t="s">
        <v>50</v>
      </c>
    </row>
    <row r="1670" spans="1:10" x14ac:dyDescent="0.25">
      <c r="A1670" t="s">
        <v>7355</v>
      </c>
      <c r="B1670">
        <f>44525.8086920011*(1/100/100)</f>
        <v>4.4525808692001103</v>
      </c>
      <c r="C1670">
        <v>18110</v>
      </c>
      <c r="D1670" t="s">
        <v>3366</v>
      </c>
      <c r="E1670">
        <v>31016</v>
      </c>
      <c r="F1670" t="s">
        <v>614</v>
      </c>
      <c r="G1670">
        <v>310</v>
      </c>
      <c r="H1670" t="s">
        <v>59</v>
      </c>
      <c r="I1670">
        <v>3</v>
      </c>
      <c r="J1670" t="s">
        <v>50</v>
      </c>
    </row>
    <row r="1671" spans="1:10" x14ac:dyDescent="0.25">
      <c r="A1671" t="s">
        <v>7355</v>
      </c>
      <c r="B1671">
        <f>37071.2500193579*(1/100/100)</f>
        <v>3.7071250019357906</v>
      </c>
      <c r="C1671">
        <v>18111</v>
      </c>
      <c r="D1671" t="s">
        <v>3367</v>
      </c>
      <c r="E1671">
        <v>31016</v>
      </c>
      <c r="F1671" t="s">
        <v>614</v>
      </c>
      <c r="G1671">
        <v>310</v>
      </c>
      <c r="H1671" t="s">
        <v>59</v>
      </c>
      <c r="I1671">
        <v>3</v>
      </c>
      <c r="J1671" t="s">
        <v>50</v>
      </c>
    </row>
    <row r="1672" spans="1:10" x14ac:dyDescent="0.25">
      <c r="A1672" t="s">
        <v>7355</v>
      </c>
      <c r="B1672">
        <f>56748.4086176183*(1/100/100)</f>
        <v>5.6748408617618296</v>
      </c>
      <c r="C1672">
        <v>18112</v>
      </c>
      <c r="D1672" t="s">
        <v>3439</v>
      </c>
      <c r="E1672">
        <v>31038</v>
      </c>
      <c r="F1672" t="s">
        <v>625</v>
      </c>
      <c r="G1672">
        <v>310</v>
      </c>
      <c r="H1672" t="s">
        <v>59</v>
      </c>
      <c r="I1672">
        <v>3</v>
      </c>
      <c r="J1672" t="s">
        <v>50</v>
      </c>
    </row>
    <row r="1673" spans="1:10" x14ac:dyDescent="0.25">
      <c r="A1673" t="s">
        <v>7355</v>
      </c>
      <c r="B1673">
        <f>85438.3554359613*(1/100/100)</f>
        <v>8.5438355435961313</v>
      </c>
      <c r="C1673">
        <v>18113</v>
      </c>
      <c r="D1673" t="s">
        <v>3368</v>
      </c>
      <c r="E1673">
        <v>31016</v>
      </c>
      <c r="F1673" t="s">
        <v>614</v>
      </c>
      <c r="G1673">
        <v>310</v>
      </c>
      <c r="H1673" t="s">
        <v>59</v>
      </c>
      <c r="I1673">
        <v>3</v>
      </c>
      <c r="J1673" t="s">
        <v>50</v>
      </c>
    </row>
    <row r="1674" spans="1:10" x14ac:dyDescent="0.25">
      <c r="A1674" t="s">
        <v>7355</v>
      </c>
      <c r="B1674">
        <f>89561.5025094068*(1/100/100)</f>
        <v>8.9561502509406807</v>
      </c>
      <c r="C1674">
        <v>18115</v>
      </c>
      <c r="D1674" t="s">
        <v>3442</v>
      </c>
      <c r="E1674">
        <v>31041</v>
      </c>
      <c r="F1674" t="s">
        <v>626</v>
      </c>
      <c r="G1674">
        <v>310</v>
      </c>
      <c r="H1674" t="s">
        <v>59</v>
      </c>
      <c r="I1674">
        <v>3</v>
      </c>
      <c r="J1674" t="s">
        <v>50</v>
      </c>
    </row>
    <row r="1675" spans="1:10" x14ac:dyDescent="0.25">
      <c r="A1675" t="s">
        <v>7355</v>
      </c>
      <c r="B1675">
        <f>98480.2557369068*(1/100/100)</f>
        <v>9.8480255736906805</v>
      </c>
      <c r="C1675">
        <v>18116</v>
      </c>
      <c r="D1675" t="s">
        <v>3435</v>
      </c>
      <c r="E1675">
        <v>31037</v>
      </c>
      <c r="F1675" t="s">
        <v>624</v>
      </c>
      <c r="G1675">
        <v>310</v>
      </c>
      <c r="H1675" t="s">
        <v>59</v>
      </c>
      <c r="I1675">
        <v>3</v>
      </c>
      <c r="J1675" t="s">
        <v>50</v>
      </c>
    </row>
    <row r="1676" spans="1:10" x14ac:dyDescent="0.25">
      <c r="A1676" t="s">
        <v>7355</v>
      </c>
      <c r="B1676">
        <f>32790.8375918707*(1/100/100)</f>
        <v>3.2790837591870705</v>
      </c>
      <c r="C1676">
        <v>18117</v>
      </c>
      <c r="D1676" t="s">
        <v>3440</v>
      </c>
      <c r="E1676">
        <v>31038</v>
      </c>
      <c r="F1676" t="s">
        <v>625</v>
      </c>
      <c r="G1676">
        <v>310</v>
      </c>
      <c r="H1676" t="s">
        <v>59</v>
      </c>
      <c r="I1676">
        <v>3</v>
      </c>
      <c r="J1676" t="s">
        <v>50</v>
      </c>
    </row>
    <row r="1677" spans="1:10" x14ac:dyDescent="0.25">
      <c r="A1677" t="s">
        <v>7355</v>
      </c>
      <c r="B1677">
        <f>38746.7121324855*(1/100/100)</f>
        <v>3.8746712132485506</v>
      </c>
      <c r="C1677">
        <v>18118</v>
      </c>
      <c r="D1677" t="s">
        <v>3465</v>
      </c>
      <c r="E1677">
        <v>31052</v>
      </c>
      <c r="F1677" t="s">
        <v>630</v>
      </c>
      <c r="G1677">
        <v>310</v>
      </c>
      <c r="H1677" t="s">
        <v>59</v>
      </c>
      <c r="I1677">
        <v>3</v>
      </c>
      <c r="J1677" t="s">
        <v>50</v>
      </c>
    </row>
    <row r="1678" spans="1:10" x14ac:dyDescent="0.25">
      <c r="A1678" t="s">
        <v>7355</v>
      </c>
      <c r="B1678">
        <f>87566.5521820211*(1/100/100)</f>
        <v>8.7566552182021109</v>
      </c>
      <c r="C1678">
        <v>18119</v>
      </c>
      <c r="D1678" t="s">
        <v>3466</v>
      </c>
      <c r="E1678">
        <v>31052</v>
      </c>
      <c r="F1678" t="s">
        <v>630</v>
      </c>
      <c r="G1678">
        <v>310</v>
      </c>
      <c r="H1678" t="s">
        <v>59</v>
      </c>
      <c r="I1678">
        <v>3</v>
      </c>
      <c r="J1678" t="s">
        <v>50</v>
      </c>
    </row>
    <row r="1679" spans="1:10" x14ac:dyDescent="0.25">
      <c r="A1679" t="s">
        <v>7355</v>
      </c>
      <c r="B1679">
        <f>62053.0985834757*(1/100/100)</f>
        <v>6.2053098583475705</v>
      </c>
      <c r="C1679">
        <v>18120</v>
      </c>
      <c r="D1679" t="s">
        <v>3369</v>
      </c>
      <c r="E1679">
        <v>31016</v>
      </c>
      <c r="F1679" t="s">
        <v>614</v>
      </c>
      <c r="G1679">
        <v>310</v>
      </c>
      <c r="H1679" t="s">
        <v>59</v>
      </c>
      <c r="I1679">
        <v>3</v>
      </c>
      <c r="J1679" t="s">
        <v>50</v>
      </c>
    </row>
    <row r="1680" spans="1:10" x14ac:dyDescent="0.25">
      <c r="A1680" t="s">
        <v>7355</v>
      </c>
      <c r="B1680">
        <f>180409.932010002*(1/100/100)</f>
        <v>18.040993201000202</v>
      </c>
      <c r="C1680">
        <v>18121</v>
      </c>
      <c r="D1680" t="s">
        <v>622</v>
      </c>
      <c r="E1680">
        <v>31035</v>
      </c>
      <c r="F1680" t="s">
        <v>622</v>
      </c>
      <c r="G1680">
        <v>310</v>
      </c>
      <c r="H1680" t="s">
        <v>59</v>
      </c>
      <c r="I1680">
        <v>3</v>
      </c>
      <c r="J1680" t="s">
        <v>50</v>
      </c>
    </row>
    <row r="1681" spans="1:10" x14ac:dyDescent="0.25">
      <c r="A1681" t="s">
        <v>7355</v>
      </c>
      <c r="B1681">
        <f>277958.69392217*(1/100/100)</f>
        <v>27.795869392217</v>
      </c>
      <c r="C1681">
        <v>18122</v>
      </c>
      <c r="D1681" t="s">
        <v>3436</v>
      </c>
      <c r="E1681">
        <v>31037</v>
      </c>
      <c r="F1681" t="s">
        <v>624</v>
      </c>
      <c r="G1681">
        <v>310</v>
      </c>
      <c r="H1681" t="s">
        <v>59</v>
      </c>
      <c r="I1681">
        <v>3</v>
      </c>
      <c r="J1681" t="s">
        <v>50</v>
      </c>
    </row>
    <row r="1682" spans="1:10" x14ac:dyDescent="0.25">
      <c r="A1682" t="s">
        <v>7355</v>
      </c>
      <c r="B1682">
        <f>88828.8137422882*(1/100/100)</f>
        <v>8.8828813742288197</v>
      </c>
      <c r="C1682">
        <v>18123</v>
      </c>
      <c r="D1682" t="s">
        <v>3437</v>
      </c>
      <c r="E1682">
        <v>31037</v>
      </c>
      <c r="F1682" t="s">
        <v>624</v>
      </c>
      <c r="G1682">
        <v>310</v>
      </c>
      <c r="H1682" t="s">
        <v>59</v>
      </c>
      <c r="I1682">
        <v>3</v>
      </c>
      <c r="J1682" t="s">
        <v>50</v>
      </c>
    </row>
    <row r="1683" spans="1:10" x14ac:dyDescent="0.25">
      <c r="A1683" t="s">
        <v>7355</v>
      </c>
      <c r="B1683">
        <f>58841.8939761416*(1/100/100)</f>
        <v>5.8841893976141604</v>
      </c>
      <c r="C1683">
        <v>18124</v>
      </c>
      <c r="D1683" t="s">
        <v>1763</v>
      </c>
      <c r="E1683">
        <v>31016</v>
      </c>
      <c r="F1683" t="s">
        <v>614</v>
      </c>
      <c r="G1683">
        <v>310</v>
      </c>
      <c r="H1683" t="s">
        <v>59</v>
      </c>
      <c r="I1683">
        <v>3</v>
      </c>
      <c r="J1683" t="s">
        <v>50</v>
      </c>
    </row>
    <row r="1684" spans="1:10" x14ac:dyDescent="0.25">
      <c r="A1684" t="s">
        <v>7355</v>
      </c>
      <c r="B1684">
        <f>38538.9515173344*(1/100/100)</f>
        <v>3.8538951517334401</v>
      </c>
      <c r="C1684">
        <v>18125</v>
      </c>
      <c r="D1684" t="s">
        <v>3422</v>
      </c>
      <c r="E1684">
        <v>31035</v>
      </c>
      <c r="F1684" t="s">
        <v>622</v>
      </c>
      <c r="G1684">
        <v>310</v>
      </c>
      <c r="H1684" t="s">
        <v>59</v>
      </c>
      <c r="I1684">
        <v>3</v>
      </c>
      <c r="J1684" t="s">
        <v>50</v>
      </c>
    </row>
    <row r="1685" spans="1:10" x14ac:dyDescent="0.25">
      <c r="A1685" t="s">
        <v>7355</v>
      </c>
      <c r="B1685">
        <f>58642.2748043318*(1/100/100)</f>
        <v>5.86422748043318</v>
      </c>
      <c r="C1685">
        <v>18126</v>
      </c>
      <c r="D1685" t="s">
        <v>626</v>
      </c>
      <c r="E1685">
        <v>31041</v>
      </c>
      <c r="F1685" t="s">
        <v>626</v>
      </c>
      <c r="G1685">
        <v>310</v>
      </c>
      <c r="H1685" t="s">
        <v>59</v>
      </c>
      <c r="I1685">
        <v>3</v>
      </c>
      <c r="J1685" t="s">
        <v>50</v>
      </c>
    </row>
    <row r="1686" spans="1:10" x14ac:dyDescent="0.25">
      <c r="A1686" t="s">
        <v>7355</v>
      </c>
      <c r="B1686">
        <f>119860.065023071*(1/100/100)</f>
        <v>11.986006502307101</v>
      </c>
      <c r="C1686">
        <v>18128</v>
      </c>
      <c r="D1686" t="s">
        <v>3438</v>
      </c>
      <c r="E1686">
        <v>31037</v>
      </c>
      <c r="F1686" t="s">
        <v>624</v>
      </c>
      <c r="G1686">
        <v>310</v>
      </c>
      <c r="H1686" t="s">
        <v>59</v>
      </c>
      <c r="I1686">
        <v>3</v>
      </c>
      <c r="J1686" t="s">
        <v>50</v>
      </c>
    </row>
    <row r="1687" spans="1:10" x14ac:dyDescent="0.25">
      <c r="A1687" t="s">
        <v>7355</v>
      </c>
      <c r="B1687">
        <f>171004.422720471*(1/100/100)</f>
        <v>17.100442272047101</v>
      </c>
      <c r="C1687">
        <v>18129</v>
      </c>
      <c r="D1687" t="s">
        <v>3441</v>
      </c>
      <c r="E1687">
        <v>31038</v>
      </c>
      <c r="F1687" t="s">
        <v>625</v>
      </c>
      <c r="G1687">
        <v>310</v>
      </c>
      <c r="H1687" t="s">
        <v>59</v>
      </c>
      <c r="I1687">
        <v>3</v>
      </c>
      <c r="J1687" t="s">
        <v>50</v>
      </c>
    </row>
    <row r="1688" spans="1:10" x14ac:dyDescent="0.25">
      <c r="A1688" t="s">
        <v>7355</v>
      </c>
      <c r="B1688">
        <f>56011.149862881*(1/100/100)</f>
        <v>5.6011149862881</v>
      </c>
      <c r="C1688">
        <v>18130</v>
      </c>
      <c r="D1688" t="s">
        <v>2947</v>
      </c>
      <c r="E1688">
        <v>31041</v>
      </c>
      <c r="F1688" t="s">
        <v>626</v>
      </c>
      <c r="G1688">
        <v>310</v>
      </c>
      <c r="H1688" t="s">
        <v>59</v>
      </c>
      <c r="I1688">
        <v>3</v>
      </c>
      <c r="J1688" t="s">
        <v>50</v>
      </c>
    </row>
    <row r="1689" spans="1:10" x14ac:dyDescent="0.25">
      <c r="A1689" t="s">
        <v>7355</v>
      </c>
      <c r="B1689">
        <f>34192.355452918*(1/100/100)</f>
        <v>3.4192355452917997</v>
      </c>
      <c r="C1689">
        <v>18131</v>
      </c>
      <c r="D1689" t="s">
        <v>3370</v>
      </c>
      <c r="E1689">
        <v>31016</v>
      </c>
      <c r="F1689" t="s">
        <v>614</v>
      </c>
      <c r="G1689">
        <v>310</v>
      </c>
      <c r="H1689" t="s">
        <v>59</v>
      </c>
      <c r="I1689">
        <v>3</v>
      </c>
      <c r="J1689" t="s">
        <v>50</v>
      </c>
    </row>
    <row r="1690" spans="1:10" x14ac:dyDescent="0.25">
      <c r="A1690" t="s">
        <v>7355</v>
      </c>
      <c r="B1690">
        <f>112319.757795515*(1/100/100)</f>
        <v>11.231975779551501</v>
      </c>
      <c r="C1690">
        <v>18132</v>
      </c>
      <c r="D1690" t="s">
        <v>3467</v>
      </c>
      <c r="E1690">
        <v>31052</v>
      </c>
      <c r="F1690" t="s">
        <v>630</v>
      </c>
      <c r="G1690">
        <v>310</v>
      </c>
      <c r="H1690" t="s">
        <v>59</v>
      </c>
      <c r="I1690">
        <v>3</v>
      </c>
      <c r="J1690" t="s">
        <v>50</v>
      </c>
    </row>
    <row r="1691" spans="1:10" x14ac:dyDescent="0.25">
      <c r="A1691" t="s">
        <v>7355</v>
      </c>
      <c r="B1691">
        <f>199814.02036773*(1/100/100)</f>
        <v>19.981402036773002</v>
      </c>
      <c r="C1691">
        <v>18133</v>
      </c>
      <c r="D1691" t="s">
        <v>630</v>
      </c>
      <c r="E1691">
        <v>31052</v>
      </c>
      <c r="F1691" t="s">
        <v>630</v>
      </c>
      <c r="G1691">
        <v>310</v>
      </c>
      <c r="H1691" t="s">
        <v>59</v>
      </c>
      <c r="I1691">
        <v>3</v>
      </c>
      <c r="J1691" t="s">
        <v>50</v>
      </c>
    </row>
    <row r="1692" spans="1:10" x14ac:dyDescent="0.25">
      <c r="A1692" t="s">
        <v>7355</v>
      </c>
      <c r="B1692">
        <f>43045.6198585761*(1/100/100)</f>
        <v>4.3045619858576103</v>
      </c>
      <c r="C1692">
        <v>18134</v>
      </c>
      <c r="D1692" t="s">
        <v>3423</v>
      </c>
      <c r="E1692">
        <v>31035</v>
      </c>
      <c r="F1692" t="s">
        <v>622</v>
      </c>
      <c r="G1692">
        <v>310</v>
      </c>
      <c r="H1692" t="s">
        <v>59</v>
      </c>
      <c r="I1692">
        <v>3</v>
      </c>
      <c r="J1692" t="s">
        <v>50</v>
      </c>
    </row>
    <row r="1693" spans="1:10" x14ac:dyDescent="0.25">
      <c r="A1693" t="s">
        <v>7355</v>
      </c>
      <c r="B1693">
        <f>12535.429437277*(1/100/100)</f>
        <v>1.2535429437277001</v>
      </c>
      <c r="C1693">
        <v>18135</v>
      </c>
      <c r="D1693" t="s">
        <v>3424</v>
      </c>
      <c r="E1693">
        <v>31035</v>
      </c>
      <c r="F1693" t="s">
        <v>622</v>
      </c>
      <c r="G1693">
        <v>310</v>
      </c>
      <c r="H1693" t="s">
        <v>59</v>
      </c>
      <c r="I1693">
        <v>3</v>
      </c>
      <c r="J1693" t="s">
        <v>50</v>
      </c>
    </row>
    <row r="1694" spans="1:10" x14ac:dyDescent="0.25">
      <c r="A1694" t="s">
        <v>7355</v>
      </c>
      <c r="B1694">
        <f>47550.529945068*(1/100/100)</f>
        <v>4.7550529945068005</v>
      </c>
      <c r="C1694">
        <v>18136</v>
      </c>
      <c r="D1694" t="s">
        <v>3425</v>
      </c>
      <c r="E1694">
        <v>31035</v>
      </c>
      <c r="F1694" t="s">
        <v>622</v>
      </c>
      <c r="G1694">
        <v>310</v>
      </c>
      <c r="H1694" t="s">
        <v>59</v>
      </c>
      <c r="I1694">
        <v>3</v>
      </c>
      <c r="J1694" t="s">
        <v>50</v>
      </c>
    </row>
    <row r="1695" spans="1:10" x14ac:dyDescent="0.25">
      <c r="A1695" t="s">
        <v>7355</v>
      </c>
      <c r="B1695">
        <f>39512.7558738683*(1/100/100)</f>
        <v>3.9512755873868302</v>
      </c>
      <c r="C1695">
        <v>19001</v>
      </c>
      <c r="D1695" t="s">
        <v>3884</v>
      </c>
      <c r="E1695">
        <v>31410</v>
      </c>
      <c r="F1695" t="s">
        <v>705</v>
      </c>
      <c r="G1695">
        <v>314</v>
      </c>
      <c r="H1695" t="s">
        <v>63</v>
      </c>
      <c r="I1695">
        <v>3</v>
      </c>
      <c r="J1695" t="s">
        <v>50</v>
      </c>
    </row>
    <row r="1696" spans="1:10" x14ac:dyDescent="0.25">
      <c r="A1696" t="s">
        <v>7355</v>
      </c>
      <c r="B1696">
        <f>11794.4781505453*(1/100/100)</f>
        <v>1.17944781505453</v>
      </c>
      <c r="C1696">
        <v>19002</v>
      </c>
      <c r="D1696" t="s">
        <v>3885</v>
      </c>
      <c r="E1696">
        <v>31410</v>
      </c>
      <c r="F1696" t="s">
        <v>705</v>
      </c>
      <c r="G1696">
        <v>314</v>
      </c>
      <c r="H1696" t="s">
        <v>63</v>
      </c>
      <c r="I1696">
        <v>3</v>
      </c>
      <c r="J1696" t="s">
        <v>50</v>
      </c>
    </row>
    <row r="1697" spans="1:10" x14ac:dyDescent="0.25">
      <c r="A1697" t="s">
        <v>7355</v>
      </c>
      <c r="B1697">
        <f>17824.3744575994*(1/100/100)</f>
        <v>1.7824374457599399</v>
      </c>
      <c r="C1697">
        <v>19003</v>
      </c>
      <c r="D1697" t="s">
        <v>3865</v>
      </c>
      <c r="E1697">
        <v>31406</v>
      </c>
      <c r="F1697" t="s">
        <v>702</v>
      </c>
      <c r="G1697">
        <v>314</v>
      </c>
      <c r="H1697" t="s">
        <v>63</v>
      </c>
      <c r="I1697">
        <v>3</v>
      </c>
      <c r="J1697" t="s">
        <v>50</v>
      </c>
    </row>
    <row r="1698" spans="1:10" x14ac:dyDescent="0.25">
      <c r="A1698" t="s">
        <v>7355</v>
      </c>
      <c r="B1698">
        <f>5923.34321666724*(1/100/100)</f>
        <v>0.59233432166672406</v>
      </c>
      <c r="C1698">
        <v>19004</v>
      </c>
      <c r="D1698" t="s">
        <v>3876</v>
      </c>
      <c r="E1698">
        <v>31409</v>
      </c>
      <c r="F1698" t="s">
        <v>704</v>
      </c>
      <c r="G1698">
        <v>314</v>
      </c>
      <c r="H1698" t="s">
        <v>63</v>
      </c>
      <c r="I1698">
        <v>3</v>
      </c>
      <c r="J1698" t="s">
        <v>50</v>
      </c>
    </row>
    <row r="1699" spans="1:10" x14ac:dyDescent="0.25">
      <c r="A1699" t="s">
        <v>7355</v>
      </c>
      <c r="B1699">
        <f>16219.6286686652*(1/100/100)</f>
        <v>1.62196286686652</v>
      </c>
      <c r="C1699">
        <v>19005</v>
      </c>
      <c r="D1699" t="s">
        <v>3877</v>
      </c>
      <c r="E1699">
        <v>31409</v>
      </c>
      <c r="F1699" t="s">
        <v>704</v>
      </c>
      <c r="G1699">
        <v>314</v>
      </c>
      <c r="H1699" t="s">
        <v>63</v>
      </c>
      <c r="I1699">
        <v>3</v>
      </c>
      <c r="J1699" t="s">
        <v>50</v>
      </c>
    </row>
    <row r="1700" spans="1:10" x14ac:dyDescent="0.25">
      <c r="A1700" t="s">
        <v>7355</v>
      </c>
      <c r="B1700">
        <f>47178.6942219722*(1/100/100)</f>
        <v>4.7178694221972197</v>
      </c>
      <c r="C1700">
        <v>19006</v>
      </c>
      <c r="D1700" t="s">
        <v>3852</v>
      </c>
      <c r="E1700">
        <v>31403</v>
      </c>
      <c r="F1700" t="s">
        <v>699</v>
      </c>
      <c r="G1700">
        <v>314</v>
      </c>
      <c r="H1700" t="s">
        <v>63</v>
      </c>
      <c r="I1700">
        <v>3</v>
      </c>
      <c r="J1700" t="s">
        <v>50</v>
      </c>
    </row>
    <row r="1701" spans="1:10" x14ac:dyDescent="0.25">
      <c r="A1701" t="s">
        <v>7355</v>
      </c>
      <c r="B1701">
        <f>26093.6204801981*(1/100/100)</f>
        <v>2.6093620480198103</v>
      </c>
      <c r="C1701">
        <v>19007</v>
      </c>
      <c r="D1701" t="s">
        <v>3894</v>
      </c>
      <c r="E1701">
        <v>31412</v>
      </c>
      <c r="F1701" t="s">
        <v>3895</v>
      </c>
      <c r="G1701">
        <v>314</v>
      </c>
      <c r="H1701" t="s">
        <v>63</v>
      </c>
      <c r="I1701">
        <v>3</v>
      </c>
      <c r="J1701" t="s">
        <v>50</v>
      </c>
    </row>
    <row r="1702" spans="1:10" x14ac:dyDescent="0.25">
      <c r="A1702" t="s">
        <v>7355</v>
      </c>
      <c r="B1702">
        <f>66922.9772974657*(1/100/100)</f>
        <v>6.6922977297465698</v>
      </c>
      <c r="C1702">
        <v>19008</v>
      </c>
      <c r="D1702" t="s">
        <v>3853</v>
      </c>
      <c r="E1702">
        <v>31403</v>
      </c>
      <c r="F1702" t="s">
        <v>699</v>
      </c>
      <c r="G1702">
        <v>314</v>
      </c>
      <c r="H1702" t="s">
        <v>63</v>
      </c>
      <c r="I1702">
        <v>3</v>
      </c>
      <c r="J1702" t="s">
        <v>50</v>
      </c>
    </row>
    <row r="1703" spans="1:10" x14ac:dyDescent="0.25">
      <c r="A1703" t="s">
        <v>7355</v>
      </c>
      <c r="B1703">
        <f>160931.812167536*(1/100/100)</f>
        <v>16.093181216753599</v>
      </c>
      <c r="C1703">
        <v>19009</v>
      </c>
      <c r="D1703" t="s">
        <v>699</v>
      </c>
      <c r="E1703">
        <v>31403</v>
      </c>
      <c r="F1703" t="s">
        <v>699</v>
      </c>
      <c r="G1703">
        <v>314</v>
      </c>
      <c r="H1703" t="s">
        <v>63</v>
      </c>
      <c r="I1703">
        <v>3</v>
      </c>
      <c r="J1703" t="s">
        <v>50</v>
      </c>
    </row>
    <row r="1704" spans="1:10" x14ac:dyDescent="0.25">
      <c r="A1704" t="s">
        <v>7355</v>
      </c>
      <c r="B1704">
        <f>27042.3555146487*(1/100/100)</f>
        <v>2.7042355514648704</v>
      </c>
      <c r="C1704">
        <v>19010</v>
      </c>
      <c r="D1704" t="s">
        <v>3866</v>
      </c>
      <c r="E1704">
        <v>31406</v>
      </c>
      <c r="F1704" t="s">
        <v>702</v>
      </c>
      <c r="G1704">
        <v>314</v>
      </c>
      <c r="H1704" t="s">
        <v>63</v>
      </c>
      <c r="I1704">
        <v>3</v>
      </c>
      <c r="J1704" t="s">
        <v>50</v>
      </c>
    </row>
    <row r="1705" spans="1:10" x14ac:dyDescent="0.25">
      <c r="A1705" t="s">
        <v>7355</v>
      </c>
      <c r="B1705">
        <f>9570.13610189541*(1/100/100)</f>
        <v>0.95701361018954112</v>
      </c>
      <c r="C1705">
        <v>19011</v>
      </c>
      <c r="D1705" t="s">
        <v>3878</v>
      </c>
      <c r="E1705">
        <v>31409</v>
      </c>
      <c r="F1705" t="s">
        <v>704</v>
      </c>
      <c r="G1705">
        <v>314</v>
      </c>
      <c r="H1705" t="s">
        <v>63</v>
      </c>
      <c r="I1705">
        <v>3</v>
      </c>
      <c r="J1705" t="s">
        <v>50</v>
      </c>
    </row>
    <row r="1706" spans="1:10" x14ac:dyDescent="0.25">
      <c r="A1706" t="s">
        <v>7355</v>
      </c>
      <c r="B1706">
        <f>2420.81174136731*(1/100/100)</f>
        <v>0.242081174136731</v>
      </c>
      <c r="C1706">
        <v>19012</v>
      </c>
      <c r="D1706" t="s">
        <v>223</v>
      </c>
      <c r="E1706">
        <v>31403</v>
      </c>
      <c r="F1706" t="s">
        <v>699</v>
      </c>
      <c r="G1706">
        <v>314</v>
      </c>
      <c r="H1706" t="s">
        <v>63</v>
      </c>
      <c r="I1706">
        <v>3</v>
      </c>
      <c r="J1706" t="s">
        <v>50</v>
      </c>
    </row>
    <row r="1707" spans="1:10" x14ac:dyDescent="0.25">
      <c r="A1707" t="s">
        <v>7355</v>
      </c>
      <c r="B1707">
        <f>10216.0901412965*(1/100/100)</f>
        <v>1.0216090141296501</v>
      </c>
      <c r="C1707">
        <v>19013</v>
      </c>
      <c r="D1707" t="s">
        <v>3860</v>
      </c>
      <c r="E1707">
        <v>31405</v>
      </c>
      <c r="F1707" t="s">
        <v>701</v>
      </c>
      <c r="G1707">
        <v>314</v>
      </c>
      <c r="H1707" t="s">
        <v>63</v>
      </c>
      <c r="I1707">
        <v>3</v>
      </c>
      <c r="J1707" t="s">
        <v>50</v>
      </c>
    </row>
    <row r="1708" spans="1:10" x14ac:dyDescent="0.25">
      <c r="A1708" t="s">
        <v>7355</v>
      </c>
      <c r="B1708">
        <f>2650.3834547501*(1/100/100)</f>
        <v>0.26503834547501004</v>
      </c>
      <c r="C1708">
        <v>19014</v>
      </c>
      <c r="D1708" t="s">
        <v>3879</v>
      </c>
      <c r="E1708">
        <v>31409</v>
      </c>
      <c r="F1708" t="s">
        <v>704</v>
      </c>
      <c r="G1708">
        <v>314</v>
      </c>
      <c r="H1708" t="s">
        <v>63</v>
      </c>
      <c r="I1708">
        <v>3</v>
      </c>
      <c r="J1708" t="s">
        <v>50</v>
      </c>
    </row>
    <row r="1709" spans="1:10" x14ac:dyDescent="0.25">
      <c r="A1709" t="s">
        <v>7355</v>
      </c>
      <c r="B1709">
        <f>16240.5081906514*(1/100/100)</f>
        <v>1.6240508190651401</v>
      </c>
      <c r="C1709">
        <v>19015</v>
      </c>
      <c r="D1709" t="s">
        <v>3854</v>
      </c>
      <c r="E1709">
        <v>31403</v>
      </c>
      <c r="F1709" t="s">
        <v>699</v>
      </c>
      <c r="G1709">
        <v>314</v>
      </c>
      <c r="H1709" t="s">
        <v>63</v>
      </c>
      <c r="I1709">
        <v>3</v>
      </c>
      <c r="J1709" t="s">
        <v>50</v>
      </c>
    </row>
    <row r="1710" spans="1:10" x14ac:dyDescent="0.25">
      <c r="A1710" t="s">
        <v>7355</v>
      </c>
      <c r="B1710">
        <f>72203.1623928994*(1/100/100)</f>
        <v>7.2203162392899394</v>
      </c>
      <c r="C1710">
        <v>19016</v>
      </c>
      <c r="D1710" t="s">
        <v>701</v>
      </c>
      <c r="E1710">
        <v>31405</v>
      </c>
      <c r="F1710" t="s">
        <v>701</v>
      </c>
      <c r="G1710">
        <v>314</v>
      </c>
      <c r="H1710" t="s">
        <v>63</v>
      </c>
      <c r="I1710">
        <v>3</v>
      </c>
      <c r="J1710" t="s">
        <v>50</v>
      </c>
    </row>
    <row r="1711" spans="1:10" x14ac:dyDescent="0.25">
      <c r="A1711" t="s">
        <v>7355</v>
      </c>
      <c r="B1711">
        <f>44990.4026900091*(1/100/100)</f>
        <v>4.4990402690009104</v>
      </c>
      <c r="C1711">
        <v>19017</v>
      </c>
      <c r="D1711" t="s">
        <v>3896</v>
      </c>
      <c r="E1711">
        <v>31412</v>
      </c>
      <c r="F1711" t="s">
        <v>3895</v>
      </c>
      <c r="G1711">
        <v>314</v>
      </c>
      <c r="H1711" t="s">
        <v>63</v>
      </c>
      <c r="I1711">
        <v>3</v>
      </c>
      <c r="J1711" t="s">
        <v>50</v>
      </c>
    </row>
    <row r="1712" spans="1:10" x14ac:dyDescent="0.25">
      <c r="A1712" t="s">
        <v>7355</v>
      </c>
      <c r="B1712">
        <f>1025.86141547871*(1/100/100)</f>
        <v>0.10258614154787099</v>
      </c>
      <c r="C1712">
        <v>19018</v>
      </c>
      <c r="D1712" t="s">
        <v>3880</v>
      </c>
      <c r="E1712">
        <v>31409</v>
      </c>
      <c r="F1712" t="s">
        <v>704</v>
      </c>
      <c r="G1712">
        <v>314</v>
      </c>
      <c r="H1712" t="s">
        <v>63</v>
      </c>
      <c r="I1712">
        <v>3</v>
      </c>
      <c r="J1712" t="s">
        <v>50</v>
      </c>
    </row>
    <row r="1713" spans="1:10" x14ac:dyDescent="0.25">
      <c r="A1713" t="s">
        <v>7355</v>
      </c>
      <c r="B1713">
        <f>36910.2123114574*(1/100/100)</f>
        <v>3.69102123114574</v>
      </c>
      <c r="C1713">
        <v>19019</v>
      </c>
      <c r="D1713" t="s">
        <v>3855</v>
      </c>
      <c r="E1713">
        <v>31403</v>
      </c>
      <c r="F1713" t="s">
        <v>699</v>
      </c>
      <c r="G1713">
        <v>314</v>
      </c>
      <c r="H1713" t="s">
        <v>63</v>
      </c>
      <c r="I1713">
        <v>3</v>
      </c>
      <c r="J1713" t="s">
        <v>50</v>
      </c>
    </row>
    <row r="1714" spans="1:10" x14ac:dyDescent="0.25">
      <c r="A1714" t="s">
        <v>7355</v>
      </c>
      <c r="B1714">
        <f>20292.775488013*(1/100/100)</f>
        <v>2.0292775488013004</v>
      </c>
      <c r="C1714">
        <v>19020</v>
      </c>
      <c r="D1714" t="s">
        <v>3897</v>
      </c>
      <c r="E1714">
        <v>31412</v>
      </c>
      <c r="F1714" t="s">
        <v>3895</v>
      </c>
      <c r="G1714">
        <v>314</v>
      </c>
      <c r="H1714" t="s">
        <v>63</v>
      </c>
      <c r="I1714">
        <v>3</v>
      </c>
      <c r="J1714" t="s">
        <v>50</v>
      </c>
    </row>
    <row r="1715" spans="1:10" x14ac:dyDescent="0.25">
      <c r="A1715" t="s">
        <v>7355</v>
      </c>
      <c r="B1715">
        <f>32201.3560550412*(1/100/100)</f>
        <v>3.2201356055041201</v>
      </c>
      <c r="C1715">
        <v>19021</v>
      </c>
      <c r="D1715" t="s">
        <v>3861</v>
      </c>
      <c r="E1715">
        <v>31405</v>
      </c>
      <c r="F1715" t="s">
        <v>701</v>
      </c>
      <c r="G1715">
        <v>314</v>
      </c>
      <c r="H1715" t="s">
        <v>63</v>
      </c>
      <c r="I1715">
        <v>3</v>
      </c>
      <c r="J1715" t="s">
        <v>50</v>
      </c>
    </row>
    <row r="1716" spans="1:10" x14ac:dyDescent="0.25">
      <c r="A1716" t="s">
        <v>7355</v>
      </c>
      <c r="B1716">
        <f>23135.2960836761*(1/100/100)</f>
        <v>2.3135296083676105</v>
      </c>
      <c r="C1716">
        <v>19022</v>
      </c>
      <c r="D1716" t="s">
        <v>3856</v>
      </c>
      <c r="E1716">
        <v>31403</v>
      </c>
      <c r="F1716" t="s">
        <v>699</v>
      </c>
      <c r="G1716">
        <v>314</v>
      </c>
      <c r="H1716" t="s">
        <v>63</v>
      </c>
      <c r="I1716">
        <v>3</v>
      </c>
      <c r="J1716" t="s">
        <v>50</v>
      </c>
    </row>
    <row r="1717" spans="1:10" x14ac:dyDescent="0.25">
      <c r="A1717" t="s">
        <v>7355</v>
      </c>
      <c r="B1717">
        <f>11814.6449056707*(1/100/100)</f>
        <v>1.1814644905670701</v>
      </c>
      <c r="C1717">
        <v>19023</v>
      </c>
      <c r="D1717" t="s">
        <v>3898</v>
      </c>
      <c r="E1717">
        <v>31412</v>
      </c>
      <c r="F1717" t="s">
        <v>3895</v>
      </c>
      <c r="G1717">
        <v>314</v>
      </c>
      <c r="H1717" t="s">
        <v>63</v>
      </c>
      <c r="I1717">
        <v>3</v>
      </c>
      <c r="J1717" t="s">
        <v>50</v>
      </c>
    </row>
    <row r="1718" spans="1:10" x14ac:dyDescent="0.25">
      <c r="A1718" t="s">
        <v>7355</v>
      </c>
      <c r="B1718">
        <f>12243.5005750225*(1/100/100)</f>
        <v>1.2243500575022499</v>
      </c>
      <c r="C1718">
        <v>19024</v>
      </c>
      <c r="D1718" t="s">
        <v>3899</v>
      </c>
      <c r="E1718">
        <v>31412</v>
      </c>
      <c r="F1718" t="s">
        <v>3895</v>
      </c>
      <c r="G1718">
        <v>314</v>
      </c>
      <c r="H1718" t="s">
        <v>63</v>
      </c>
      <c r="I1718">
        <v>3</v>
      </c>
      <c r="J1718" t="s">
        <v>50</v>
      </c>
    </row>
    <row r="1719" spans="1:10" x14ac:dyDescent="0.25">
      <c r="A1719" t="s">
        <v>7355</v>
      </c>
      <c r="B1719">
        <f>16976.6408154817*(1/100/100)</f>
        <v>1.6976640815481701</v>
      </c>
      <c r="C1719">
        <v>19025</v>
      </c>
      <c r="D1719" t="s">
        <v>3886</v>
      </c>
      <c r="E1719">
        <v>31410</v>
      </c>
      <c r="F1719" t="s">
        <v>705</v>
      </c>
      <c r="G1719">
        <v>314</v>
      </c>
      <c r="H1719" t="s">
        <v>63</v>
      </c>
      <c r="I1719">
        <v>3</v>
      </c>
      <c r="J1719" t="s">
        <v>50</v>
      </c>
    </row>
    <row r="1720" spans="1:10" x14ac:dyDescent="0.25">
      <c r="A1720" t="s">
        <v>7355</v>
      </c>
      <c r="B1720">
        <f>63910.2553831492*(1/100/100)</f>
        <v>6.3910255383149197</v>
      </c>
      <c r="C1720">
        <v>19026</v>
      </c>
      <c r="D1720" t="s">
        <v>3900</v>
      </c>
      <c r="E1720">
        <v>31412</v>
      </c>
      <c r="F1720" t="s">
        <v>3895</v>
      </c>
      <c r="G1720">
        <v>314</v>
      </c>
      <c r="H1720" t="s">
        <v>63</v>
      </c>
      <c r="I1720">
        <v>3</v>
      </c>
      <c r="J1720" t="s">
        <v>50</v>
      </c>
    </row>
    <row r="1721" spans="1:10" x14ac:dyDescent="0.25">
      <c r="A1721" t="s">
        <v>7355</v>
      </c>
      <c r="B1721">
        <f>49529.0371336165*(1/100/100)</f>
        <v>4.9529037133616498</v>
      </c>
      <c r="C1721">
        <v>19027</v>
      </c>
      <c r="D1721" t="s">
        <v>704</v>
      </c>
      <c r="E1721">
        <v>31409</v>
      </c>
      <c r="F1721" t="s">
        <v>704</v>
      </c>
      <c r="G1721">
        <v>314</v>
      </c>
      <c r="H1721" t="s">
        <v>63</v>
      </c>
      <c r="I1721">
        <v>3</v>
      </c>
      <c r="J1721" t="s">
        <v>50</v>
      </c>
    </row>
    <row r="1722" spans="1:10" x14ac:dyDescent="0.25">
      <c r="A1722" t="s">
        <v>7355</v>
      </c>
      <c r="B1722">
        <f>8167.88291856445*(1/100/100)</f>
        <v>0.81678829185644508</v>
      </c>
      <c r="C1722">
        <v>19028</v>
      </c>
      <c r="D1722" t="s">
        <v>3881</v>
      </c>
      <c r="E1722">
        <v>31409</v>
      </c>
      <c r="F1722" t="s">
        <v>704</v>
      </c>
      <c r="G1722">
        <v>314</v>
      </c>
      <c r="H1722" t="s">
        <v>63</v>
      </c>
      <c r="I1722">
        <v>3</v>
      </c>
      <c r="J1722" t="s">
        <v>50</v>
      </c>
    </row>
    <row r="1723" spans="1:10" x14ac:dyDescent="0.25">
      <c r="A1723" t="s">
        <v>7355</v>
      </c>
      <c r="B1723">
        <f>31934.0175934522*(1/100/100)</f>
        <v>3.1934017593452202</v>
      </c>
      <c r="C1723">
        <v>19029</v>
      </c>
      <c r="D1723" t="s">
        <v>3882</v>
      </c>
      <c r="E1723">
        <v>31409</v>
      </c>
      <c r="F1723" t="s">
        <v>704</v>
      </c>
      <c r="G1723">
        <v>314</v>
      </c>
      <c r="H1723" t="s">
        <v>63</v>
      </c>
      <c r="I1723">
        <v>3</v>
      </c>
      <c r="J1723" t="s">
        <v>50</v>
      </c>
    </row>
    <row r="1724" spans="1:10" x14ac:dyDescent="0.25">
      <c r="A1724" t="s">
        <v>7355</v>
      </c>
      <c r="B1724">
        <f>43902.9956270193*(1/100/100)</f>
        <v>4.3902995627019301</v>
      </c>
      <c r="C1724">
        <v>19030</v>
      </c>
      <c r="D1724" t="s">
        <v>3647</v>
      </c>
      <c r="E1724">
        <v>31410</v>
      </c>
      <c r="F1724" t="s">
        <v>705</v>
      </c>
      <c r="G1724">
        <v>314</v>
      </c>
      <c r="H1724" t="s">
        <v>63</v>
      </c>
      <c r="I1724">
        <v>3</v>
      </c>
      <c r="J1724" t="s">
        <v>50</v>
      </c>
    </row>
    <row r="1725" spans="1:10" x14ac:dyDescent="0.25">
      <c r="A1725" t="s">
        <v>7355</v>
      </c>
      <c r="B1725">
        <f>66696.0641922329*(1/100/100)</f>
        <v>6.6696064192232898</v>
      </c>
      <c r="C1725">
        <v>19031</v>
      </c>
      <c r="D1725" t="s">
        <v>3648</v>
      </c>
      <c r="E1725">
        <v>31410</v>
      </c>
      <c r="F1725" t="s">
        <v>705</v>
      </c>
      <c r="G1725">
        <v>314</v>
      </c>
      <c r="H1725" t="s">
        <v>63</v>
      </c>
      <c r="I1725">
        <v>3</v>
      </c>
      <c r="J1725" t="s">
        <v>50</v>
      </c>
    </row>
    <row r="1726" spans="1:10" x14ac:dyDescent="0.25">
      <c r="A1726" t="s">
        <v>7355</v>
      </c>
      <c r="B1726">
        <f>58636.0247791653*(1/100/100)</f>
        <v>5.8636024779165306</v>
      </c>
      <c r="C1726">
        <v>19032</v>
      </c>
      <c r="D1726" t="s">
        <v>3857</v>
      </c>
      <c r="E1726">
        <v>31403</v>
      </c>
      <c r="F1726" t="s">
        <v>699</v>
      </c>
      <c r="G1726">
        <v>314</v>
      </c>
      <c r="H1726" t="s">
        <v>63</v>
      </c>
      <c r="I1726">
        <v>3</v>
      </c>
      <c r="J1726" t="s">
        <v>50</v>
      </c>
    </row>
    <row r="1727" spans="1:10" x14ac:dyDescent="0.25">
      <c r="A1727" t="s">
        <v>7355</v>
      </c>
      <c r="B1727">
        <f>14143.4279605813*(1/100/100)</f>
        <v>1.4143427960581301</v>
      </c>
      <c r="C1727">
        <v>19033</v>
      </c>
      <c r="D1727" t="s">
        <v>3883</v>
      </c>
      <c r="E1727">
        <v>31409</v>
      </c>
      <c r="F1727" t="s">
        <v>704</v>
      </c>
      <c r="G1727">
        <v>314</v>
      </c>
      <c r="H1727" t="s">
        <v>63</v>
      </c>
      <c r="I1727">
        <v>3</v>
      </c>
      <c r="J1727" t="s">
        <v>50</v>
      </c>
    </row>
    <row r="1728" spans="1:10" x14ac:dyDescent="0.25">
      <c r="A1728" t="s">
        <v>7355</v>
      </c>
      <c r="B1728">
        <f>76692.3941288552*(1/100/100)</f>
        <v>7.6692394128855206</v>
      </c>
      <c r="C1728">
        <v>19034</v>
      </c>
      <c r="D1728" t="s">
        <v>954</v>
      </c>
      <c r="E1728">
        <v>31412</v>
      </c>
      <c r="F1728" t="s">
        <v>3895</v>
      </c>
      <c r="G1728">
        <v>314</v>
      </c>
      <c r="H1728" t="s">
        <v>63</v>
      </c>
      <c r="I1728">
        <v>3</v>
      </c>
      <c r="J1728" t="s">
        <v>50</v>
      </c>
    </row>
    <row r="1729" spans="1:10" x14ac:dyDescent="0.25">
      <c r="A1729" t="s">
        <v>7355</v>
      </c>
      <c r="B1729">
        <f>10933.9407991066*(1/100/100)</f>
        <v>1.0933940799106601</v>
      </c>
      <c r="C1729">
        <v>19035</v>
      </c>
      <c r="D1729" t="s">
        <v>3862</v>
      </c>
      <c r="E1729">
        <v>31405</v>
      </c>
      <c r="F1729" t="s">
        <v>701</v>
      </c>
      <c r="G1729">
        <v>314</v>
      </c>
      <c r="H1729" t="s">
        <v>63</v>
      </c>
      <c r="I1729">
        <v>3</v>
      </c>
      <c r="J1729" t="s">
        <v>50</v>
      </c>
    </row>
    <row r="1730" spans="1:10" x14ac:dyDescent="0.25">
      <c r="A1730" t="s">
        <v>7355</v>
      </c>
      <c r="B1730">
        <f>42638.4239603716*(1/100/100)</f>
        <v>4.2638423960371599</v>
      </c>
      <c r="C1730">
        <v>19036</v>
      </c>
      <c r="D1730" t="s">
        <v>3901</v>
      </c>
      <c r="E1730">
        <v>31412</v>
      </c>
      <c r="F1730" t="s">
        <v>3895</v>
      </c>
      <c r="G1730">
        <v>314</v>
      </c>
      <c r="H1730" t="s">
        <v>63</v>
      </c>
      <c r="I1730">
        <v>3</v>
      </c>
      <c r="J1730" t="s">
        <v>50</v>
      </c>
    </row>
    <row r="1731" spans="1:10" x14ac:dyDescent="0.25">
      <c r="A1731" t="s">
        <v>7355</v>
      </c>
      <c r="B1731">
        <f>8881.59975825322*(1/100/100)</f>
        <v>0.88815997582532202</v>
      </c>
      <c r="C1731">
        <v>19037</v>
      </c>
      <c r="D1731" t="s">
        <v>3902</v>
      </c>
      <c r="E1731">
        <v>31412</v>
      </c>
      <c r="F1731" t="s">
        <v>3895</v>
      </c>
      <c r="G1731">
        <v>314</v>
      </c>
      <c r="H1731" t="s">
        <v>63</v>
      </c>
      <c r="I1731">
        <v>3</v>
      </c>
      <c r="J1731" t="s">
        <v>50</v>
      </c>
    </row>
    <row r="1732" spans="1:10" x14ac:dyDescent="0.25">
      <c r="A1732" t="s">
        <v>7355</v>
      </c>
      <c r="B1732">
        <f>26221.4611982068*(1/100/100)</f>
        <v>2.6221461198206804</v>
      </c>
      <c r="C1732">
        <v>19038</v>
      </c>
      <c r="D1732" t="s">
        <v>3863</v>
      </c>
      <c r="E1732">
        <v>31405</v>
      </c>
      <c r="F1732" t="s">
        <v>701</v>
      </c>
      <c r="G1732">
        <v>314</v>
      </c>
      <c r="H1732" t="s">
        <v>63</v>
      </c>
      <c r="I1732">
        <v>3</v>
      </c>
      <c r="J1732" t="s">
        <v>50</v>
      </c>
    </row>
    <row r="1733" spans="1:10" x14ac:dyDescent="0.25">
      <c r="A1733" t="s">
        <v>7355</v>
      </c>
      <c r="B1733">
        <f>17903.643480738*(1/100/100)</f>
        <v>1.7903643480738001</v>
      </c>
      <c r="C1733">
        <v>19039</v>
      </c>
      <c r="D1733" t="s">
        <v>3864</v>
      </c>
      <c r="E1733">
        <v>31405</v>
      </c>
      <c r="F1733" t="s">
        <v>701</v>
      </c>
      <c r="G1733">
        <v>314</v>
      </c>
      <c r="H1733" t="s">
        <v>63</v>
      </c>
      <c r="I1733">
        <v>3</v>
      </c>
      <c r="J1733" t="s">
        <v>50</v>
      </c>
    </row>
    <row r="1734" spans="1:10" x14ac:dyDescent="0.25">
      <c r="A1734" t="s">
        <v>7355</v>
      </c>
      <c r="B1734">
        <f>64020.4035277862*(1/100/100)</f>
        <v>6.40204035277862</v>
      </c>
      <c r="C1734">
        <v>19040</v>
      </c>
      <c r="D1734" t="s">
        <v>3895</v>
      </c>
      <c r="E1734">
        <v>31412</v>
      </c>
      <c r="F1734" t="s">
        <v>3895</v>
      </c>
      <c r="G1734">
        <v>314</v>
      </c>
      <c r="H1734" t="s">
        <v>63</v>
      </c>
      <c r="I1734">
        <v>3</v>
      </c>
      <c r="J1734" t="s">
        <v>50</v>
      </c>
    </row>
    <row r="1735" spans="1:10" x14ac:dyDescent="0.25">
      <c r="A1735" t="s">
        <v>7355</v>
      </c>
      <c r="B1735">
        <f>17608.0392994445*(1/100/100)</f>
        <v>1.76080392994445</v>
      </c>
      <c r="C1735">
        <v>19041</v>
      </c>
      <c r="D1735" t="s">
        <v>3858</v>
      </c>
      <c r="E1735">
        <v>31403</v>
      </c>
      <c r="F1735" t="s">
        <v>699</v>
      </c>
      <c r="G1735">
        <v>314</v>
      </c>
      <c r="H1735" t="s">
        <v>63</v>
      </c>
      <c r="I1735">
        <v>3</v>
      </c>
      <c r="J1735" t="s">
        <v>50</v>
      </c>
    </row>
    <row r="1736" spans="1:10" x14ac:dyDescent="0.25">
      <c r="A1736" t="s">
        <v>7355</v>
      </c>
      <c r="B1736">
        <f>43633.9870568688*(1/100/100)</f>
        <v>4.3633987056868797</v>
      </c>
      <c r="C1736">
        <v>19042</v>
      </c>
      <c r="D1736" t="s">
        <v>3903</v>
      </c>
      <c r="E1736">
        <v>31412</v>
      </c>
      <c r="F1736" t="s">
        <v>3895</v>
      </c>
      <c r="G1736">
        <v>314</v>
      </c>
      <c r="H1736" t="s">
        <v>63</v>
      </c>
      <c r="I1736">
        <v>3</v>
      </c>
      <c r="J1736" t="s">
        <v>50</v>
      </c>
    </row>
    <row r="1737" spans="1:10" x14ac:dyDescent="0.25">
      <c r="A1737" t="s">
        <v>7355</v>
      </c>
      <c r="B1737">
        <f>9582.29255375984*(1/100/100)</f>
        <v>0.95822925537598402</v>
      </c>
      <c r="C1737">
        <v>19043</v>
      </c>
      <c r="D1737" t="s">
        <v>3904</v>
      </c>
      <c r="E1737">
        <v>31412</v>
      </c>
      <c r="F1737" t="s">
        <v>3895</v>
      </c>
      <c r="G1737">
        <v>314</v>
      </c>
      <c r="H1737" t="s">
        <v>63</v>
      </c>
      <c r="I1737">
        <v>3</v>
      </c>
      <c r="J1737" t="s">
        <v>50</v>
      </c>
    </row>
    <row r="1738" spans="1:10" x14ac:dyDescent="0.25">
      <c r="A1738" t="s">
        <v>7355</v>
      </c>
      <c r="B1738">
        <f>43381.1920317633*(1/100/100)</f>
        <v>4.3381192031763298</v>
      </c>
      <c r="C1738">
        <v>19044</v>
      </c>
      <c r="D1738" t="s">
        <v>3905</v>
      </c>
      <c r="E1738">
        <v>31412</v>
      </c>
      <c r="F1738" t="s">
        <v>3895</v>
      </c>
      <c r="G1738">
        <v>314</v>
      </c>
      <c r="H1738" t="s">
        <v>63</v>
      </c>
      <c r="I1738">
        <v>3</v>
      </c>
      <c r="J1738" t="s">
        <v>50</v>
      </c>
    </row>
    <row r="1739" spans="1:10" x14ac:dyDescent="0.25">
      <c r="A1739" t="s">
        <v>7355</v>
      </c>
      <c r="B1739">
        <f>14608.9387888844*(1/100/100)</f>
        <v>1.46089387888844</v>
      </c>
      <c r="C1739">
        <v>19045</v>
      </c>
      <c r="D1739" t="s">
        <v>3906</v>
      </c>
      <c r="E1739">
        <v>31412</v>
      </c>
      <c r="F1739" t="s">
        <v>3895</v>
      </c>
      <c r="G1739">
        <v>314</v>
      </c>
      <c r="H1739" t="s">
        <v>63</v>
      </c>
      <c r="I1739">
        <v>3</v>
      </c>
      <c r="J1739" t="s">
        <v>50</v>
      </c>
    </row>
    <row r="1740" spans="1:10" x14ac:dyDescent="0.25">
      <c r="A1740" t="s">
        <v>7355</v>
      </c>
      <c r="B1740">
        <f>105354.539013909*(1/100/100)</f>
        <v>10.5354539013909</v>
      </c>
      <c r="C1740">
        <v>19046</v>
      </c>
      <c r="D1740" t="s">
        <v>702</v>
      </c>
      <c r="E1740">
        <v>31406</v>
      </c>
      <c r="F1740" t="s">
        <v>702</v>
      </c>
      <c r="G1740">
        <v>314</v>
      </c>
      <c r="H1740" t="s">
        <v>63</v>
      </c>
      <c r="I1740">
        <v>3</v>
      </c>
      <c r="J1740" t="s">
        <v>50</v>
      </c>
    </row>
    <row r="1741" spans="1:10" x14ac:dyDescent="0.25">
      <c r="A1741" t="s">
        <v>7355</v>
      </c>
      <c r="B1741">
        <f>41764.6675702983*(1/100/100)</f>
        <v>4.1764667570298304</v>
      </c>
      <c r="C1741">
        <v>19101</v>
      </c>
      <c r="D1741" t="s">
        <v>895</v>
      </c>
      <c r="E1741">
        <v>31940</v>
      </c>
      <c r="F1741" t="s">
        <v>867</v>
      </c>
      <c r="G1741">
        <v>319</v>
      </c>
      <c r="H1741" t="s">
        <v>68</v>
      </c>
      <c r="I1741">
        <v>3</v>
      </c>
      <c r="J1741" t="s">
        <v>50</v>
      </c>
    </row>
    <row r="1742" spans="1:10" x14ac:dyDescent="0.25">
      <c r="A1742" t="s">
        <v>7355</v>
      </c>
      <c r="B1742">
        <f>22030.0215498564*(1/100/100)</f>
        <v>2.20300215498564</v>
      </c>
      <c r="C1742">
        <v>19102</v>
      </c>
      <c r="D1742" t="s">
        <v>4384</v>
      </c>
      <c r="E1742">
        <v>31912</v>
      </c>
      <c r="F1742" t="s">
        <v>846</v>
      </c>
      <c r="G1742">
        <v>319</v>
      </c>
      <c r="H1742" t="s">
        <v>68</v>
      </c>
      <c r="I1742">
        <v>3</v>
      </c>
      <c r="J1742" t="s">
        <v>50</v>
      </c>
    </row>
    <row r="1743" spans="1:10" x14ac:dyDescent="0.25">
      <c r="A1743" t="s">
        <v>7355</v>
      </c>
      <c r="B1743">
        <f>31163.5750010735*(1/100/100)</f>
        <v>3.11635750010735</v>
      </c>
      <c r="C1743">
        <v>19103</v>
      </c>
      <c r="D1743" t="s">
        <v>4565</v>
      </c>
      <c r="E1743">
        <v>31948</v>
      </c>
      <c r="F1743" t="s">
        <v>873</v>
      </c>
      <c r="G1743">
        <v>319</v>
      </c>
      <c r="H1743" t="s">
        <v>68</v>
      </c>
      <c r="I1743">
        <v>3</v>
      </c>
      <c r="J1743" t="s">
        <v>50</v>
      </c>
    </row>
    <row r="1744" spans="1:10" x14ac:dyDescent="0.25">
      <c r="A1744" t="s">
        <v>7355</v>
      </c>
      <c r="B1744">
        <f>75655.845534281*(1/100/100)</f>
        <v>7.565584553428101</v>
      </c>
      <c r="C1744">
        <v>19104</v>
      </c>
      <c r="D1744" t="s">
        <v>4385</v>
      </c>
      <c r="E1744">
        <v>31912</v>
      </c>
      <c r="F1744" t="s">
        <v>846</v>
      </c>
      <c r="G1744">
        <v>319</v>
      </c>
      <c r="H1744" t="s">
        <v>68</v>
      </c>
      <c r="I1744">
        <v>3</v>
      </c>
      <c r="J1744" t="s">
        <v>50</v>
      </c>
    </row>
    <row r="1745" spans="1:10" x14ac:dyDescent="0.25">
      <c r="A1745" t="s">
        <v>7355</v>
      </c>
      <c r="B1745">
        <f>16117.0648794108*(1/100/100)</f>
        <v>1.6117064879410801</v>
      </c>
      <c r="C1745">
        <v>19105</v>
      </c>
      <c r="D1745" t="s">
        <v>2918</v>
      </c>
      <c r="E1745">
        <v>31912</v>
      </c>
      <c r="F1745" t="s">
        <v>846</v>
      </c>
      <c r="G1745">
        <v>319</v>
      </c>
      <c r="H1745" t="s">
        <v>68</v>
      </c>
      <c r="I1745">
        <v>3</v>
      </c>
      <c r="J1745" t="s">
        <v>50</v>
      </c>
    </row>
    <row r="1746" spans="1:10" x14ac:dyDescent="0.25">
      <c r="A1746" t="s">
        <v>7355</v>
      </c>
      <c r="B1746">
        <f>10388.6701832721*(1/100/100)</f>
        <v>1.03886701832721</v>
      </c>
      <c r="C1746">
        <v>19106</v>
      </c>
      <c r="D1746" t="s">
        <v>4395</v>
      </c>
      <c r="E1746">
        <v>31913</v>
      </c>
      <c r="F1746" t="s">
        <v>847</v>
      </c>
      <c r="G1746">
        <v>319</v>
      </c>
      <c r="H1746" t="s">
        <v>68</v>
      </c>
      <c r="I1746">
        <v>3</v>
      </c>
      <c r="J1746" t="s">
        <v>50</v>
      </c>
    </row>
    <row r="1747" spans="1:10" x14ac:dyDescent="0.25">
      <c r="A1747" t="s">
        <v>7355</v>
      </c>
      <c r="B1747">
        <f>33010.3700542141*(1/100/100)</f>
        <v>3.3010370054214104</v>
      </c>
      <c r="C1747">
        <v>19107</v>
      </c>
      <c r="D1747" t="s">
        <v>4566</v>
      </c>
      <c r="E1747">
        <v>31948</v>
      </c>
      <c r="F1747" t="s">
        <v>873</v>
      </c>
      <c r="G1747">
        <v>319</v>
      </c>
      <c r="H1747" t="s">
        <v>68</v>
      </c>
      <c r="I1747">
        <v>3</v>
      </c>
      <c r="J1747" t="s">
        <v>50</v>
      </c>
    </row>
    <row r="1748" spans="1:10" x14ac:dyDescent="0.25">
      <c r="A1748" t="s">
        <v>7355</v>
      </c>
      <c r="B1748">
        <f>11398.9628205467*(1/100/100)</f>
        <v>1.1398962820546701</v>
      </c>
      <c r="C1748">
        <v>19108</v>
      </c>
      <c r="D1748" t="s">
        <v>3962</v>
      </c>
      <c r="E1748">
        <v>31930</v>
      </c>
      <c r="F1748" t="s">
        <v>862</v>
      </c>
      <c r="G1748">
        <v>319</v>
      </c>
      <c r="H1748" t="s">
        <v>68</v>
      </c>
      <c r="I1748">
        <v>3</v>
      </c>
      <c r="J1748" t="s">
        <v>50</v>
      </c>
    </row>
    <row r="1749" spans="1:10" x14ac:dyDescent="0.25">
      <c r="A1749" t="s">
        <v>7355</v>
      </c>
      <c r="B1749">
        <f>21157.973644125*(1/100/100)</f>
        <v>2.1157973644124999</v>
      </c>
      <c r="C1749">
        <v>19109</v>
      </c>
      <c r="D1749" t="s">
        <v>4426</v>
      </c>
      <c r="E1749">
        <v>31930</v>
      </c>
      <c r="F1749" t="s">
        <v>862</v>
      </c>
      <c r="G1749">
        <v>319</v>
      </c>
      <c r="H1749" t="s">
        <v>68</v>
      </c>
      <c r="I1749">
        <v>3</v>
      </c>
      <c r="J1749" t="s">
        <v>50</v>
      </c>
    </row>
    <row r="1750" spans="1:10" x14ac:dyDescent="0.25">
      <c r="A1750" t="s">
        <v>7355</v>
      </c>
      <c r="B1750">
        <f>23342.9217745202*(1/100/100)</f>
        <v>2.3342921774520202</v>
      </c>
      <c r="C1750">
        <v>19110</v>
      </c>
      <c r="D1750" t="s">
        <v>4386</v>
      </c>
      <c r="E1750">
        <v>31912</v>
      </c>
      <c r="F1750" t="s">
        <v>846</v>
      </c>
      <c r="G1750">
        <v>319</v>
      </c>
      <c r="H1750" t="s">
        <v>68</v>
      </c>
      <c r="I1750">
        <v>3</v>
      </c>
      <c r="J1750" t="s">
        <v>50</v>
      </c>
    </row>
    <row r="1751" spans="1:10" x14ac:dyDescent="0.25">
      <c r="A1751" t="s">
        <v>7355</v>
      </c>
      <c r="B1751">
        <f>31657.6466495336*(1/100/100)</f>
        <v>3.1657646649533602</v>
      </c>
      <c r="C1751">
        <v>19111</v>
      </c>
      <c r="D1751" t="s">
        <v>4387</v>
      </c>
      <c r="E1751">
        <v>31912</v>
      </c>
      <c r="F1751" t="s">
        <v>846</v>
      </c>
      <c r="G1751">
        <v>319</v>
      </c>
      <c r="H1751" t="s">
        <v>68</v>
      </c>
      <c r="I1751">
        <v>3</v>
      </c>
      <c r="J1751" t="s">
        <v>50</v>
      </c>
    </row>
    <row r="1752" spans="1:10" x14ac:dyDescent="0.25">
      <c r="A1752" t="s">
        <v>7355</v>
      </c>
      <c r="B1752">
        <f>10432.8629901623*(1/100/100)</f>
        <v>1.0432862990162302</v>
      </c>
      <c r="C1752">
        <v>19112</v>
      </c>
      <c r="D1752" t="s">
        <v>4482</v>
      </c>
      <c r="E1752">
        <v>31930</v>
      </c>
      <c r="F1752" t="s">
        <v>862</v>
      </c>
      <c r="G1752">
        <v>319</v>
      </c>
      <c r="H1752" t="s">
        <v>68</v>
      </c>
      <c r="I1752">
        <v>3</v>
      </c>
      <c r="J1752" t="s">
        <v>50</v>
      </c>
    </row>
    <row r="1753" spans="1:10" x14ac:dyDescent="0.25">
      <c r="A1753" t="s">
        <v>7355</v>
      </c>
      <c r="B1753">
        <f>65489.2209911839*(1/100/100)</f>
        <v>6.5489220991183901</v>
      </c>
      <c r="C1753">
        <v>19113</v>
      </c>
      <c r="D1753" t="s">
        <v>4400</v>
      </c>
      <c r="E1753">
        <v>31915</v>
      </c>
      <c r="F1753" t="s">
        <v>848</v>
      </c>
      <c r="G1753">
        <v>319</v>
      </c>
      <c r="H1753" t="s">
        <v>68</v>
      </c>
      <c r="I1753">
        <v>3</v>
      </c>
      <c r="J1753" t="s">
        <v>50</v>
      </c>
    </row>
    <row r="1754" spans="1:10" x14ac:dyDescent="0.25">
      <c r="A1754" t="s">
        <v>7355</v>
      </c>
      <c r="B1754">
        <f>12222.0380604202*(1/100/100)</f>
        <v>1.2222038060420202</v>
      </c>
      <c r="C1754">
        <v>19114</v>
      </c>
      <c r="D1754" t="s">
        <v>4483</v>
      </c>
      <c r="E1754">
        <v>31930</v>
      </c>
      <c r="F1754" t="s">
        <v>862</v>
      </c>
      <c r="G1754">
        <v>319</v>
      </c>
      <c r="H1754" t="s">
        <v>68</v>
      </c>
      <c r="I1754">
        <v>3</v>
      </c>
      <c r="J1754" t="s">
        <v>50</v>
      </c>
    </row>
    <row r="1755" spans="1:10" x14ac:dyDescent="0.25">
      <c r="A1755" t="s">
        <v>7355</v>
      </c>
      <c r="B1755">
        <f>60296.2322844368*(1/100/100)</f>
        <v>6.0296232284436808</v>
      </c>
      <c r="C1755">
        <v>19115</v>
      </c>
      <c r="D1755" t="s">
        <v>4461</v>
      </c>
      <c r="E1755">
        <v>31928</v>
      </c>
      <c r="F1755" t="s">
        <v>860</v>
      </c>
      <c r="G1755">
        <v>319</v>
      </c>
      <c r="H1755" t="s">
        <v>68</v>
      </c>
      <c r="I1755">
        <v>3</v>
      </c>
      <c r="J1755" t="s">
        <v>50</v>
      </c>
    </row>
    <row r="1756" spans="1:10" x14ac:dyDescent="0.25">
      <c r="A1756" t="s">
        <v>7355</v>
      </c>
      <c r="B1756">
        <f>35342.2414294122*(1/100/100)</f>
        <v>3.5342241429412202</v>
      </c>
      <c r="C1756">
        <v>19116</v>
      </c>
      <c r="D1756" t="s">
        <v>3452</v>
      </c>
      <c r="E1756">
        <v>31943</v>
      </c>
      <c r="F1756" t="s">
        <v>869</v>
      </c>
      <c r="G1756">
        <v>319</v>
      </c>
      <c r="H1756" t="s">
        <v>68</v>
      </c>
      <c r="I1756">
        <v>3</v>
      </c>
      <c r="J1756" t="s">
        <v>50</v>
      </c>
    </row>
    <row r="1757" spans="1:10" x14ac:dyDescent="0.25">
      <c r="A1757" t="s">
        <v>7355</v>
      </c>
      <c r="B1757">
        <f>36627.6484504394*(1/100/100)</f>
        <v>3.6627648450439403</v>
      </c>
      <c r="C1757">
        <v>19117</v>
      </c>
      <c r="D1757" t="s">
        <v>4484</v>
      </c>
      <c r="E1757">
        <v>31930</v>
      </c>
      <c r="F1757" t="s">
        <v>862</v>
      </c>
      <c r="G1757">
        <v>319</v>
      </c>
      <c r="H1757" t="s">
        <v>68</v>
      </c>
      <c r="I1757">
        <v>3</v>
      </c>
      <c r="J1757" t="s">
        <v>50</v>
      </c>
    </row>
    <row r="1758" spans="1:10" x14ac:dyDescent="0.25">
      <c r="A1758" t="s">
        <v>7355</v>
      </c>
      <c r="B1758">
        <f>89182.5082398966*(1/100/100)</f>
        <v>8.918250823989661</v>
      </c>
      <c r="C1758">
        <v>19118</v>
      </c>
      <c r="D1758" t="s">
        <v>4540</v>
      </c>
      <c r="E1758">
        <v>31943</v>
      </c>
      <c r="F1758" t="s">
        <v>869</v>
      </c>
      <c r="G1758">
        <v>319</v>
      </c>
      <c r="H1758" t="s">
        <v>68</v>
      </c>
      <c r="I1758">
        <v>3</v>
      </c>
      <c r="J1758" t="s">
        <v>50</v>
      </c>
    </row>
    <row r="1759" spans="1:10" x14ac:dyDescent="0.25">
      <c r="A1759" t="s">
        <v>7355</v>
      </c>
      <c r="B1759">
        <f>17652.0824337691*(1/100/100)</f>
        <v>1.7652082433769103</v>
      </c>
      <c r="C1759">
        <v>19119</v>
      </c>
      <c r="D1759" t="s">
        <v>4541</v>
      </c>
      <c r="E1759">
        <v>31943</v>
      </c>
      <c r="F1759" t="s">
        <v>869</v>
      </c>
      <c r="G1759">
        <v>319</v>
      </c>
      <c r="H1759" t="s">
        <v>68</v>
      </c>
      <c r="I1759">
        <v>3</v>
      </c>
      <c r="J1759" t="s">
        <v>50</v>
      </c>
    </row>
    <row r="1760" spans="1:10" x14ac:dyDescent="0.25">
      <c r="A1760" t="s">
        <v>7355</v>
      </c>
      <c r="B1760">
        <f>75831.3066167568*(1/100/100)</f>
        <v>7.5831306616756811</v>
      </c>
      <c r="C1760">
        <v>19120</v>
      </c>
      <c r="D1760" t="s">
        <v>4396</v>
      </c>
      <c r="E1760">
        <v>31913</v>
      </c>
      <c r="F1760" t="s">
        <v>847</v>
      </c>
      <c r="G1760">
        <v>319</v>
      </c>
      <c r="H1760" t="s">
        <v>68</v>
      </c>
      <c r="I1760">
        <v>3</v>
      </c>
      <c r="J1760" t="s">
        <v>50</v>
      </c>
    </row>
    <row r="1761" spans="1:10" x14ac:dyDescent="0.25">
      <c r="A1761" t="s">
        <v>7355</v>
      </c>
      <c r="B1761">
        <f>14255.00644435*(1/100/100)</f>
        <v>1.425500644435</v>
      </c>
      <c r="C1761">
        <v>19121</v>
      </c>
      <c r="D1761" t="s">
        <v>4485</v>
      </c>
      <c r="E1761">
        <v>31930</v>
      </c>
      <c r="F1761" t="s">
        <v>862</v>
      </c>
      <c r="G1761">
        <v>319</v>
      </c>
      <c r="H1761" t="s">
        <v>68</v>
      </c>
      <c r="I1761">
        <v>3</v>
      </c>
      <c r="J1761" t="s">
        <v>50</v>
      </c>
    </row>
    <row r="1762" spans="1:10" x14ac:dyDescent="0.25">
      <c r="A1762" t="s">
        <v>7355</v>
      </c>
      <c r="B1762">
        <f>10059.8817875781*(1/100/100)</f>
        <v>1.0059881787578102</v>
      </c>
      <c r="C1762">
        <v>19122</v>
      </c>
      <c r="D1762" t="s">
        <v>3697</v>
      </c>
      <c r="E1762">
        <v>31946</v>
      </c>
      <c r="F1762" t="s">
        <v>4552</v>
      </c>
      <c r="G1762">
        <v>319</v>
      </c>
      <c r="H1762" t="s">
        <v>68</v>
      </c>
      <c r="I1762">
        <v>3</v>
      </c>
      <c r="J1762" t="s">
        <v>50</v>
      </c>
    </row>
    <row r="1763" spans="1:10" x14ac:dyDescent="0.25">
      <c r="A1763" t="s">
        <v>7355</v>
      </c>
      <c r="B1763">
        <f>21462.5234337215*(1/100/100)</f>
        <v>2.1462523433721503</v>
      </c>
      <c r="C1763">
        <v>19123</v>
      </c>
      <c r="D1763" t="s">
        <v>4486</v>
      </c>
      <c r="E1763">
        <v>31930</v>
      </c>
      <c r="F1763" t="s">
        <v>862</v>
      </c>
      <c r="G1763">
        <v>319</v>
      </c>
      <c r="H1763" t="s">
        <v>68</v>
      </c>
      <c r="I1763">
        <v>3</v>
      </c>
      <c r="J1763" t="s">
        <v>50</v>
      </c>
    </row>
    <row r="1764" spans="1:10" x14ac:dyDescent="0.25">
      <c r="A1764" t="s">
        <v>7355</v>
      </c>
      <c r="B1764">
        <f>27083.6477685596*(1/100/100)</f>
        <v>2.70836477685596</v>
      </c>
      <c r="C1764">
        <v>19124</v>
      </c>
      <c r="D1764" t="s">
        <v>973</v>
      </c>
      <c r="E1764">
        <v>31912</v>
      </c>
      <c r="F1764" t="s">
        <v>846</v>
      </c>
      <c r="G1764">
        <v>319</v>
      </c>
      <c r="H1764" t="s">
        <v>68</v>
      </c>
      <c r="I1764">
        <v>3</v>
      </c>
      <c r="J1764" t="s">
        <v>50</v>
      </c>
    </row>
    <row r="1765" spans="1:10" x14ac:dyDescent="0.25">
      <c r="A1765" t="s">
        <v>7355</v>
      </c>
      <c r="B1765">
        <f>66874.1983802189*(1/100/100)</f>
        <v>6.6874198380218912</v>
      </c>
      <c r="C1765">
        <v>19125</v>
      </c>
      <c r="D1765" t="s">
        <v>4120</v>
      </c>
      <c r="E1765">
        <v>31930</v>
      </c>
      <c r="F1765" t="s">
        <v>862</v>
      </c>
      <c r="G1765">
        <v>319</v>
      </c>
      <c r="H1765" t="s">
        <v>68</v>
      </c>
      <c r="I1765">
        <v>3</v>
      </c>
      <c r="J1765" t="s">
        <v>50</v>
      </c>
    </row>
    <row r="1766" spans="1:10" x14ac:dyDescent="0.25">
      <c r="A1766" t="s">
        <v>7355</v>
      </c>
      <c r="B1766">
        <f>24104.6660006749*(1/100/100)</f>
        <v>2.4104666000674904</v>
      </c>
      <c r="C1766">
        <v>19126</v>
      </c>
      <c r="D1766" t="s">
        <v>4388</v>
      </c>
      <c r="E1766">
        <v>31912</v>
      </c>
      <c r="F1766" t="s">
        <v>846</v>
      </c>
      <c r="G1766">
        <v>319</v>
      </c>
      <c r="H1766" t="s">
        <v>68</v>
      </c>
      <c r="I1766">
        <v>3</v>
      </c>
      <c r="J1766" t="s">
        <v>50</v>
      </c>
    </row>
    <row r="1767" spans="1:10" x14ac:dyDescent="0.25">
      <c r="A1767" t="s">
        <v>7355</v>
      </c>
      <c r="B1767">
        <f>10389.2387440756*(1/100/100)</f>
        <v>1.03892387440756</v>
      </c>
      <c r="C1767">
        <v>19127</v>
      </c>
      <c r="D1767" t="s">
        <v>3668</v>
      </c>
      <c r="E1767">
        <v>31946</v>
      </c>
      <c r="F1767" t="s">
        <v>4552</v>
      </c>
      <c r="G1767">
        <v>319</v>
      </c>
      <c r="H1767" t="s">
        <v>68</v>
      </c>
      <c r="I1767">
        <v>3</v>
      </c>
      <c r="J1767" t="s">
        <v>50</v>
      </c>
    </row>
    <row r="1768" spans="1:10" x14ac:dyDescent="0.25">
      <c r="A1768" t="s">
        <v>7355</v>
      </c>
      <c r="B1768">
        <f>30619.8027431696*(1/100/100)</f>
        <v>3.06198027431696</v>
      </c>
      <c r="C1768">
        <v>19128</v>
      </c>
      <c r="D1768" t="s">
        <v>4567</v>
      </c>
      <c r="E1768">
        <v>31948</v>
      </c>
      <c r="F1768" t="s">
        <v>873</v>
      </c>
      <c r="G1768">
        <v>319</v>
      </c>
      <c r="H1768" t="s">
        <v>68</v>
      </c>
      <c r="I1768">
        <v>3</v>
      </c>
      <c r="J1768" t="s">
        <v>50</v>
      </c>
    </row>
    <row r="1769" spans="1:10" x14ac:dyDescent="0.25">
      <c r="A1769" t="s">
        <v>7355</v>
      </c>
      <c r="B1769">
        <f>7455.58402100633*(1/100/100)</f>
        <v>0.74555840210063296</v>
      </c>
      <c r="C1769">
        <v>19129</v>
      </c>
      <c r="D1769" t="s">
        <v>4487</v>
      </c>
      <c r="E1769">
        <v>31930</v>
      </c>
      <c r="F1769" t="s">
        <v>862</v>
      </c>
      <c r="G1769">
        <v>319</v>
      </c>
      <c r="H1769" t="s">
        <v>68</v>
      </c>
      <c r="I1769">
        <v>3</v>
      </c>
      <c r="J1769" t="s">
        <v>50</v>
      </c>
    </row>
    <row r="1770" spans="1:10" x14ac:dyDescent="0.25">
      <c r="A1770" t="s">
        <v>7355</v>
      </c>
      <c r="B1770">
        <f>243521.312179449*(1/100/100)</f>
        <v>24.352131217944901</v>
      </c>
      <c r="C1770">
        <v>19130</v>
      </c>
      <c r="D1770" t="s">
        <v>846</v>
      </c>
      <c r="E1770">
        <v>31912</v>
      </c>
      <c r="F1770" t="s">
        <v>846</v>
      </c>
      <c r="G1770">
        <v>319</v>
      </c>
      <c r="H1770" t="s">
        <v>68</v>
      </c>
      <c r="I1770">
        <v>3</v>
      </c>
      <c r="J1770" t="s">
        <v>50</v>
      </c>
    </row>
    <row r="1771" spans="1:10" x14ac:dyDescent="0.25">
      <c r="A1771" t="s">
        <v>7355</v>
      </c>
      <c r="B1771">
        <f>29217.846796275*(1/100/100)</f>
        <v>2.9217846796275002</v>
      </c>
      <c r="C1771">
        <v>19131</v>
      </c>
      <c r="D1771" t="s">
        <v>4542</v>
      </c>
      <c r="E1771">
        <v>31943</v>
      </c>
      <c r="F1771" t="s">
        <v>869</v>
      </c>
      <c r="G1771">
        <v>319</v>
      </c>
      <c r="H1771" t="s">
        <v>68</v>
      </c>
      <c r="I1771">
        <v>3</v>
      </c>
      <c r="J1771" t="s">
        <v>50</v>
      </c>
    </row>
    <row r="1772" spans="1:10" x14ac:dyDescent="0.25">
      <c r="A1772" t="s">
        <v>7355</v>
      </c>
      <c r="B1772">
        <f>77524.9626875637*(1/100/100)</f>
        <v>7.7524962687563708</v>
      </c>
      <c r="C1772">
        <v>19132</v>
      </c>
      <c r="D1772" t="s">
        <v>4397</v>
      </c>
      <c r="E1772">
        <v>31913</v>
      </c>
      <c r="F1772" t="s">
        <v>847</v>
      </c>
      <c r="G1772">
        <v>319</v>
      </c>
      <c r="H1772" t="s">
        <v>68</v>
      </c>
      <c r="I1772">
        <v>3</v>
      </c>
      <c r="J1772" t="s">
        <v>50</v>
      </c>
    </row>
    <row r="1773" spans="1:10" x14ac:dyDescent="0.25">
      <c r="A1773" t="s">
        <v>7355</v>
      </c>
      <c r="B1773">
        <f>31899.4107846429*(1/100/100)</f>
        <v>3.1899410784642903</v>
      </c>
      <c r="C1773">
        <v>19133</v>
      </c>
      <c r="D1773" t="s">
        <v>848</v>
      </c>
      <c r="E1773">
        <v>31915</v>
      </c>
      <c r="F1773" t="s">
        <v>848</v>
      </c>
      <c r="G1773">
        <v>319</v>
      </c>
      <c r="H1773" t="s">
        <v>68</v>
      </c>
      <c r="I1773">
        <v>3</v>
      </c>
      <c r="J1773" t="s">
        <v>50</v>
      </c>
    </row>
    <row r="1774" spans="1:10" x14ac:dyDescent="0.25">
      <c r="A1774" t="s">
        <v>7355</v>
      </c>
      <c r="B1774">
        <f>21657.2796435843*(1/100/100)</f>
        <v>2.1657279643584304</v>
      </c>
      <c r="C1774">
        <v>19134</v>
      </c>
      <c r="D1774" t="s">
        <v>4401</v>
      </c>
      <c r="E1774">
        <v>31915</v>
      </c>
      <c r="F1774" t="s">
        <v>848</v>
      </c>
      <c r="G1774">
        <v>319</v>
      </c>
      <c r="H1774" t="s">
        <v>68</v>
      </c>
      <c r="I1774">
        <v>3</v>
      </c>
      <c r="J1774" t="s">
        <v>50</v>
      </c>
    </row>
    <row r="1775" spans="1:10" x14ac:dyDescent="0.25">
      <c r="A1775" t="s">
        <v>7355</v>
      </c>
      <c r="B1775">
        <f>20564.5140046023*(1/100/100)</f>
        <v>2.0564514004602303</v>
      </c>
      <c r="C1775">
        <v>19135</v>
      </c>
      <c r="D1775" t="s">
        <v>4402</v>
      </c>
      <c r="E1775">
        <v>31915</v>
      </c>
      <c r="F1775" t="s">
        <v>848</v>
      </c>
      <c r="G1775">
        <v>319</v>
      </c>
      <c r="H1775" t="s">
        <v>68</v>
      </c>
      <c r="I1775">
        <v>3</v>
      </c>
      <c r="J1775" t="s">
        <v>50</v>
      </c>
    </row>
    <row r="1776" spans="1:10" x14ac:dyDescent="0.25">
      <c r="A1776" t="s">
        <v>7355</v>
      </c>
      <c r="B1776">
        <f>46972.8796610346*(1/100/100)</f>
        <v>4.6972879661034606</v>
      </c>
      <c r="C1776">
        <v>19136</v>
      </c>
      <c r="D1776" t="s">
        <v>4532</v>
      </c>
      <c r="E1776">
        <v>31940</v>
      </c>
      <c r="F1776" t="s">
        <v>867</v>
      </c>
      <c r="G1776">
        <v>319</v>
      </c>
      <c r="H1776" t="s">
        <v>68</v>
      </c>
      <c r="I1776">
        <v>3</v>
      </c>
      <c r="J1776" t="s">
        <v>50</v>
      </c>
    </row>
    <row r="1777" spans="1:10" x14ac:dyDescent="0.25">
      <c r="A1777" t="s">
        <v>7355</v>
      </c>
      <c r="B1777">
        <f>40781.4077138512*(1/100/100)</f>
        <v>4.0781407713851205</v>
      </c>
      <c r="C1777">
        <v>19137</v>
      </c>
      <c r="D1777" t="s">
        <v>2914</v>
      </c>
      <c r="E1777">
        <v>31948</v>
      </c>
      <c r="F1777" t="s">
        <v>873</v>
      </c>
      <c r="G1777">
        <v>319</v>
      </c>
      <c r="H1777" t="s">
        <v>68</v>
      </c>
      <c r="I1777">
        <v>3</v>
      </c>
      <c r="J1777" t="s">
        <v>50</v>
      </c>
    </row>
    <row r="1778" spans="1:10" x14ac:dyDescent="0.25">
      <c r="A1778" t="s">
        <v>7355</v>
      </c>
      <c r="B1778">
        <f>11587.4389073523*(1/100/100)</f>
        <v>1.1587438907352301</v>
      </c>
      <c r="C1778">
        <v>19138</v>
      </c>
      <c r="D1778" t="s">
        <v>4488</v>
      </c>
      <c r="E1778">
        <v>31930</v>
      </c>
      <c r="F1778" t="s">
        <v>862</v>
      </c>
      <c r="G1778">
        <v>319</v>
      </c>
      <c r="H1778" t="s">
        <v>68</v>
      </c>
      <c r="I1778">
        <v>3</v>
      </c>
      <c r="J1778" t="s">
        <v>50</v>
      </c>
    </row>
    <row r="1779" spans="1:10" x14ac:dyDescent="0.25">
      <c r="A1779" t="s">
        <v>7355</v>
      </c>
      <c r="B1779">
        <f>78164.6154345559*(1/100/100)</f>
        <v>7.8164615434555911</v>
      </c>
      <c r="C1779">
        <v>19139</v>
      </c>
      <c r="D1779" t="s">
        <v>4553</v>
      </c>
      <c r="E1779">
        <v>31946</v>
      </c>
      <c r="F1779" t="s">
        <v>4552</v>
      </c>
      <c r="G1779">
        <v>319</v>
      </c>
      <c r="H1779" t="s">
        <v>68</v>
      </c>
      <c r="I1779">
        <v>3</v>
      </c>
      <c r="J1779" t="s">
        <v>50</v>
      </c>
    </row>
    <row r="1780" spans="1:10" x14ac:dyDescent="0.25">
      <c r="A1780" t="s">
        <v>7355</v>
      </c>
      <c r="B1780">
        <f>11736.9499348244*(1/100/100)</f>
        <v>1.1736949934824401</v>
      </c>
      <c r="C1780">
        <v>19140</v>
      </c>
      <c r="D1780" t="s">
        <v>4489</v>
      </c>
      <c r="E1780">
        <v>31930</v>
      </c>
      <c r="F1780" t="s">
        <v>862</v>
      </c>
      <c r="G1780">
        <v>319</v>
      </c>
      <c r="H1780" t="s">
        <v>68</v>
      </c>
      <c r="I1780">
        <v>3</v>
      </c>
      <c r="J1780" t="s">
        <v>50</v>
      </c>
    </row>
    <row r="1781" spans="1:10" x14ac:dyDescent="0.25">
      <c r="A1781" t="s">
        <v>7355</v>
      </c>
      <c r="B1781">
        <f>19518.6384468726*(1/100/100)</f>
        <v>1.95186384468726</v>
      </c>
      <c r="C1781">
        <v>19141</v>
      </c>
      <c r="D1781" t="s">
        <v>4490</v>
      </c>
      <c r="E1781">
        <v>31930</v>
      </c>
      <c r="F1781" t="s">
        <v>862</v>
      </c>
      <c r="G1781">
        <v>319</v>
      </c>
      <c r="H1781" t="s">
        <v>68</v>
      </c>
      <c r="I1781">
        <v>3</v>
      </c>
      <c r="J1781" t="s">
        <v>50</v>
      </c>
    </row>
    <row r="1782" spans="1:10" x14ac:dyDescent="0.25">
      <c r="A1782" t="s">
        <v>7355</v>
      </c>
      <c r="B1782">
        <f>9209.77447401856*(1/100/100)</f>
        <v>0.92097744740185616</v>
      </c>
      <c r="C1782">
        <v>19142</v>
      </c>
      <c r="D1782" t="s">
        <v>4462</v>
      </c>
      <c r="E1782">
        <v>31928</v>
      </c>
      <c r="F1782" t="s">
        <v>860</v>
      </c>
      <c r="G1782">
        <v>319</v>
      </c>
      <c r="H1782" t="s">
        <v>68</v>
      </c>
      <c r="I1782">
        <v>3</v>
      </c>
      <c r="J1782" t="s">
        <v>50</v>
      </c>
    </row>
    <row r="1783" spans="1:10" x14ac:dyDescent="0.25">
      <c r="A1783" t="s">
        <v>7355</v>
      </c>
      <c r="B1783">
        <f>20989.3325135486*(1/100/100)</f>
        <v>2.0989332513548602</v>
      </c>
      <c r="C1783">
        <v>19143</v>
      </c>
      <c r="D1783" t="s">
        <v>4568</v>
      </c>
      <c r="E1783">
        <v>31948</v>
      </c>
      <c r="F1783" t="s">
        <v>873</v>
      </c>
      <c r="G1783">
        <v>319</v>
      </c>
      <c r="H1783" t="s">
        <v>68</v>
      </c>
      <c r="I1783">
        <v>3</v>
      </c>
      <c r="J1783" t="s">
        <v>50</v>
      </c>
    </row>
    <row r="1784" spans="1:10" x14ac:dyDescent="0.25">
      <c r="A1784" t="s">
        <v>7355</v>
      </c>
      <c r="B1784">
        <f>66555.9766954465*(1/100/100)</f>
        <v>6.6555976695446502</v>
      </c>
      <c r="C1784">
        <v>19144</v>
      </c>
      <c r="D1784" t="s">
        <v>4463</v>
      </c>
      <c r="E1784">
        <v>31928</v>
      </c>
      <c r="F1784" t="s">
        <v>860</v>
      </c>
      <c r="G1784">
        <v>319</v>
      </c>
      <c r="H1784" t="s">
        <v>68</v>
      </c>
      <c r="I1784">
        <v>3</v>
      </c>
      <c r="J1784" t="s">
        <v>50</v>
      </c>
    </row>
    <row r="1785" spans="1:10" x14ac:dyDescent="0.25">
      <c r="A1785" t="s">
        <v>7355</v>
      </c>
      <c r="B1785">
        <f>204202.50749233*(1/100/100)</f>
        <v>20.420250749233002</v>
      </c>
      <c r="C1785">
        <v>19145</v>
      </c>
      <c r="D1785" t="s">
        <v>4389</v>
      </c>
      <c r="E1785">
        <v>31912</v>
      </c>
      <c r="F1785" t="s">
        <v>846</v>
      </c>
      <c r="G1785">
        <v>319</v>
      </c>
      <c r="H1785" t="s">
        <v>68</v>
      </c>
      <c r="I1785">
        <v>3</v>
      </c>
      <c r="J1785" t="s">
        <v>50</v>
      </c>
    </row>
    <row r="1786" spans="1:10" x14ac:dyDescent="0.25">
      <c r="A1786" t="s">
        <v>7355</v>
      </c>
      <c r="B1786">
        <f>28601.0052802598*(1/100/100)</f>
        <v>2.8601005280259804</v>
      </c>
      <c r="C1786">
        <v>19146</v>
      </c>
      <c r="D1786" t="s">
        <v>4543</v>
      </c>
      <c r="E1786">
        <v>31943</v>
      </c>
      <c r="F1786" t="s">
        <v>869</v>
      </c>
      <c r="G1786">
        <v>319</v>
      </c>
      <c r="H1786" t="s">
        <v>68</v>
      </c>
      <c r="I1786">
        <v>3</v>
      </c>
      <c r="J1786" t="s">
        <v>50</v>
      </c>
    </row>
    <row r="1787" spans="1:10" x14ac:dyDescent="0.25">
      <c r="A1787" t="s">
        <v>7355</v>
      </c>
      <c r="B1787">
        <f>32969.5380513299*(1/100/100)</f>
        <v>3.2969538051329903</v>
      </c>
      <c r="C1787">
        <v>19147</v>
      </c>
      <c r="D1787" t="s">
        <v>4491</v>
      </c>
      <c r="E1787">
        <v>31930</v>
      </c>
      <c r="F1787" t="s">
        <v>862</v>
      </c>
      <c r="G1787">
        <v>319</v>
      </c>
      <c r="H1787" t="s">
        <v>68</v>
      </c>
      <c r="I1787">
        <v>3</v>
      </c>
      <c r="J1787" t="s">
        <v>50</v>
      </c>
    </row>
    <row r="1788" spans="1:10" x14ac:dyDescent="0.25">
      <c r="A1788" t="s">
        <v>7355</v>
      </c>
      <c r="B1788">
        <f>117214.036782564*(1/100/100)</f>
        <v>11.721403678256401</v>
      </c>
      <c r="C1788">
        <v>19148</v>
      </c>
      <c r="D1788" t="s">
        <v>4390</v>
      </c>
      <c r="E1788">
        <v>31912</v>
      </c>
      <c r="F1788" t="s">
        <v>846</v>
      </c>
      <c r="G1788">
        <v>319</v>
      </c>
      <c r="H1788" t="s">
        <v>68</v>
      </c>
      <c r="I1788">
        <v>3</v>
      </c>
      <c r="J1788" t="s">
        <v>50</v>
      </c>
    </row>
    <row r="1789" spans="1:10" x14ac:dyDescent="0.25">
      <c r="A1789" t="s">
        <v>7355</v>
      </c>
      <c r="B1789">
        <f>22900.4396129902*(1/100/100)</f>
        <v>2.2900439612990202</v>
      </c>
      <c r="C1789">
        <v>19149</v>
      </c>
      <c r="D1789" t="s">
        <v>4403</v>
      </c>
      <c r="E1789">
        <v>31915</v>
      </c>
      <c r="F1789" t="s">
        <v>848</v>
      </c>
      <c r="G1789">
        <v>319</v>
      </c>
      <c r="H1789" t="s">
        <v>68</v>
      </c>
      <c r="I1789">
        <v>3</v>
      </c>
      <c r="J1789" t="s">
        <v>50</v>
      </c>
    </row>
    <row r="1790" spans="1:10" x14ac:dyDescent="0.25">
      <c r="A1790" t="s">
        <v>7355</v>
      </c>
      <c r="B1790">
        <f>39033.4753595875*(1/100/100)</f>
        <v>3.9033475359587504</v>
      </c>
      <c r="C1790">
        <v>19150</v>
      </c>
      <c r="D1790" t="s">
        <v>4552</v>
      </c>
      <c r="E1790">
        <v>31946</v>
      </c>
      <c r="F1790" t="s">
        <v>4552</v>
      </c>
      <c r="G1790">
        <v>319</v>
      </c>
      <c r="H1790" t="s">
        <v>68</v>
      </c>
      <c r="I1790">
        <v>3</v>
      </c>
      <c r="J1790" t="s">
        <v>50</v>
      </c>
    </row>
    <row r="1791" spans="1:10" x14ac:dyDescent="0.25">
      <c r="A1791" t="s">
        <v>7355</v>
      </c>
      <c r="B1791">
        <f>11760.7106109835*(1/100/100)</f>
        <v>1.17607106109835</v>
      </c>
      <c r="C1791">
        <v>19151</v>
      </c>
      <c r="D1791" t="s">
        <v>1329</v>
      </c>
      <c r="E1791">
        <v>31930</v>
      </c>
      <c r="F1791" t="s">
        <v>862</v>
      </c>
      <c r="G1791">
        <v>319</v>
      </c>
      <c r="H1791" t="s">
        <v>68</v>
      </c>
      <c r="I1791">
        <v>3</v>
      </c>
      <c r="J1791" t="s">
        <v>50</v>
      </c>
    </row>
    <row r="1792" spans="1:10" x14ac:dyDescent="0.25">
      <c r="A1792" t="s">
        <v>7355</v>
      </c>
      <c r="B1792">
        <f>18301.3002453918*(1/100/100)</f>
        <v>1.8301300245391803</v>
      </c>
      <c r="C1792">
        <v>19152</v>
      </c>
      <c r="D1792" t="s">
        <v>4404</v>
      </c>
      <c r="E1792">
        <v>31915</v>
      </c>
      <c r="F1792" t="s">
        <v>848</v>
      </c>
      <c r="G1792">
        <v>319</v>
      </c>
      <c r="H1792" t="s">
        <v>68</v>
      </c>
      <c r="I1792">
        <v>3</v>
      </c>
      <c r="J1792" t="s">
        <v>50</v>
      </c>
    </row>
    <row r="1793" spans="1:10" x14ac:dyDescent="0.25">
      <c r="A1793" t="s">
        <v>7355</v>
      </c>
      <c r="B1793">
        <f>3171.5696860945*(1/100/100)</f>
        <v>0.31715696860945003</v>
      </c>
      <c r="C1793">
        <v>19153</v>
      </c>
      <c r="D1793" t="s">
        <v>4391</v>
      </c>
      <c r="E1793">
        <v>31912</v>
      </c>
      <c r="F1793" t="s">
        <v>846</v>
      </c>
      <c r="G1793">
        <v>319</v>
      </c>
      <c r="H1793" t="s">
        <v>68</v>
      </c>
      <c r="I1793">
        <v>3</v>
      </c>
      <c r="J1793" t="s">
        <v>50</v>
      </c>
    </row>
    <row r="1794" spans="1:10" x14ac:dyDescent="0.25">
      <c r="A1794" t="s">
        <v>7355</v>
      </c>
      <c r="B1794">
        <f>33196.4390548521*(1/100/100)</f>
        <v>3.31964390548521</v>
      </c>
      <c r="C1794">
        <v>19154</v>
      </c>
      <c r="D1794" t="s">
        <v>4405</v>
      </c>
      <c r="E1794">
        <v>31915</v>
      </c>
      <c r="F1794" t="s">
        <v>848</v>
      </c>
      <c r="G1794">
        <v>319</v>
      </c>
      <c r="H1794" t="s">
        <v>68</v>
      </c>
      <c r="I1794">
        <v>3</v>
      </c>
      <c r="J1794" t="s">
        <v>50</v>
      </c>
    </row>
    <row r="1795" spans="1:10" x14ac:dyDescent="0.25">
      <c r="A1795" t="s">
        <v>7355</v>
      </c>
      <c r="B1795">
        <f>16005.8974784731*(1/100/100)</f>
        <v>1.6005897478473101</v>
      </c>
      <c r="C1795">
        <v>19155</v>
      </c>
      <c r="D1795" t="s">
        <v>4406</v>
      </c>
      <c r="E1795">
        <v>31915</v>
      </c>
      <c r="F1795" t="s">
        <v>848</v>
      </c>
      <c r="G1795">
        <v>319</v>
      </c>
      <c r="H1795" t="s">
        <v>68</v>
      </c>
      <c r="I1795">
        <v>3</v>
      </c>
      <c r="J1795" t="s">
        <v>50</v>
      </c>
    </row>
    <row r="1796" spans="1:10" x14ac:dyDescent="0.25">
      <c r="A1796" t="s">
        <v>7355</v>
      </c>
      <c r="B1796">
        <f>13931.8978839739*(1/100/100)</f>
        <v>1.39318978839739</v>
      </c>
      <c r="C1796">
        <v>19156</v>
      </c>
      <c r="D1796" t="s">
        <v>4569</v>
      </c>
      <c r="E1796">
        <v>31948</v>
      </c>
      <c r="F1796" t="s">
        <v>873</v>
      </c>
      <c r="G1796">
        <v>319</v>
      </c>
      <c r="H1796" t="s">
        <v>68</v>
      </c>
      <c r="I1796">
        <v>3</v>
      </c>
      <c r="J1796" t="s">
        <v>50</v>
      </c>
    </row>
    <row r="1797" spans="1:10" x14ac:dyDescent="0.25">
      <c r="A1797" t="s">
        <v>7355</v>
      </c>
      <c r="B1797">
        <f>104305.533762124*(1/100/100)</f>
        <v>10.430553376212401</v>
      </c>
      <c r="C1797">
        <v>19157</v>
      </c>
      <c r="D1797" t="s">
        <v>4464</v>
      </c>
      <c r="E1797">
        <v>31928</v>
      </c>
      <c r="F1797" t="s">
        <v>860</v>
      </c>
      <c r="G1797">
        <v>319</v>
      </c>
      <c r="H1797" t="s">
        <v>68</v>
      </c>
      <c r="I1797">
        <v>3</v>
      </c>
      <c r="J1797" t="s">
        <v>50</v>
      </c>
    </row>
    <row r="1798" spans="1:10" x14ac:dyDescent="0.25">
      <c r="A1798" t="s">
        <v>7355</v>
      </c>
      <c r="B1798">
        <f>9739.05444271787*(1/100/100)</f>
        <v>0.97390544427178705</v>
      </c>
      <c r="C1798">
        <v>19158</v>
      </c>
      <c r="D1798" t="s">
        <v>86</v>
      </c>
      <c r="E1798">
        <v>31928</v>
      </c>
      <c r="F1798" t="s">
        <v>860</v>
      </c>
      <c r="G1798">
        <v>319</v>
      </c>
      <c r="H1798" t="s">
        <v>68</v>
      </c>
      <c r="I1798">
        <v>3</v>
      </c>
      <c r="J1798" t="s">
        <v>50</v>
      </c>
    </row>
    <row r="1799" spans="1:10" x14ac:dyDescent="0.25">
      <c r="A1799" t="s">
        <v>7355</v>
      </c>
      <c r="B1799">
        <f>43889.9073872937*(1/100/100)</f>
        <v>4.3889907387293698</v>
      </c>
      <c r="C1799">
        <v>19159</v>
      </c>
      <c r="D1799" t="s">
        <v>4533</v>
      </c>
      <c r="E1799">
        <v>31940</v>
      </c>
      <c r="F1799" t="s">
        <v>867</v>
      </c>
      <c r="G1799">
        <v>319</v>
      </c>
      <c r="H1799" t="s">
        <v>68</v>
      </c>
      <c r="I1799">
        <v>3</v>
      </c>
      <c r="J1799" t="s">
        <v>50</v>
      </c>
    </row>
    <row r="1800" spans="1:10" x14ac:dyDescent="0.25">
      <c r="A1800" t="s">
        <v>7355</v>
      </c>
      <c r="B1800">
        <f>47731.9899292786*(1/100/100)</f>
        <v>4.7731989929278598</v>
      </c>
      <c r="C1800">
        <v>19160</v>
      </c>
      <c r="D1800" t="s">
        <v>4492</v>
      </c>
      <c r="E1800">
        <v>31930</v>
      </c>
      <c r="F1800" t="s">
        <v>862</v>
      </c>
      <c r="G1800">
        <v>319</v>
      </c>
      <c r="H1800" t="s">
        <v>68</v>
      </c>
      <c r="I1800">
        <v>3</v>
      </c>
      <c r="J1800" t="s">
        <v>50</v>
      </c>
    </row>
    <row r="1801" spans="1:10" x14ac:dyDescent="0.25">
      <c r="A1801" t="s">
        <v>7355</v>
      </c>
      <c r="B1801">
        <f>30171.4089976448*(1/100/100)</f>
        <v>3.0171408997644802</v>
      </c>
      <c r="C1801">
        <v>19161</v>
      </c>
      <c r="D1801" t="s">
        <v>4493</v>
      </c>
      <c r="E1801">
        <v>31930</v>
      </c>
      <c r="F1801" t="s">
        <v>862</v>
      </c>
      <c r="G1801">
        <v>319</v>
      </c>
      <c r="H1801" t="s">
        <v>68</v>
      </c>
      <c r="I1801">
        <v>3</v>
      </c>
      <c r="J1801" t="s">
        <v>50</v>
      </c>
    </row>
    <row r="1802" spans="1:10" x14ac:dyDescent="0.25">
      <c r="A1802" t="s">
        <v>7355</v>
      </c>
      <c r="B1802">
        <f>37808.3298834749*(1/100/100)</f>
        <v>3.7808329883474903</v>
      </c>
      <c r="C1802">
        <v>19162</v>
      </c>
      <c r="D1802" t="s">
        <v>4494</v>
      </c>
      <c r="E1802">
        <v>31930</v>
      </c>
      <c r="F1802" t="s">
        <v>862</v>
      </c>
      <c r="G1802">
        <v>319</v>
      </c>
      <c r="H1802" t="s">
        <v>68</v>
      </c>
      <c r="I1802">
        <v>3</v>
      </c>
      <c r="J1802" t="s">
        <v>50</v>
      </c>
    </row>
    <row r="1803" spans="1:10" x14ac:dyDescent="0.25">
      <c r="A1803" t="s">
        <v>7355</v>
      </c>
      <c r="B1803">
        <f>59703.0631937881*(1/100/100)</f>
        <v>5.9703063193788104</v>
      </c>
      <c r="C1803">
        <v>19163</v>
      </c>
      <c r="D1803" t="s">
        <v>867</v>
      </c>
      <c r="E1803">
        <v>31940</v>
      </c>
      <c r="F1803" t="s">
        <v>867</v>
      </c>
      <c r="G1803">
        <v>319</v>
      </c>
      <c r="H1803" t="s">
        <v>68</v>
      </c>
      <c r="I1803">
        <v>3</v>
      </c>
      <c r="J1803" t="s">
        <v>50</v>
      </c>
    </row>
    <row r="1804" spans="1:10" x14ac:dyDescent="0.25">
      <c r="A1804" t="s">
        <v>7355</v>
      </c>
      <c r="B1804">
        <f>110452.775992544*(1/100/100)</f>
        <v>11.045277599254401</v>
      </c>
      <c r="C1804">
        <v>19164</v>
      </c>
      <c r="D1804" t="s">
        <v>4544</v>
      </c>
      <c r="E1804">
        <v>31943</v>
      </c>
      <c r="F1804" t="s">
        <v>869</v>
      </c>
      <c r="G1804">
        <v>319</v>
      </c>
      <c r="H1804" t="s">
        <v>68</v>
      </c>
      <c r="I1804">
        <v>3</v>
      </c>
      <c r="J1804" t="s">
        <v>50</v>
      </c>
    </row>
    <row r="1805" spans="1:10" x14ac:dyDescent="0.25">
      <c r="A1805" t="s">
        <v>7355</v>
      </c>
      <c r="B1805">
        <f>17466.1671751963*(1/100/100)</f>
        <v>1.7466167175196301</v>
      </c>
      <c r="C1805">
        <v>19165</v>
      </c>
      <c r="D1805" t="s">
        <v>4465</v>
      </c>
      <c r="E1805">
        <v>31928</v>
      </c>
      <c r="F1805" t="s">
        <v>860</v>
      </c>
      <c r="G1805">
        <v>319</v>
      </c>
      <c r="H1805" t="s">
        <v>68</v>
      </c>
      <c r="I1805">
        <v>3</v>
      </c>
      <c r="J1805" t="s">
        <v>50</v>
      </c>
    </row>
    <row r="1806" spans="1:10" x14ac:dyDescent="0.25">
      <c r="A1806" t="s">
        <v>7355</v>
      </c>
      <c r="B1806">
        <f>227823.934709986*(1/100/100)</f>
        <v>22.782393470998603</v>
      </c>
      <c r="C1806">
        <v>19166</v>
      </c>
      <c r="D1806" t="s">
        <v>869</v>
      </c>
      <c r="E1806">
        <v>31943</v>
      </c>
      <c r="F1806" t="s">
        <v>869</v>
      </c>
      <c r="G1806">
        <v>319</v>
      </c>
      <c r="H1806" t="s">
        <v>68</v>
      </c>
      <c r="I1806">
        <v>3</v>
      </c>
      <c r="J1806" t="s">
        <v>50</v>
      </c>
    </row>
    <row r="1807" spans="1:10" x14ac:dyDescent="0.25">
      <c r="A1807" t="s">
        <v>7355</v>
      </c>
      <c r="B1807">
        <f>42741.8883803714*(1/100/100)</f>
        <v>4.2741888380371398</v>
      </c>
      <c r="C1807">
        <v>19167</v>
      </c>
      <c r="D1807" t="s">
        <v>4398</v>
      </c>
      <c r="E1807">
        <v>31913</v>
      </c>
      <c r="F1807" t="s">
        <v>847</v>
      </c>
      <c r="G1807">
        <v>319</v>
      </c>
      <c r="H1807" t="s">
        <v>68</v>
      </c>
      <c r="I1807">
        <v>3</v>
      </c>
      <c r="J1807" t="s">
        <v>50</v>
      </c>
    </row>
    <row r="1808" spans="1:10" x14ac:dyDescent="0.25">
      <c r="A1808" t="s">
        <v>7355</v>
      </c>
      <c r="B1808">
        <f>36871.541203729*(1/100/100)</f>
        <v>3.6871541203729001</v>
      </c>
      <c r="C1808">
        <v>19168</v>
      </c>
      <c r="D1808" t="s">
        <v>4545</v>
      </c>
      <c r="E1808">
        <v>31943</v>
      </c>
      <c r="F1808" t="s">
        <v>869</v>
      </c>
      <c r="G1808">
        <v>319</v>
      </c>
      <c r="H1808" t="s">
        <v>68</v>
      </c>
      <c r="I1808">
        <v>3</v>
      </c>
      <c r="J1808" t="s">
        <v>50</v>
      </c>
    </row>
    <row r="1809" spans="1:10" x14ac:dyDescent="0.25">
      <c r="A1809" t="s">
        <v>7355</v>
      </c>
      <c r="B1809">
        <f>8861.31831947982*(1/100/100)</f>
        <v>0.88613183194798206</v>
      </c>
      <c r="C1809">
        <v>19169</v>
      </c>
      <c r="D1809" t="s">
        <v>4534</v>
      </c>
      <c r="E1809">
        <v>31940</v>
      </c>
      <c r="F1809" t="s">
        <v>867</v>
      </c>
      <c r="G1809">
        <v>319</v>
      </c>
      <c r="H1809" t="s">
        <v>68</v>
      </c>
      <c r="I1809">
        <v>3</v>
      </c>
      <c r="J1809" t="s">
        <v>50</v>
      </c>
    </row>
    <row r="1810" spans="1:10" x14ac:dyDescent="0.25">
      <c r="A1810" t="s">
        <v>7355</v>
      </c>
      <c r="B1810">
        <f>35645.2806269449*(1/100/100)</f>
        <v>3.5645280626944902</v>
      </c>
      <c r="C1810">
        <v>19170</v>
      </c>
      <c r="D1810" t="s">
        <v>871</v>
      </c>
      <c r="E1810">
        <v>31946</v>
      </c>
      <c r="F1810" t="s">
        <v>4552</v>
      </c>
      <c r="G1810">
        <v>319</v>
      </c>
      <c r="H1810" t="s">
        <v>68</v>
      </c>
      <c r="I1810">
        <v>3</v>
      </c>
      <c r="J1810" t="s">
        <v>50</v>
      </c>
    </row>
    <row r="1811" spans="1:10" x14ac:dyDescent="0.25">
      <c r="A1811" t="s">
        <v>7355</v>
      </c>
      <c r="B1811">
        <f>12642.1464722616*(1/100/100)</f>
        <v>1.2642146472261602</v>
      </c>
      <c r="C1811">
        <v>19171</v>
      </c>
      <c r="D1811" t="s">
        <v>4399</v>
      </c>
      <c r="E1811">
        <v>31913</v>
      </c>
      <c r="F1811" t="s">
        <v>847</v>
      </c>
      <c r="G1811">
        <v>319</v>
      </c>
      <c r="H1811" t="s">
        <v>68</v>
      </c>
      <c r="I1811">
        <v>3</v>
      </c>
      <c r="J1811" t="s">
        <v>50</v>
      </c>
    </row>
    <row r="1812" spans="1:10" x14ac:dyDescent="0.25">
      <c r="A1812" t="s">
        <v>7355</v>
      </c>
      <c r="B1812">
        <f>11020.4502384947*(1/100/100)</f>
        <v>1.1020450238494701</v>
      </c>
      <c r="C1812">
        <v>19172</v>
      </c>
      <c r="D1812" t="s">
        <v>4554</v>
      </c>
      <c r="E1812">
        <v>31946</v>
      </c>
      <c r="F1812" t="s">
        <v>4552</v>
      </c>
      <c r="G1812">
        <v>319</v>
      </c>
      <c r="H1812" t="s">
        <v>68</v>
      </c>
      <c r="I1812">
        <v>3</v>
      </c>
      <c r="J1812" t="s">
        <v>50</v>
      </c>
    </row>
    <row r="1813" spans="1:10" x14ac:dyDescent="0.25">
      <c r="A1813" t="s">
        <v>7355</v>
      </c>
      <c r="B1813">
        <f>27174.1340906933*(1/100/100)</f>
        <v>2.71741340906933</v>
      </c>
      <c r="C1813">
        <v>19173</v>
      </c>
      <c r="D1813" t="s">
        <v>4392</v>
      </c>
      <c r="E1813">
        <v>31912</v>
      </c>
      <c r="F1813" t="s">
        <v>846</v>
      </c>
      <c r="G1813">
        <v>319</v>
      </c>
      <c r="H1813" t="s">
        <v>68</v>
      </c>
      <c r="I1813">
        <v>3</v>
      </c>
      <c r="J1813" t="s">
        <v>50</v>
      </c>
    </row>
    <row r="1814" spans="1:10" x14ac:dyDescent="0.25">
      <c r="A1814" t="s">
        <v>7355</v>
      </c>
      <c r="B1814">
        <f>99475.314379235*(1/100/100)</f>
        <v>9.9475314379234998</v>
      </c>
      <c r="C1814">
        <v>19174</v>
      </c>
      <c r="D1814" t="s">
        <v>4393</v>
      </c>
      <c r="E1814">
        <v>31912</v>
      </c>
      <c r="F1814" t="s">
        <v>846</v>
      </c>
      <c r="G1814">
        <v>319</v>
      </c>
      <c r="H1814" t="s">
        <v>68</v>
      </c>
      <c r="I1814">
        <v>3</v>
      </c>
      <c r="J1814" t="s">
        <v>50</v>
      </c>
    </row>
    <row r="1815" spans="1:10" x14ac:dyDescent="0.25">
      <c r="A1815" t="s">
        <v>7355</v>
      </c>
      <c r="B1815">
        <f>18918.188933998*(1/100/100)</f>
        <v>1.8918188933998001</v>
      </c>
      <c r="C1815">
        <v>19175</v>
      </c>
      <c r="D1815" t="s">
        <v>4394</v>
      </c>
      <c r="E1815">
        <v>31912</v>
      </c>
      <c r="F1815" t="s">
        <v>846</v>
      </c>
      <c r="G1815">
        <v>319</v>
      </c>
      <c r="H1815" t="s">
        <v>68</v>
      </c>
      <c r="I1815">
        <v>3</v>
      </c>
      <c r="J1815" t="s">
        <v>50</v>
      </c>
    </row>
    <row r="1816" spans="1:10" x14ac:dyDescent="0.25">
      <c r="A1816" t="s">
        <v>7355</v>
      </c>
      <c r="B1816">
        <f>8096.29444434018*(1/100/100)</f>
        <v>0.80962944443401808</v>
      </c>
      <c r="C1816">
        <v>19176</v>
      </c>
      <c r="D1816" t="s">
        <v>4495</v>
      </c>
      <c r="E1816">
        <v>31930</v>
      </c>
      <c r="F1816" t="s">
        <v>862</v>
      </c>
      <c r="G1816">
        <v>319</v>
      </c>
      <c r="H1816" t="s">
        <v>68</v>
      </c>
      <c r="I1816">
        <v>3</v>
      </c>
      <c r="J1816" t="s">
        <v>50</v>
      </c>
    </row>
    <row r="1817" spans="1:10" x14ac:dyDescent="0.25">
      <c r="A1817" t="s">
        <v>7355</v>
      </c>
      <c r="B1817">
        <f>111734.926743842*(1/100/100)</f>
        <v>11.173492674384201</v>
      </c>
      <c r="C1817">
        <v>19177</v>
      </c>
      <c r="D1817" t="s">
        <v>4570</v>
      </c>
      <c r="E1817">
        <v>31948</v>
      </c>
      <c r="F1817" t="s">
        <v>873</v>
      </c>
      <c r="G1817">
        <v>319</v>
      </c>
      <c r="H1817" t="s">
        <v>68</v>
      </c>
      <c r="I1817">
        <v>3</v>
      </c>
      <c r="J1817" t="s">
        <v>50</v>
      </c>
    </row>
    <row r="1818" spans="1:10" x14ac:dyDescent="0.25">
      <c r="A1818" t="s">
        <v>7355</v>
      </c>
      <c r="B1818">
        <f>70557.6121439046*(1/100/100)</f>
        <v>7.0557612143904596</v>
      </c>
      <c r="C1818">
        <v>19178</v>
      </c>
      <c r="D1818" t="s">
        <v>4571</v>
      </c>
      <c r="E1818">
        <v>31948</v>
      </c>
      <c r="F1818" t="s">
        <v>873</v>
      </c>
      <c r="G1818">
        <v>319</v>
      </c>
      <c r="H1818" t="s">
        <v>68</v>
      </c>
      <c r="I1818">
        <v>3</v>
      </c>
      <c r="J1818" t="s">
        <v>50</v>
      </c>
    </row>
    <row r="1819" spans="1:10" x14ac:dyDescent="0.25">
      <c r="A1819" t="s">
        <v>7355</v>
      </c>
      <c r="B1819">
        <f>47401.94541175*(1/100/100)</f>
        <v>4.7401945411749997</v>
      </c>
      <c r="C1819">
        <v>19179</v>
      </c>
      <c r="D1819" t="s">
        <v>4496</v>
      </c>
      <c r="E1819">
        <v>31930</v>
      </c>
      <c r="F1819" t="s">
        <v>862</v>
      </c>
      <c r="G1819">
        <v>319</v>
      </c>
      <c r="H1819" t="s">
        <v>68</v>
      </c>
      <c r="I1819">
        <v>3</v>
      </c>
      <c r="J1819" t="s">
        <v>50</v>
      </c>
    </row>
    <row r="1820" spans="1:10" x14ac:dyDescent="0.25">
      <c r="A1820" t="s">
        <v>7355</v>
      </c>
      <c r="B1820">
        <f>95944.0879122511*(1/100/100)</f>
        <v>9.5944087912251099</v>
      </c>
      <c r="C1820">
        <v>19180</v>
      </c>
      <c r="D1820" t="s">
        <v>4546</v>
      </c>
      <c r="E1820">
        <v>31943</v>
      </c>
      <c r="F1820" t="s">
        <v>869</v>
      </c>
      <c r="G1820">
        <v>319</v>
      </c>
      <c r="H1820" t="s">
        <v>68</v>
      </c>
      <c r="I1820">
        <v>3</v>
      </c>
      <c r="J1820" t="s">
        <v>50</v>
      </c>
    </row>
    <row r="1821" spans="1:10" x14ac:dyDescent="0.25">
      <c r="A1821" t="s">
        <v>7355</v>
      </c>
      <c r="B1821">
        <f>28381.1662878913*(1/100/100)</f>
        <v>2.8381166287891304</v>
      </c>
      <c r="C1821">
        <v>19181</v>
      </c>
      <c r="D1821" t="s">
        <v>4407</v>
      </c>
      <c r="E1821">
        <v>31915</v>
      </c>
      <c r="F1821" t="s">
        <v>848</v>
      </c>
      <c r="G1821">
        <v>319</v>
      </c>
      <c r="H1821" t="s">
        <v>68</v>
      </c>
      <c r="I1821">
        <v>3</v>
      </c>
      <c r="J1821" t="s">
        <v>50</v>
      </c>
    </row>
    <row r="1822" spans="1:10" x14ac:dyDescent="0.25">
      <c r="A1822" t="s">
        <v>7355</v>
      </c>
      <c r="B1822">
        <f>10271.3138749858*(1/100/100)</f>
        <v>1.0271313874985801</v>
      </c>
      <c r="C1822">
        <v>19182</v>
      </c>
      <c r="D1822" t="s">
        <v>4555</v>
      </c>
      <c r="E1822">
        <v>31946</v>
      </c>
      <c r="F1822" t="s">
        <v>4552</v>
      </c>
      <c r="G1822">
        <v>319</v>
      </c>
      <c r="H1822" t="s">
        <v>68</v>
      </c>
      <c r="I1822">
        <v>3</v>
      </c>
      <c r="J1822" t="s">
        <v>50</v>
      </c>
    </row>
    <row r="1823" spans="1:10" x14ac:dyDescent="0.25">
      <c r="A1823" t="s">
        <v>7355</v>
      </c>
      <c r="B1823">
        <f>41811.3139664516*(1/100/100)</f>
        <v>4.18113139664516</v>
      </c>
      <c r="C1823">
        <v>19183</v>
      </c>
      <c r="D1823" t="s">
        <v>4556</v>
      </c>
      <c r="E1823">
        <v>31946</v>
      </c>
      <c r="F1823" t="s">
        <v>4552</v>
      </c>
      <c r="G1823">
        <v>319</v>
      </c>
      <c r="H1823" t="s">
        <v>68</v>
      </c>
      <c r="I1823">
        <v>3</v>
      </c>
      <c r="J1823" t="s">
        <v>50</v>
      </c>
    </row>
    <row r="1824" spans="1:10" x14ac:dyDescent="0.25">
      <c r="A1824" t="s">
        <v>7355</v>
      </c>
      <c r="B1824">
        <f>7848.16402389601*(1/100/100)</f>
        <v>0.78481640238960104</v>
      </c>
      <c r="C1824">
        <v>19184</v>
      </c>
      <c r="D1824" t="s">
        <v>4557</v>
      </c>
      <c r="E1824">
        <v>31946</v>
      </c>
      <c r="F1824" t="s">
        <v>4552</v>
      </c>
      <c r="G1824">
        <v>319</v>
      </c>
      <c r="H1824" t="s">
        <v>68</v>
      </c>
      <c r="I1824">
        <v>3</v>
      </c>
      <c r="J1824" t="s">
        <v>50</v>
      </c>
    </row>
    <row r="1825" spans="1:10" x14ac:dyDescent="0.25">
      <c r="A1825" t="s">
        <v>7355</v>
      </c>
      <c r="B1825">
        <f>10496.5165386992*(1/100/100)</f>
        <v>1.0496516538699201</v>
      </c>
      <c r="C1825">
        <v>19185</v>
      </c>
      <c r="D1825" t="s">
        <v>2824</v>
      </c>
      <c r="E1825">
        <v>31946</v>
      </c>
      <c r="F1825" t="s">
        <v>4552</v>
      </c>
      <c r="G1825">
        <v>319</v>
      </c>
      <c r="H1825" t="s">
        <v>68</v>
      </c>
      <c r="I1825">
        <v>3</v>
      </c>
      <c r="J1825" t="s">
        <v>50</v>
      </c>
    </row>
    <row r="1826" spans="1:10" x14ac:dyDescent="0.25">
      <c r="A1826" t="s">
        <v>7355</v>
      </c>
      <c r="B1826">
        <f>28322.9219817799*(1/100/100)</f>
        <v>2.8322921981779898</v>
      </c>
      <c r="C1826">
        <v>19201</v>
      </c>
      <c r="D1826" t="s">
        <v>4360</v>
      </c>
      <c r="E1826">
        <v>31909</v>
      </c>
      <c r="F1826" t="s">
        <v>843</v>
      </c>
      <c r="G1826">
        <v>319</v>
      </c>
      <c r="H1826" t="s">
        <v>68</v>
      </c>
      <c r="I1826">
        <v>3</v>
      </c>
      <c r="J1826" t="s">
        <v>50</v>
      </c>
    </row>
    <row r="1827" spans="1:10" x14ac:dyDescent="0.25">
      <c r="A1827" t="s">
        <v>7355</v>
      </c>
      <c r="B1827">
        <f>248204.533173727*(1/100/100)</f>
        <v>24.820453317372699</v>
      </c>
      <c r="C1827">
        <v>19202</v>
      </c>
      <c r="D1827" t="s">
        <v>841</v>
      </c>
      <c r="E1827">
        <v>31906</v>
      </c>
      <c r="F1827" t="s">
        <v>841</v>
      </c>
      <c r="G1827">
        <v>319</v>
      </c>
      <c r="H1827" t="s">
        <v>68</v>
      </c>
      <c r="I1827">
        <v>3</v>
      </c>
      <c r="J1827" t="s">
        <v>50</v>
      </c>
    </row>
    <row r="1828" spans="1:10" x14ac:dyDescent="0.25">
      <c r="A1828" t="s">
        <v>7355</v>
      </c>
      <c r="B1828">
        <f>37306.3216267552*(1/100/100)</f>
        <v>3.7306321626755201</v>
      </c>
      <c r="C1828">
        <v>19203</v>
      </c>
      <c r="D1828" t="s">
        <v>4361</v>
      </c>
      <c r="E1828">
        <v>31909</v>
      </c>
      <c r="F1828" t="s">
        <v>843</v>
      </c>
      <c r="G1828">
        <v>319</v>
      </c>
      <c r="H1828" t="s">
        <v>68</v>
      </c>
      <c r="I1828">
        <v>3</v>
      </c>
      <c r="J1828" t="s">
        <v>50</v>
      </c>
    </row>
    <row r="1829" spans="1:10" x14ac:dyDescent="0.25">
      <c r="A1829" t="s">
        <v>7355</v>
      </c>
      <c r="B1829">
        <f>76274.4871298013*(1/100/100)</f>
        <v>7.6274487129801303</v>
      </c>
      <c r="C1829">
        <v>19204</v>
      </c>
      <c r="D1829" t="s">
        <v>4362</v>
      </c>
      <c r="E1829">
        <v>31909</v>
      </c>
      <c r="F1829" t="s">
        <v>843</v>
      </c>
      <c r="G1829">
        <v>319</v>
      </c>
      <c r="H1829" t="s">
        <v>68</v>
      </c>
      <c r="I1829">
        <v>3</v>
      </c>
      <c r="J1829" t="s">
        <v>50</v>
      </c>
    </row>
    <row r="1830" spans="1:10" x14ac:dyDescent="0.25">
      <c r="A1830" t="s">
        <v>7355</v>
      </c>
      <c r="B1830">
        <f>82324.9694705516*(1/100/100)</f>
        <v>8.2324969470551608</v>
      </c>
      <c r="C1830">
        <v>19205</v>
      </c>
      <c r="D1830" t="s">
        <v>4363</v>
      </c>
      <c r="E1830">
        <v>31909</v>
      </c>
      <c r="F1830" t="s">
        <v>843</v>
      </c>
      <c r="G1830">
        <v>319</v>
      </c>
      <c r="H1830" t="s">
        <v>68</v>
      </c>
      <c r="I1830">
        <v>3</v>
      </c>
      <c r="J1830" t="s">
        <v>50</v>
      </c>
    </row>
    <row r="1831" spans="1:10" x14ac:dyDescent="0.25">
      <c r="A1831" t="s">
        <v>7355</v>
      </c>
      <c r="B1831">
        <f>32460.8786446145*(1/100/100)</f>
        <v>3.2460878644614501</v>
      </c>
      <c r="C1831">
        <v>19206</v>
      </c>
      <c r="D1831" t="s">
        <v>4364</v>
      </c>
      <c r="E1831">
        <v>31909</v>
      </c>
      <c r="F1831" t="s">
        <v>843</v>
      </c>
      <c r="G1831">
        <v>319</v>
      </c>
      <c r="H1831" t="s">
        <v>68</v>
      </c>
      <c r="I1831">
        <v>3</v>
      </c>
      <c r="J1831" t="s">
        <v>50</v>
      </c>
    </row>
    <row r="1832" spans="1:10" x14ac:dyDescent="0.25">
      <c r="A1832" t="s">
        <v>7355</v>
      </c>
      <c r="B1832">
        <f>398177.354169562*(1/100/100)</f>
        <v>39.817735416956204</v>
      </c>
      <c r="C1832">
        <v>19207</v>
      </c>
      <c r="D1832" t="s">
        <v>851</v>
      </c>
      <c r="E1832">
        <v>31918</v>
      </c>
      <c r="F1832" t="s">
        <v>851</v>
      </c>
      <c r="G1832">
        <v>319</v>
      </c>
      <c r="H1832" t="s">
        <v>68</v>
      </c>
      <c r="I1832">
        <v>3</v>
      </c>
      <c r="J1832" t="s">
        <v>50</v>
      </c>
    </row>
    <row r="1833" spans="1:10" x14ac:dyDescent="0.25">
      <c r="A1833" t="s">
        <v>7355</v>
      </c>
      <c r="B1833">
        <f>94993.5579105177*(1/100/100)</f>
        <v>9.4993557910517712</v>
      </c>
      <c r="C1833">
        <v>19208</v>
      </c>
      <c r="D1833" t="s">
        <v>853</v>
      </c>
      <c r="E1833">
        <v>31920</v>
      </c>
      <c r="F1833" t="s">
        <v>853</v>
      </c>
      <c r="G1833">
        <v>319</v>
      </c>
      <c r="H1833" t="s">
        <v>68</v>
      </c>
      <c r="I1833">
        <v>3</v>
      </c>
      <c r="J1833" t="s">
        <v>50</v>
      </c>
    </row>
    <row r="1834" spans="1:10" x14ac:dyDescent="0.25">
      <c r="A1834" t="s">
        <v>7355</v>
      </c>
      <c r="B1834">
        <f>49247.9076195918*(1/100/100)</f>
        <v>4.9247907619591809</v>
      </c>
      <c r="C1834">
        <v>19209</v>
      </c>
      <c r="D1834" t="s">
        <v>4365</v>
      </c>
      <c r="E1834">
        <v>31909</v>
      </c>
      <c r="F1834" t="s">
        <v>843</v>
      </c>
      <c r="G1834">
        <v>319</v>
      </c>
      <c r="H1834" t="s">
        <v>68</v>
      </c>
      <c r="I1834">
        <v>3</v>
      </c>
      <c r="J1834" t="s">
        <v>50</v>
      </c>
    </row>
    <row r="1835" spans="1:10" x14ac:dyDescent="0.25">
      <c r="A1835" t="s">
        <v>7355</v>
      </c>
      <c r="B1835">
        <f>22857.1361889493*(1/100/100)</f>
        <v>2.2857136188949299</v>
      </c>
      <c r="C1835">
        <v>19210</v>
      </c>
      <c r="D1835" t="s">
        <v>4366</v>
      </c>
      <c r="E1835">
        <v>31909</v>
      </c>
      <c r="F1835" t="s">
        <v>843</v>
      </c>
      <c r="G1835">
        <v>319</v>
      </c>
      <c r="H1835" t="s">
        <v>68</v>
      </c>
      <c r="I1835">
        <v>3</v>
      </c>
      <c r="J1835" t="s">
        <v>50</v>
      </c>
    </row>
    <row r="1836" spans="1:10" x14ac:dyDescent="0.25">
      <c r="A1836" t="s">
        <v>7355</v>
      </c>
      <c r="B1836">
        <f>19009.2031933932*(1/100/100)</f>
        <v>1.9009203193393203</v>
      </c>
      <c r="C1836">
        <v>19211</v>
      </c>
      <c r="D1836" t="s">
        <v>4367</v>
      </c>
      <c r="E1836">
        <v>31909</v>
      </c>
      <c r="F1836" t="s">
        <v>843</v>
      </c>
      <c r="G1836">
        <v>319</v>
      </c>
      <c r="H1836" t="s">
        <v>68</v>
      </c>
      <c r="I1836">
        <v>3</v>
      </c>
      <c r="J1836" t="s">
        <v>50</v>
      </c>
    </row>
    <row r="1837" spans="1:10" x14ac:dyDescent="0.25">
      <c r="A1837" t="s">
        <v>7355</v>
      </c>
      <c r="B1837">
        <f>275479.736541378*(1/100/100)</f>
        <v>27.547973654137802</v>
      </c>
      <c r="C1837">
        <v>19212</v>
      </c>
      <c r="D1837" t="s">
        <v>2795</v>
      </c>
      <c r="E1837">
        <v>31935</v>
      </c>
      <c r="F1837" t="s">
        <v>865</v>
      </c>
      <c r="G1837">
        <v>319</v>
      </c>
      <c r="H1837" t="s">
        <v>68</v>
      </c>
      <c r="I1837">
        <v>3</v>
      </c>
      <c r="J1837" t="s">
        <v>50</v>
      </c>
    </row>
    <row r="1838" spans="1:10" x14ac:dyDescent="0.25">
      <c r="A1838" t="s">
        <v>7355</v>
      </c>
      <c r="B1838">
        <f>65035.0275489711*(1/100/100)</f>
        <v>6.5035027548971103</v>
      </c>
      <c r="C1838">
        <v>19213</v>
      </c>
      <c r="D1838" t="s">
        <v>954</v>
      </c>
      <c r="E1838">
        <v>31939</v>
      </c>
      <c r="F1838" t="s">
        <v>866</v>
      </c>
      <c r="G1838">
        <v>319</v>
      </c>
      <c r="H1838" t="s">
        <v>68</v>
      </c>
      <c r="I1838">
        <v>3</v>
      </c>
      <c r="J1838" t="s">
        <v>50</v>
      </c>
    </row>
    <row r="1839" spans="1:10" x14ac:dyDescent="0.25">
      <c r="A1839" t="s">
        <v>7355</v>
      </c>
      <c r="B1839">
        <f>44470.418761716*(1/100/100)</f>
        <v>4.4470418761715997</v>
      </c>
      <c r="C1839">
        <v>19301</v>
      </c>
      <c r="D1839" t="s">
        <v>3887</v>
      </c>
      <c r="E1839">
        <v>31411</v>
      </c>
      <c r="F1839" t="s">
        <v>3887</v>
      </c>
      <c r="G1839">
        <v>314</v>
      </c>
      <c r="H1839" t="s">
        <v>63</v>
      </c>
      <c r="I1839">
        <v>3</v>
      </c>
      <c r="J1839" t="s">
        <v>50</v>
      </c>
    </row>
    <row r="1840" spans="1:10" x14ac:dyDescent="0.25">
      <c r="A1840" t="s">
        <v>7355</v>
      </c>
      <c r="B1840">
        <f>39327.2879512073*(1/100/100)</f>
        <v>3.9327287951207301</v>
      </c>
      <c r="C1840">
        <v>19302</v>
      </c>
      <c r="D1840" t="s">
        <v>3847</v>
      </c>
      <c r="E1840">
        <v>31401</v>
      </c>
      <c r="F1840" t="s">
        <v>697</v>
      </c>
      <c r="G1840">
        <v>314</v>
      </c>
      <c r="H1840" t="s">
        <v>63</v>
      </c>
      <c r="I1840">
        <v>3</v>
      </c>
      <c r="J1840" t="s">
        <v>50</v>
      </c>
    </row>
    <row r="1841" spans="1:10" x14ac:dyDescent="0.25">
      <c r="A1841" t="s">
        <v>7355</v>
      </c>
      <c r="B1841">
        <f>20330.3449615652*(1/100/100)</f>
        <v>2.0330344961565201</v>
      </c>
      <c r="C1841">
        <v>19303</v>
      </c>
      <c r="D1841" t="s">
        <v>3907</v>
      </c>
      <c r="E1841">
        <v>31414</v>
      </c>
      <c r="F1841" t="s">
        <v>707</v>
      </c>
      <c r="G1841">
        <v>314</v>
      </c>
      <c r="H1841" t="s">
        <v>63</v>
      </c>
      <c r="I1841">
        <v>3</v>
      </c>
      <c r="J1841" t="s">
        <v>50</v>
      </c>
    </row>
    <row r="1842" spans="1:10" x14ac:dyDescent="0.25">
      <c r="A1842" t="s">
        <v>7355</v>
      </c>
      <c r="B1842">
        <f>44357.5578393186*(1/100/100)</f>
        <v>4.4357557839318602</v>
      </c>
      <c r="C1842">
        <v>19304</v>
      </c>
      <c r="D1842" t="s">
        <v>2229</v>
      </c>
      <c r="E1842">
        <v>31407</v>
      </c>
      <c r="F1842" t="s">
        <v>63</v>
      </c>
      <c r="G1842">
        <v>314</v>
      </c>
      <c r="H1842" t="s">
        <v>63</v>
      </c>
      <c r="I1842">
        <v>3</v>
      </c>
      <c r="J1842" t="s">
        <v>50</v>
      </c>
    </row>
    <row r="1843" spans="1:10" x14ac:dyDescent="0.25">
      <c r="A1843" t="s">
        <v>7355</v>
      </c>
      <c r="B1843">
        <f>12813.8325117665*(1/100/100)</f>
        <v>1.2813832511766501</v>
      </c>
      <c r="C1843">
        <v>19305</v>
      </c>
      <c r="D1843" t="s">
        <v>3867</v>
      </c>
      <c r="E1843">
        <v>31407</v>
      </c>
      <c r="F1843" t="s">
        <v>63</v>
      </c>
      <c r="G1843">
        <v>314</v>
      </c>
      <c r="H1843" t="s">
        <v>63</v>
      </c>
      <c r="I1843">
        <v>3</v>
      </c>
      <c r="J1843" t="s">
        <v>50</v>
      </c>
    </row>
    <row r="1844" spans="1:10" x14ac:dyDescent="0.25">
      <c r="A1844" t="s">
        <v>7355</v>
      </c>
      <c r="B1844">
        <f>2708.73790598186*(1/100/100)</f>
        <v>0.270873790598186</v>
      </c>
      <c r="C1844">
        <v>19306</v>
      </c>
      <c r="D1844" t="s">
        <v>3868</v>
      </c>
      <c r="E1844">
        <v>31407</v>
      </c>
      <c r="F1844" t="s">
        <v>63</v>
      </c>
      <c r="G1844">
        <v>314</v>
      </c>
      <c r="H1844" t="s">
        <v>63</v>
      </c>
      <c r="I1844">
        <v>3</v>
      </c>
      <c r="J1844" t="s">
        <v>50</v>
      </c>
    </row>
    <row r="1845" spans="1:10" x14ac:dyDescent="0.25">
      <c r="A1845" t="s">
        <v>7355</v>
      </c>
      <c r="B1845">
        <f>130597.329679703*(1/100/100)</f>
        <v>13.059732967970302</v>
      </c>
      <c r="C1845">
        <v>19307</v>
      </c>
      <c r="D1845" t="s">
        <v>698</v>
      </c>
      <c r="E1845">
        <v>31402</v>
      </c>
      <c r="F1845" t="s">
        <v>698</v>
      </c>
      <c r="G1845">
        <v>314</v>
      </c>
      <c r="H1845" t="s">
        <v>63</v>
      </c>
      <c r="I1845">
        <v>3</v>
      </c>
      <c r="J1845" t="s">
        <v>50</v>
      </c>
    </row>
    <row r="1846" spans="1:10" x14ac:dyDescent="0.25">
      <c r="A1846" t="s">
        <v>7355</v>
      </c>
      <c r="B1846">
        <f>20272.9181036387*(1/100/100)</f>
        <v>2.0272918103638702</v>
      </c>
      <c r="C1846">
        <v>19308</v>
      </c>
      <c r="D1846" t="s">
        <v>3908</v>
      </c>
      <c r="E1846">
        <v>31414</v>
      </c>
      <c r="F1846" t="s">
        <v>707</v>
      </c>
      <c r="G1846">
        <v>314</v>
      </c>
      <c r="H1846" t="s">
        <v>63</v>
      </c>
      <c r="I1846">
        <v>3</v>
      </c>
      <c r="J1846" t="s">
        <v>50</v>
      </c>
    </row>
    <row r="1847" spans="1:10" x14ac:dyDescent="0.25">
      <c r="A1847" t="s">
        <v>7355</v>
      </c>
      <c r="B1847">
        <f>75459.5903339477*(1/100/100)</f>
        <v>7.5459590333947695</v>
      </c>
      <c r="C1847">
        <v>19309</v>
      </c>
      <c r="D1847" t="s">
        <v>3859</v>
      </c>
      <c r="E1847">
        <v>31404</v>
      </c>
      <c r="F1847" t="s">
        <v>700</v>
      </c>
      <c r="G1847">
        <v>314</v>
      </c>
      <c r="H1847" t="s">
        <v>63</v>
      </c>
      <c r="I1847">
        <v>3</v>
      </c>
      <c r="J1847" t="s">
        <v>50</v>
      </c>
    </row>
    <row r="1848" spans="1:10" x14ac:dyDescent="0.25">
      <c r="A1848" t="s">
        <v>7355</v>
      </c>
      <c r="B1848">
        <f>38461.1730713578*(1/100/100)</f>
        <v>3.8461173071357804</v>
      </c>
      <c r="C1848">
        <v>19310</v>
      </c>
      <c r="D1848" t="s">
        <v>3888</v>
      </c>
      <c r="E1848">
        <v>31411</v>
      </c>
      <c r="F1848" t="s">
        <v>3887</v>
      </c>
      <c r="G1848">
        <v>314</v>
      </c>
      <c r="H1848" t="s">
        <v>63</v>
      </c>
      <c r="I1848">
        <v>3</v>
      </c>
      <c r="J1848" t="s">
        <v>50</v>
      </c>
    </row>
    <row r="1849" spans="1:10" x14ac:dyDescent="0.25">
      <c r="A1849" t="s">
        <v>7355</v>
      </c>
      <c r="B1849">
        <f>116591.420514191*(1/100/100)</f>
        <v>11.659142051419101</v>
      </c>
      <c r="C1849">
        <v>19311</v>
      </c>
      <c r="D1849" t="s">
        <v>700</v>
      </c>
      <c r="E1849">
        <v>31404</v>
      </c>
      <c r="F1849" t="s">
        <v>700</v>
      </c>
      <c r="G1849">
        <v>314</v>
      </c>
      <c r="H1849" t="s">
        <v>63</v>
      </c>
      <c r="I1849">
        <v>3</v>
      </c>
      <c r="J1849" t="s">
        <v>50</v>
      </c>
    </row>
    <row r="1850" spans="1:10" x14ac:dyDescent="0.25">
      <c r="A1850" t="s">
        <v>7355</v>
      </c>
      <c r="B1850">
        <f>21057.0037130368*(1/100/100)</f>
        <v>2.1057003713036799</v>
      </c>
      <c r="C1850">
        <v>19312</v>
      </c>
      <c r="D1850" t="s">
        <v>3874</v>
      </c>
      <c r="E1850">
        <v>31408</v>
      </c>
      <c r="F1850" t="s">
        <v>703</v>
      </c>
      <c r="G1850">
        <v>314</v>
      </c>
      <c r="H1850" t="s">
        <v>63</v>
      </c>
      <c r="I1850">
        <v>3</v>
      </c>
      <c r="J1850" t="s">
        <v>50</v>
      </c>
    </row>
    <row r="1851" spans="1:10" x14ac:dyDescent="0.25">
      <c r="A1851" t="s">
        <v>7355</v>
      </c>
      <c r="B1851">
        <f>11605.6405828575*(1/100/100)</f>
        <v>1.1605640582857502</v>
      </c>
      <c r="C1851">
        <v>19313</v>
      </c>
      <c r="D1851" t="s">
        <v>3869</v>
      </c>
      <c r="E1851">
        <v>31407</v>
      </c>
      <c r="F1851" t="s">
        <v>63</v>
      </c>
      <c r="G1851">
        <v>314</v>
      </c>
      <c r="H1851" t="s">
        <v>63</v>
      </c>
      <c r="I1851">
        <v>3</v>
      </c>
      <c r="J1851" t="s">
        <v>50</v>
      </c>
    </row>
    <row r="1852" spans="1:10" x14ac:dyDescent="0.25">
      <c r="A1852" t="s">
        <v>7355</v>
      </c>
      <c r="B1852">
        <f>53094.9433614625*(1/100/100)</f>
        <v>5.3094943361462503</v>
      </c>
      <c r="C1852">
        <v>19314</v>
      </c>
      <c r="D1852" t="s">
        <v>3889</v>
      </c>
      <c r="E1852">
        <v>31411</v>
      </c>
      <c r="F1852" t="s">
        <v>3887</v>
      </c>
      <c r="G1852">
        <v>314</v>
      </c>
      <c r="H1852" t="s">
        <v>63</v>
      </c>
      <c r="I1852">
        <v>3</v>
      </c>
      <c r="J1852" t="s">
        <v>50</v>
      </c>
    </row>
    <row r="1853" spans="1:10" x14ac:dyDescent="0.25">
      <c r="A1853" t="s">
        <v>7355</v>
      </c>
      <c r="B1853">
        <f>32346.8967315463*(1/100/100)</f>
        <v>3.2346896731546302</v>
      </c>
      <c r="C1853">
        <v>19315</v>
      </c>
      <c r="D1853" t="s">
        <v>3848</v>
      </c>
      <c r="E1853">
        <v>31401</v>
      </c>
      <c r="F1853" t="s">
        <v>697</v>
      </c>
      <c r="G1853">
        <v>314</v>
      </c>
      <c r="H1853" t="s">
        <v>63</v>
      </c>
      <c r="I1853">
        <v>3</v>
      </c>
      <c r="J1853" t="s">
        <v>50</v>
      </c>
    </row>
    <row r="1854" spans="1:10" x14ac:dyDescent="0.25">
      <c r="A1854" t="s">
        <v>7355</v>
      </c>
      <c r="B1854">
        <f>25704.5395363198*(1/100/100)</f>
        <v>2.5704539536319801</v>
      </c>
      <c r="C1854">
        <v>19316</v>
      </c>
      <c r="D1854" t="s">
        <v>3849</v>
      </c>
      <c r="E1854">
        <v>31401</v>
      </c>
      <c r="F1854" t="s">
        <v>697</v>
      </c>
      <c r="G1854">
        <v>314</v>
      </c>
      <c r="H1854" t="s">
        <v>63</v>
      </c>
      <c r="I1854">
        <v>3</v>
      </c>
      <c r="J1854" t="s">
        <v>50</v>
      </c>
    </row>
    <row r="1855" spans="1:10" x14ac:dyDescent="0.25">
      <c r="A1855" t="s">
        <v>7355</v>
      </c>
      <c r="B1855">
        <f>42331.7282194015*(1/100/100)</f>
        <v>4.2331728219401503</v>
      </c>
      <c r="C1855">
        <v>19317</v>
      </c>
      <c r="D1855" t="s">
        <v>3909</v>
      </c>
      <c r="E1855">
        <v>31414</v>
      </c>
      <c r="F1855" t="s">
        <v>707</v>
      </c>
      <c r="G1855">
        <v>314</v>
      </c>
      <c r="H1855" t="s">
        <v>63</v>
      </c>
      <c r="I1855">
        <v>3</v>
      </c>
      <c r="J1855" t="s">
        <v>50</v>
      </c>
    </row>
    <row r="1856" spans="1:10" x14ac:dyDescent="0.25">
      <c r="A1856" t="s">
        <v>7355</v>
      </c>
      <c r="B1856">
        <f>57662.0536138011*(1/100/100)</f>
        <v>5.7662053613801101</v>
      </c>
      <c r="C1856">
        <v>19318</v>
      </c>
      <c r="D1856" t="s">
        <v>63</v>
      </c>
      <c r="E1856">
        <v>31407</v>
      </c>
      <c r="F1856" t="s">
        <v>63</v>
      </c>
      <c r="G1856">
        <v>314</v>
      </c>
      <c r="H1856" t="s">
        <v>63</v>
      </c>
      <c r="I1856">
        <v>3</v>
      </c>
      <c r="J1856" t="s">
        <v>50</v>
      </c>
    </row>
    <row r="1857" spans="1:10" x14ac:dyDescent="0.25">
      <c r="A1857" t="s">
        <v>7355</v>
      </c>
      <c r="B1857">
        <f>87353.3206255878*(1/100/100)</f>
        <v>8.7353320625587809</v>
      </c>
      <c r="C1857">
        <v>19319</v>
      </c>
      <c r="D1857" t="s">
        <v>3870</v>
      </c>
      <c r="E1857">
        <v>31407</v>
      </c>
      <c r="F1857" t="s">
        <v>63</v>
      </c>
      <c r="G1857">
        <v>314</v>
      </c>
      <c r="H1857" t="s">
        <v>63</v>
      </c>
      <c r="I1857">
        <v>3</v>
      </c>
      <c r="J1857" t="s">
        <v>50</v>
      </c>
    </row>
    <row r="1858" spans="1:10" x14ac:dyDescent="0.25">
      <c r="A1858" t="s">
        <v>7355</v>
      </c>
      <c r="B1858">
        <f>34878.2939107412*(1/100/100)</f>
        <v>3.4878293910741203</v>
      </c>
      <c r="C1858">
        <v>19320</v>
      </c>
      <c r="D1858" t="s">
        <v>3890</v>
      </c>
      <c r="E1858">
        <v>31411</v>
      </c>
      <c r="F1858" t="s">
        <v>3887</v>
      </c>
      <c r="G1858">
        <v>314</v>
      </c>
      <c r="H1858" t="s">
        <v>63</v>
      </c>
      <c r="I1858">
        <v>3</v>
      </c>
      <c r="J1858" t="s">
        <v>50</v>
      </c>
    </row>
    <row r="1859" spans="1:10" x14ac:dyDescent="0.25">
      <c r="A1859" t="s">
        <v>7355</v>
      </c>
      <c r="B1859">
        <f>62192.3706460663*(1/100/100)</f>
        <v>6.2192370646066308</v>
      </c>
      <c r="C1859">
        <v>19321</v>
      </c>
      <c r="D1859" t="s">
        <v>3875</v>
      </c>
      <c r="E1859">
        <v>31408</v>
      </c>
      <c r="F1859" t="s">
        <v>703</v>
      </c>
      <c r="G1859">
        <v>314</v>
      </c>
      <c r="H1859" t="s">
        <v>63</v>
      </c>
      <c r="I1859">
        <v>3</v>
      </c>
      <c r="J1859" t="s">
        <v>50</v>
      </c>
    </row>
    <row r="1860" spans="1:10" x14ac:dyDescent="0.25">
      <c r="A1860" t="s">
        <v>7355</v>
      </c>
      <c r="B1860">
        <f>7787.88847734199*(1/100/100)</f>
        <v>0.7787888477341991</v>
      </c>
      <c r="C1860">
        <v>19322</v>
      </c>
      <c r="D1860" t="s">
        <v>3910</v>
      </c>
      <c r="E1860">
        <v>31414</v>
      </c>
      <c r="F1860" t="s">
        <v>707</v>
      </c>
      <c r="G1860">
        <v>314</v>
      </c>
      <c r="H1860" t="s">
        <v>63</v>
      </c>
      <c r="I1860">
        <v>3</v>
      </c>
      <c r="J1860" t="s">
        <v>50</v>
      </c>
    </row>
    <row r="1861" spans="1:10" x14ac:dyDescent="0.25">
      <c r="A1861" t="s">
        <v>7355</v>
      </c>
      <c r="B1861">
        <f>18543.2348269038*(1/100/100)</f>
        <v>1.8543234826903803</v>
      </c>
      <c r="C1861">
        <v>19323</v>
      </c>
      <c r="D1861" t="s">
        <v>3911</v>
      </c>
      <c r="E1861">
        <v>31414</v>
      </c>
      <c r="F1861" t="s">
        <v>707</v>
      </c>
      <c r="G1861">
        <v>314</v>
      </c>
      <c r="H1861" t="s">
        <v>63</v>
      </c>
      <c r="I1861">
        <v>3</v>
      </c>
      <c r="J1861" t="s">
        <v>50</v>
      </c>
    </row>
    <row r="1862" spans="1:10" x14ac:dyDescent="0.25">
      <c r="A1862" t="s">
        <v>7355</v>
      </c>
      <c r="B1862">
        <f>17217.1669590167*(1/100/100)</f>
        <v>1.7217166959016701</v>
      </c>
      <c r="C1862">
        <v>19324</v>
      </c>
      <c r="D1862" t="s">
        <v>3912</v>
      </c>
      <c r="E1862">
        <v>31414</v>
      </c>
      <c r="F1862" t="s">
        <v>707</v>
      </c>
      <c r="G1862">
        <v>314</v>
      </c>
      <c r="H1862" t="s">
        <v>63</v>
      </c>
      <c r="I1862">
        <v>3</v>
      </c>
      <c r="J1862" t="s">
        <v>50</v>
      </c>
    </row>
    <row r="1863" spans="1:10" x14ac:dyDescent="0.25">
      <c r="A1863" t="s">
        <v>7355</v>
      </c>
      <c r="B1863">
        <f>33780.2657537697*(1/100/100)</f>
        <v>3.3780265753769703</v>
      </c>
      <c r="C1863">
        <v>19325</v>
      </c>
      <c r="D1863" t="s">
        <v>3913</v>
      </c>
      <c r="E1863">
        <v>31414</v>
      </c>
      <c r="F1863" t="s">
        <v>707</v>
      </c>
      <c r="G1863">
        <v>314</v>
      </c>
      <c r="H1863" t="s">
        <v>63</v>
      </c>
      <c r="I1863">
        <v>3</v>
      </c>
      <c r="J1863" t="s">
        <v>50</v>
      </c>
    </row>
    <row r="1864" spans="1:10" x14ac:dyDescent="0.25">
      <c r="A1864" t="s">
        <v>7355</v>
      </c>
      <c r="B1864">
        <f>48776.4588241273*(1/100/100)</f>
        <v>4.8776458824127307</v>
      </c>
      <c r="C1864">
        <v>19326</v>
      </c>
      <c r="D1864" t="s">
        <v>3871</v>
      </c>
      <c r="E1864">
        <v>31407</v>
      </c>
      <c r="F1864" t="s">
        <v>63</v>
      </c>
      <c r="G1864">
        <v>314</v>
      </c>
      <c r="H1864" t="s">
        <v>63</v>
      </c>
      <c r="I1864">
        <v>3</v>
      </c>
      <c r="J1864" t="s">
        <v>50</v>
      </c>
    </row>
    <row r="1865" spans="1:10" x14ac:dyDescent="0.25">
      <c r="A1865" t="s">
        <v>7355</v>
      </c>
      <c r="B1865">
        <f>40721.606828966*(1/100/100)</f>
        <v>4.0721606828966008</v>
      </c>
      <c r="C1865">
        <v>19327</v>
      </c>
      <c r="D1865" t="s">
        <v>3872</v>
      </c>
      <c r="E1865">
        <v>31407</v>
      </c>
      <c r="F1865" t="s">
        <v>63</v>
      </c>
      <c r="G1865">
        <v>314</v>
      </c>
      <c r="H1865" t="s">
        <v>63</v>
      </c>
      <c r="I1865">
        <v>3</v>
      </c>
      <c r="J1865" t="s">
        <v>50</v>
      </c>
    </row>
    <row r="1866" spans="1:10" x14ac:dyDescent="0.25">
      <c r="A1866" t="s">
        <v>7355</v>
      </c>
      <c r="B1866">
        <f>17892.8420099965*(1/100/100)</f>
        <v>1.7892842009996501</v>
      </c>
      <c r="C1866">
        <v>19328</v>
      </c>
      <c r="D1866" t="s">
        <v>3914</v>
      </c>
      <c r="E1866">
        <v>31414</v>
      </c>
      <c r="F1866" t="s">
        <v>707</v>
      </c>
      <c r="G1866">
        <v>314</v>
      </c>
      <c r="H1866" t="s">
        <v>63</v>
      </c>
      <c r="I1866">
        <v>3</v>
      </c>
      <c r="J1866" t="s">
        <v>50</v>
      </c>
    </row>
    <row r="1867" spans="1:10" x14ac:dyDescent="0.25">
      <c r="A1867" t="s">
        <v>7355</v>
      </c>
      <c r="B1867">
        <f>274707.739642997*(1/100/100)</f>
        <v>27.470773964299699</v>
      </c>
      <c r="C1867">
        <v>19329</v>
      </c>
      <c r="D1867" t="s">
        <v>706</v>
      </c>
      <c r="E1867">
        <v>31413</v>
      </c>
      <c r="F1867" t="s">
        <v>706</v>
      </c>
      <c r="G1867">
        <v>314</v>
      </c>
      <c r="H1867" t="s">
        <v>63</v>
      </c>
      <c r="I1867">
        <v>3</v>
      </c>
      <c r="J1867" t="s">
        <v>50</v>
      </c>
    </row>
    <row r="1868" spans="1:10" x14ac:dyDescent="0.25">
      <c r="A1868" t="s">
        <v>7355</v>
      </c>
      <c r="B1868">
        <f>14815.7089589911*(1/100/100)</f>
        <v>1.4815708958991101</v>
      </c>
      <c r="C1868">
        <v>19330</v>
      </c>
      <c r="D1868" t="s">
        <v>3915</v>
      </c>
      <c r="E1868">
        <v>31414</v>
      </c>
      <c r="F1868" t="s">
        <v>707</v>
      </c>
      <c r="G1868">
        <v>314</v>
      </c>
      <c r="H1868" t="s">
        <v>63</v>
      </c>
      <c r="I1868">
        <v>3</v>
      </c>
      <c r="J1868" t="s">
        <v>50</v>
      </c>
    </row>
    <row r="1869" spans="1:10" x14ac:dyDescent="0.25">
      <c r="A1869" t="s">
        <v>7355</v>
      </c>
      <c r="B1869">
        <f>83541.3465649647*(1/100/100)</f>
        <v>8.3541346564964698</v>
      </c>
      <c r="C1869">
        <v>19331</v>
      </c>
      <c r="D1869" t="s">
        <v>707</v>
      </c>
      <c r="E1869">
        <v>31414</v>
      </c>
      <c r="F1869" t="s">
        <v>707</v>
      </c>
      <c r="G1869">
        <v>314</v>
      </c>
      <c r="H1869" t="s">
        <v>63</v>
      </c>
      <c r="I1869">
        <v>3</v>
      </c>
      <c r="J1869" t="s">
        <v>50</v>
      </c>
    </row>
    <row r="1870" spans="1:10" x14ac:dyDescent="0.25">
      <c r="A1870" t="s">
        <v>7355</v>
      </c>
      <c r="B1870">
        <f>15590.1258646258*(1/100/100)</f>
        <v>1.5590125864625799</v>
      </c>
      <c r="C1870">
        <v>19332</v>
      </c>
      <c r="D1870" t="s">
        <v>3850</v>
      </c>
      <c r="E1870">
        <v>31401</v>
      </c>
      <c r="F1870" t="s">
        <v>697</v>
      </c>
      <c r="G1870">
        <v>314</v>
      </c>
      <c r="H1870" t="s">
        <v>63</v>
      </c>
      <c r="I1870">
        <v>3</v>
      </c>
      <c r="J1870" t="s">
        <v>50</v>
      </c>
    </row>
    <row r="1871" spans="1:10" x14ac:dyDescent="0.25">
      <c r="A1871" t="s">
        <v>7355</v>
      </c>
      <c r="B1871">
        <f>19450.6796653591*(1/100/100)</f>
        <v>1.9450679665359101</v>
      </c>
      <c r="C1871">
        <v>19333</v>
      </c>
      <c r="D1871" t="s">
        <v>3891</v>
      </c>
      <c r="E1871">
        <v>31411</v>
      </c>
      <c r="F1871" t="s">
        <v>3887</v>
      </c>
      <c r="G1871">
        <v>314</v>
      </c>
      <c r="H1871" t="s">
        <v>63</v>
      </c>
      <c r="I1871">
        <v>3</v>
      </c>
      <c r="J1871" t="s">
        <v>50</v>
      </c>
    </row>
    <row r="1872" spans="1:10" x14ac:dyDescent="0.25">
      <c r="A1872" t="s">
        <v>7355</v>
      </c>
      <c r="B1872">
        <f>22870.5133786009*(1/100/100)</f>
        <v>2.2870513378600901</v>
      </c>
      <c r="C1872">
        <v>19334</v>
      </c>
      <c r="D1872" t="s">
        <v>3851</v>
      </c>
      <c r="E1872">
        <v>31402</v>
      </c>
      <c r="F1872" t="s">
        <v>698</v>
      </c>
      <c r="G1872">
        <v>314</v>
      </c>
      <c r="H1872" t="s">
        <v>63</v>
      </c>
      <c r="I1872">
        <v>3</v>
      </c>
      <c r="J1872" t="s">
        <v>50</v>
      </c>
    </row>
    <row r="1873" spans="1:10" x14ac:dyDescent="0.25">
      <c r="A1873" t="s">
        <v>7355</v>
      </c>
      <c r="B1873">
        <f>16828.5347132916*(1/100/100)</f>
        <v>1.6828534713291601</v>
      </c>
      <c r="C1873">
        <v>19335</v>
      </c>
      <c r="D1873" t="s">
        <v>3916</v>
      </c>
      <c r="E1873">
        <v>31414</v>
      </c>
      <c r="F1873" t="s">
        <v>707</v>
      </c>
      <c r="G1873">
        <v>314</v>
      </c>
      <c r="H1873" t="s">
        <v>63</v>
      </c>
      <c r="I1873">
        <v>3</v>
      </c>
      <c r="J1873" t="s">
        <v>50</v>
      </c>
    </row>
    <row r="1874" spans="1:10" x14ac:dyDescent="0.25">
      <c r="A1874" t="s">
        <v>7355</v>
      </c>
      <c r="B1874">
        <f>104825.290914162*(1/100/100)</f>
        <v>10.4825290914162</v>
      </c>
      <c r="C1874">
        <v>19336</v>
      </c>
      <c r="D1874" t="s">
        <v>3892</v>
      </c>
      <c r="E1874">
        <v>31411</v>
      </c>
      <c r="F1874" t="s">
        <v>3887</v>
      </c>
      <c r="G1874">
        <v>314</v>
      </c>
      <c r="H1874" t="s">
        <v>63</v>
      </c>
      <c r="I1874">
        <v>3</v>
      </c>
      <c r="J1874" t="s">
        <v>50</v>
      </c>
    </row>
    <row r="1875" spans="1:10" x14ac:dyDescent="0.25">
      <c r="A1875" t="s">
        <v>7355</v>
      </c>
      <c r="B1875">
        <f>4958.22085963287*(1/100/100)</f>
        <v>0.49582208596328703</v>
      </c>
      <c r="C1875">
        <v>19337</v>
      </c>
      <c r="D1875" t="s">
        <v>3873</v>
      </c>
      <c r="E1875">
        <v>31407</v>
      </c>
      <c r="F1875" t="s">
        <v>63</v>
      </c>
      <c r="G1875">
        <v>314</v>
      </c>
      <c r="H1875" t="s">
        <v>63</v>
      </c>
      <c r="I1875">
        <v>3</v>
      </c>
      <c r="J1875" t="s">
        <v>50</v>
      </c>
    </row>
    <row r="1876" spans="1:10" x14ac:dyDescent="0.25">
      <c r="A1876" t="s">
        <v>7355</v>
      </c>
      <c r="B1876">
        <f>6939.81575394854*(1/100/100)</f>
        <v>0.69398157539485406</v>
      </c>
      <c r="C1876">
        <v>19338</v>
      </c>
      <c r="D1876" t="s">
        <v>3893</v>
      </c>
      <c r="E1876">
        <v>31411</v>
      </c>
      <c r="F1876" t="s">
        <v>3887</v>
      </c>
      <c r="G1876">
        <v>314</v>
      </c>
      <c r="H1876" t="s">
        <v>63</v>
      </c>
      <c r="I1876">
        <v>3</v>
      </c>
      <c r="J1876" t="s">
        <v>50</v>
      </c>
    </row>
    <row r="1877" spans="1:10" x14ac:dyDescent="0.25">
      <c r="A1877" t="s">
        <v>7355</v>
      </c>
      <c r="B1877">
        <f>11944.8933245274*(1/100/100)</f>
        <v>1.1944893324527401</v>
      </c>
      <c r="C1877">
        <v>19401</v>
      </c>
      <c r="D1877" t="s">
        <v>4497</v>
      </c>
      <c r="E1877">
        <v>31934</v>
      </c>
      <c r="F1877" t="s">
        <v>864</v>
      </c>
      <c r="G1877">
        <v>319</v>
      </c>
      <c r="H1877" t="s">
        <v>68</v>
      </c>
      <c r="I1877">
        <v>3</v>
      </c>
      <c r="J1877" t="s">
        <v>50</v>
      </c>
    </row>
    <row r="1878" spans="1:10" x14ac:dyDescent="0.25">
      <c r="A1878" t="s">
        <v>7355</v>
      </c>
      <c r="B1878">
        <f>27696.2111758984*(1/100/100)</f>
        <v>2.76962111758984</v>
      </c>
      <c r="C1878">
        <v>19402</v>
      </c>
      <c r="D1878" t="s">
        <v>4444</v>
      </c>
      <c r="E1878">
        <v>31925</v>
      </c>
      <c r="F1878" t="s">
        <v>857</v>
      </c>
      <c r="G1878">
        <v>319</v>
      </c>
      <c r="H1878" t="s">
        <v>68</v>
      </c>
      <c r="I1878">
        <v>3</v>
      </c>
      <c r="J1878" t="s">
        <v>50</v>
      </c>
    </row>
    <row r="1879" spans="1:10" x14ac:dyDescent="0.25">
      <c r="A1879" t="s">
        <v>7355</v>
      </c>
      <c r="B1879">
        <f>24002.5399339403*(1/100/100)</f>
        <v>2.4002539933940303</v>
      </c>
      <c r="C1879">
        <v>19403</v>
      </c>
      <c r="D1879" t="s">
        <v>632</v>
      </c>
      <c r="E1879">
        <v>31947</v>
      </c>
      <c r="F1879" t="s">
        <v>872</v>
      </c>
      <c r="G1879">
        <v>319</v>
      </c>
      <c r="H1879" t="s">
        <v>68</v>
      </c>
      <c r="I1879">
        <v>3</v>
      </c>
      <c r="J1879" t="s">
        <v>50</v>
      </c>
    </row>
    <row r="1880" spans="1:10" x14ac:dyDescent="0.25">
      <c r="A1880" t="s">
        <v>7355</v>
      </c>
      <c r="B1880">
        <f>18294.0453927625*(1/100/100)</f>
        <v>1.8294045392762499</v>
      </c>
      <c r="C1880">
        <v>19404</v>
      </c>
      <c r="D1880" t="s">
        <v>2920</v>
      </c>
      <c r="E1880">
        <v>30201</v>
      </c>
      <c r="F1880" t="s">
        <v>2921</v>
      </c>
      <c r="G1880">
        <v>302</v>
      </c>
      <c r="H1880" t="s">
        <v>51</v>
      </c>
      <c r="I1880">
        <v>3</v>
      </c>
      <c r="J1880" t="s">
        <v>50</v>
      </c>
    </row>
    <row r="1881" spans="1:10" x14ac:dyDescent="0.25">
      <c r="A1881" t="s">
        <v>7355</v>
      </c>
      <c r="B1881">
        <f>7809.24725484564*(1/100/100)</f>
        <v>0.78092472548456404</v>
      </c>
      <c r="C1881">
        <v>19405</v>
      </c>
      <c r="D1881" t="s">
        <v>4498</v>
      </c>
      <c r="E1881">
        <v>31934</v>
      </c>
      <c r="F1881" t="s">
        <v>864</v>
      </c>
      <c r="G1881">
        <v>319</v>
      </c>
      <c r="H1881" t="s">
        <v>68</v>
      </c>
      <c r="I1881">
        <v>3</v>
      </c>
      <c r="J1881" t="s">
        <v>50</v>
      </c>
    </row>
    <row r="1882" spans="1:10" x14ac:dyDescent="0.25">
      <c r="A1882" t="s">
        <v>7355</v>
      </c>
      <c r="B1882">
        <f>12411.4338009306*(1/100/100)</f>
        <v>1.24114338009306</v>
      </c>
      <c r="C1882">
        <v>19406</v>
      </c>
      <c r="D1882" t="s">
        <v>4499</v>
      </c>
      <c r="E1882">
        <v>31934</v>
      </c>
      <c r="F1882" t="s">
        <v>864</v>
      </c>
      <c r="G1882">
        <v>319</v>
      </c>
      <c r="H1882" t="s">
        <v>68</v>
      </c>
      <c r="I1882">
        <v>3</v>
      </c>
      <c r="J1882" t="s">
        <v>50</v>
      </c>
    </row>
    <row r="1883" spans="1:10" x14ac:dyDescent="0.25">
      <c r="A1883" t="s">
        <v>7355</v>
      </c>
      <c r="B1883">
        <f>6214.57275933913*(1/100/100)</f>
        <v>0.62145727593391309</v>
      </c>
      <c r="C1883">
        <v>19407</v>
      </c>
      <c r="D1883" t="s">
        <v>4466</v>
      </c>
      <c r="E1883">
        <v>31929</v>
      </c>
      <c r="F1883" t="s">
        <v>861</v>
      </c>
      <c r="G1883">
        <v>319</v>
      </c>
      <c r="H1883" t="s">
        <v>68</v>
      </c>
      <c r="I1883">
        <v>3</v>
      </c>
      <c r="J1883" t="s">
        <v>50</v>
      </c>
    </row>
    <row r="1884" spans="1:10" x14ac:dyDescent="0.25">
      <c r="A1884" t="s">
        <v>7355</v>
      </c>
      <c r="B1884">
        <f>19676.3976627653*(1/100/100)</f>
        <v>1.9676397662765299</v>
      </c>
      <c r="C1884">
        <v>19408</v>
      </c>
      <c r="D1884" t="s">
        <v>4467</v>
      </c>
      <c r="E1884">
        <v>31929</v>
      </c>
      <c r="F1884" t="s">
        <v>861</v>
      </c>
      <c r="G1884">
        <v>319</v>
      </c>
      <c r="H1884" t="s">
        <v>68</v>
      </c>
      <c r="I1884">
        <v>3</v>
      </c>
      <c r="J1884" t="s">
        <v>50</v>
      </c>
    </row>
    <row r="1885" spans="1:10" x14ac:dyDescent="0.25">
      <c r="A1885" t="s">
        <v>7355</v>
      </c>
      <c r="B1885">
        <f>9545.07043845781*(1/100/100)</f>
        <v>0.954507043845781</v>
      </c>
      <c r="C1885">
        <v>19409</v>
      </c>
      <c r="D1885" t="s">
        <v>4413</v>
      </c>
      <c r="E1885">
        <v>31917</v>
      </c>
      <c r="F1885" t="s">
        <v>850</v>
      </c>
      <c r="G1885">
        <v>319</v>
      </c>
      <c r="H1885" t="s">
        <v>68</v>
      </c>
      <c r="I1885">
        <v>3</v>
      </c>
      <c r="J1885" t="s">
        <v>50</v>
      </c>
    </row>
    <row r="1886" spans="1:10" x14ac:dyDescent="0.25">
      <c r="A1886" t="s">
        <v>7355</v>
      </c>
      <c r="B1886">
        <f>3614.01967571842*(1/100/100)</f>
        <v>0.36140196757184201</v>
      </c>
      <c r="C1886">
        <v>19410</v>
      </c>
      <c r="D1886" t="s">
        <v>518</v>
      </c>
      <c r="E1886">
        <v>31917</v>
      </c>
      <c r="F1886" t="s">
        <v>850</v>
      </c>
      <c r="G1886">
        <v>319</v>
      </c>
      <c r="H1886" t="s">
        <v>68</v>
      </c>
      <c r="I1886">
        <v>3</v>
      </c>
      <c r="J1886" t="s">
        <v>50</v>
      </c>
    </row>
    <row r="1887" spans="1:10" x14ac:dyDescent="0.25">
      <c r="A1887" t="s">
        <v>7355</v>
      </c>
      <c r="B1887">
        <f>9655.69379022181*(1/100/100)</f>
        <v>0.9655693790221811</v>
      </c>
      <c r="C1887">
        <v>19411</v>
      </c>
      <c r="D1887" t="s">
        <v>4500</v>
      </c>
      <c r="E1887">
        <v>31934</v>
      </c>
      <c r="F1887" t="s">
        <v>864</v>
      </c>
      <c r="G1887">
        <v>319</v>
      </c>
      <c r="H1887" t="s">
        <v>68</v>
      </c>
      <c r="I1887">
        <v>3</v>
      </c>
      <c r="J1887" t="s">
        <v>50</v>
      </c>
    </row>
    <row r="1888" spans="1:10" x14ac:dyDescent="0.25">
      <c r="A1888" t="s">
        <v>7355</v>
      </c>
      <c r="B1888">
        <f>197610.099093005*(1/100/100)</f>
        <v>19.761009909300501</v>
      </c>
      <c r="C1888">
        <v>19412</v>
      </c>
      <c r="D1888" t="s">
        <v>838</v>
      </c>
      <c r="E1888">
        <v>31903</v>
      </c>
      <c r="F1888" t="s">
        <v>838</v>
      </c>
      <c r="G1888">
        <v>319</v>
      </c>
      <c r="H1888" t="s">
        <v>68</v>
      </c>
      <c r="I1888">
        <v>3</v>
      </c>
      <c r="J1888" t="s">
        <v>50</v>
      </c>
    </row>
    <row r="1889" spans="1:10" x14ac:dyDescent="0.25">
      <c r="A1889" t="s">
        <v>7355</v>
      </c>
      <c r="B1889">
        <f>29351.6187653191*(1/100/100)</f>
        <v>2.9351618765319101</v>
      </c>
      <c r="C1889">
        <v>19413</v>
      </c>
      <c r="D1889" t="s">
        <v>4535</v>
      </c>
      <c r="E1889">
        <v>31941</v>
      </c>
      <c r="F1889" t="s">
        <v>868</v>
      </c>
      <c r="G1889">
        <v>319</v>
      </c>
      <c r="H1889" t="s">
        <v>68</v>
      </c>
      <c r="I1889">
        <v>3</v>
      </c>
      <c r="J1889" t="s">
        <v>50</v>
      </c>
    </row>
    <row r="1890" spans="1:10" x14ac:dyDescent="0.25">
      <c r="A1890" t="s">
        <v>7355</v>
      </c>
      <c r="B1890">
        <f>2994.4989471511*(1/100/100)</f>
        <v>0.29944989471511002</v>
      </c>
      <c r="C1890">
        <v>19414</v>
      </c>
      <c r="D1890" t="s">
        <v>2536</v>
      </c>
      <c r="E1890">
        <v>31917</v>
      </c>
      <c r="F1890" t="s">
        <v>850</v>
      </c>
      <c r="G1890">
        <v>319</v>
      </c>
      <c r="H1890" t="s">
        <v>68</v>
      </c>
      <c r="I1890">
        <v>3</v>
      </c>
      <c r="J1890" t="s">
        <v>50</v>
      </c>
    </row>
    <row r="1891" spans="1:10" x14ac:dyDescent="0.25">
      <c r="A1891" t="s">
        <v>7355</v>
      </c>
      <c r="B1891">
        <f>39569.3289681946*(1/100/100)</f>
        <v>3.9569328968194597</v>
      </c>
      <c r="C1891">
        <v>19415</v>
      </c>
      <c r="D1891" t="s">
        <v>4026</v>
      </c>
      <c r="E1891">
        <v>31934</v>
      </c>
      <c r="F1891" t="s">
        <v>864</v>
      </c>
      <c r="G1891">
        <v>319</v>
      </c>
      <c r="H1891" t="s">
        <v>68</v>
      </c>
      <c r="I1891">
        <v>3</v>
      </c>
      <c r="J1891" t="s">
        <v>50</v>
      </c>
    </row>
    <row r="1892" spans="1:10" x14ac:dyDescent="0.25">
      <c r="A1892" t="s">
        <v>7355</v>
      </c>
      <c r="B1892">
        <f>11541.6966783771*(1/100/100)</f>
        <v>1.15416966783771</v>
      </c>
      <c r="C1892">
        <v>19416</v>
      </c>
      <c r="D1892" t="s">
        <v>801</v>
      </c>
      <c r="E1892">
        <v>31941</v>
      </c>
      <c r="F1892" t="s">
        <v>868</v>
      </c>
      <c r="G1892">
        <v>319</v>
      </c>
      <c r="H1892" t="s">
        <v>68</v>
      </c>
      <c r="I1892">
        <v>3</v>
      </c>
      <c r="J1892" t="s">
        <v>50</v>
      </c>
    </row>
    <row r="1893" spans="1:10" x14ac:dyDescent="0.25">
      <c r="A1893" t="s">
        <v>7355</v>
      </c>
      <c r="B1893">
        <f>11627.6014136907*(1/100/100)</f>
        <v>1.16276014136907</v>
      </c>
      <c r="C1893">
        <v>19417</v>
      </c>
      <c r="D1893" t="s">
        <v>4536</v>
      </c>
      <c r="E1893">
        <v>31941</v>
      </c>
      <c r="F1893" t="s">
        <v>868</v>
      </c>
      <c r="G1893">
        <v>319</v>
      </c>
      <c r="H1893" t="s">
        <v>68</v>
      </c>
      <c r="I1893">
        <v>3</v>
      </c>
      <c r="J1893" t="s">
        <v>50</v>
      </c>
    </row>
    <row r="1894" spans="1:10" x14ac:dyDescent="0.25">
      <c r="A1894" t="s">
        <v>7355</v>
      </c>
      <c r="B1894">
        <f>5694.13856624617*(1/100/100)</f>
        <v>0.56941385662461697</v>
      </c>
      <c r="C1894">
        <v>19418</v>
      </c>
      <c r="D1894" t="s">
        <v>4414</v>
      </c>
      <c r="E1894">
        <v>31917</v>
      </c>
      <c r="F1894" t="s">
        <v>850</v>
      </c>
      <c r="G1894">
        <v>319</v>
      </c>
      <c r="H1894" t="s">
        <v>68</v>
      </c>
      <c r="I1894">
        <v>3</v>
      </c>
      <c r="J1894" t="s">
        <v>50</v>
      </c>
    </row>
    <row r="1895" spans="1:10" x14ac:dyDescent="0.25">
      <c r="A1895" t="s">
        <v>7355</v>
      </c>
      <c r="B1895">
        <f>3660.77139141724*(1/100/100)</f>
        <v>0.36607713914172402</v>
      </c>
      <c r="C1895">
        <v>19419</v>
      </c>
      <c r="D1895" t="s">
        <v>4328</v>
      </c>
      <c r="E1895">
        <v>31903</v>
      </c>
      <c r="F1895" t="s">
        <v>838</v>
      </c>
      <c r="G1895">
        <v>319</v>
      </c>
      <c r="H1895" t="s">
        <v>68</v>
      </c>
      <c r="I1895">
        <v>3</v>
      </c>
      <c r="J1895" t="s">
        <v>50</v>
      </c>
    </row>
    <row r="1896" spans="1:10" x14ac:dyDescent="0.25">
      <c r="A1896" t="s">
        <v>7355</v>
      </c>
      <c r="B1896">
        <f>14887.6589230134*(1/100/100)</f>
        <v>1.48876589230134</v>
      </c>
      <c r="C1896">
        <v>19420</v>
      </c>
      <c r="D1896" t="s">
        <v>4445</v>
      </c>
      <c r="E1896">
        <v>31925</v>
      </c>
      <c r="F1896" t="s">
        <v>857</v>
      </c>
      <c r="G1896">
        <v>319</v>
      </c>
      <c r="H1896" t="s">
        <v>68</v>
      </c>
      <c r="I1896">
        <v>3</v>
      </c>
      <c r="J1896" t="s">
        <v>50</v>
      </c>
    </row>
    <row r="1897" spans="1:10" x14ac:dyDescent="0.25">
      <c r="A1897" t="s">
        <v>7355</v>
      </c>
      <c r="B1897">
        <f>8120.92889750641*(1/100/100)</f>
        <v>0.81209288975064109</v>
      </c>
      <c r="C1897">
        <v>19421</v>
      </c>
      <c r="D1897" t="s">
        <v>4350</v>
      </c>
      <c r="E1897">
        <v>31907</v>
      </c>
      <c r="F1897" t="s">
        <v>842</v>
      </c>
      <c r="G1897">
        <v>319</v>
      </c>
      <c r="H1897" t="s">
        <v>68</v>
      </c>
      <c r="I1897">
        <v>3</v>
      </c>
      <c r="J1897" t="s">
        <v>50</v>
      </c>
    </row>
    <row r="1898" spans="1:10" x14ac:dyDescent="0.25">
      <c r="A1898" t="s">
        <v>7355</v>
      </c>
      <c r="B1898">
        <f>22428.8903734919*(1/100/100)</f>
        <v>2.2428890373491903</v>
      </c>
      <c r="C1898">
        <v>19422</v>
      </c>
      <c r="D1898" t="s">
        <v>3464</v>
      </c>
      <c r="E1898">
        <v>31945</v>
      </c>
      <c r="F1898" t="s">
        <v>870</v>
      </c>
      <c r="G1898">
        <v>319</v>
      </c>
      <c r="H1898" t="s">
        <v>68</v>
      </c>
      <c r="I1898">
        <v>3</v>
      </c>
      <c r="J1898" t="s">
        <v>50</v>
      </c>
    </row>
    <row r="1899" spans="1:10" x14ac:dyDescent="0.25">
      <c r="A1899" t="s">
        <v>7355</v>
      </c>
      <c r="B1899">
        <f>2440.99930804401*(1/100/100)</f>
        <v>0.24409993080440101</v>
      </c>
      <c r="C1899">
        <v>19423</v>
      </c>
      <c r="D1899" t="s">
        <v>4368</v>
      </c>
      <c r="E1899">
        <v>31910</v>
      </c>
      <c r="F1899" t="s">
        <v>844</v>
      </c>
      <c r="G1899">
        <v>319</v>
      </c>
      <c r="H1899" t="s">
        <v>68</v>
      </c>
      <c r="I1899">
        <v>3</v>
      </c>
      <c r="J1899" t="s">
        <v>50</v>
      </c>
    </row>
    <row r="1900" spans="1:10" x14ac:dyDescent="0.25">
      <c r="A1900" t="s">
        <v>7355</v>
      </c>
      <c r="B1900">
        <f>5523.07075809535*(1/100/100)</f>
        <v>0.55230707580953509</v>
      </c>
      <c r="C1900">
        <v>19424</v>
      </c>
      <c r="D1900" t="s">
        <v>4329</v>
      </c>
      <c r="E1900">
        <v>31903</v>
      </c>
      <c r="F1900" t="s">
        <v>838</v>
      </c>
      <c r="G1900">
        <v>319</v>
      </c>
      <c r="H1900" t="s">
        <v>68</v>
      </c>
      <c r="I1900">
        <v>3</v>
      </c>
      <c r="J1900" t="s">
        <v>50</v>
      </c>
    </row>
    <row r="1901" spans="1:10" x14ac:dyDescent="0.25">
      <c r="A1901" t="s">
        <v>7355</v>
      </c>
      <c r="B1901">
        <f>17201.8101569385*(1/100/100)</f>
        <v>1.72018101569385</v>
      </c>
      <c r="C1901">
        <v>19425</v>
      </c>
      <c r="D1901" t="s">
        <v>4415</v>
      </c>
      <c r="E1901">
        <v>31917</v>
      </c>
      <c r="F1901" t="s">
        <v>850</v>
      </c>
      <c r="G1901">
        <v>319</v>
      </c>
      <c r="H1901" t="s">
        <v>68</v>
      </c>
      <c r="I1901">
        <v>3</v>
      </c>
      <c r="J1901" t="s">
        <v>50</v>
      </c>
    </row>
    <row r="1902" spans="1:10" x14ac:dyDescent="0.25">
      <c r="A1902" t="s">
        <v>7355</v>
      </c>
      <c r="B1902">
        <f>1583.82638554338*(1/100/100)</f>
        <v>0.15838263855433801</v>
      </c>
      <c r="C1902">
        <v>19426</v>
      </c>
      <c r="D1902" t="s">
        <v>2922</v>
      </c>
      <c r="E1902">
        <v>30201</v>
      </c>
      <c r="F1902" t="s">
        <v>2921</v>
      </c>
      <c r="G1902">
        <v>302</v>
      </c>
      <c r="H1902" t="s">
        <v>51</v>
      </c>
      <c r="I1902">
        <v>3</v>
      </c>
      <c r="J1902" t="s">
        <v>50</v>
      </c>
    </row>
    <row r="1903" spans="1:10" x14ac:dyDescent="0.25">
      <c r="A1903" t="s">
        <v>7355</v>
      </c>
      <c r="B1903">
        <f>5212.33881987485*(1/100/100)</f>
        <v>0.52123388198748499</v>
      </c>
      <c r="C1903">
        <v>19428</v>
      </c>
      <c r="D1903" t="s">
        <v>4330</v>
      </c>
      <c r="E1903">
        <v>31903</v>
      </c>
      <c r="F1903" t="s">
        <v>838</v>
      </c>
      <c r="G1903">
        <v>319</v>
      </c>
      <c r="H1903" t="s">
        <v>68</v>
      </c>
      <c r="I1903">
        <v>3</v>
      </c>
      <c r="J1903" t="s">
        <v>50</v>
      </c>
    </row>
    <row r="1904" spans="1:10" x14ac:dyDescent="0.25">
      <c r="A1904" t="s">
        <v>7355</v>
      </c>
      <c r="B1904">
        <f>37778.1343202033*(1/100/100)</f>
        <v>3.7778134320203303</v>
      </c>
      <c r="C1904">
        <v>19429</v>
      </c>
      <c r="D1904" t="s">
        <v>1711</v>
      </c>
      <c r="E1904">
        <v>31929</v>
      </c>
      <c r="F1904" t="s">
        <v>861</v>
      </c>
      <c r="G1904">
        <v>319</v>
      </c>
      <c r="H1904" t="s">
        <v>68</v>
      </c>
      <c r="I1904">
        <v>3</v>
      </c>
      <c r="J1904" t="s">
        <v>50</v>
      </c>
    </row>
    <row r="1905" spans="1:10" x14ac:dyDescent="0.25">
      <c r="A1905" t="s">
        <v>7355</v>
      </c>
      <c r="B1905">
        <f>8676.64740647701*(1/100/100)</f>
        <v>0.86766474064770105</v>
      </c>
      <c r="C1905">
        <v>19430</v>
      </c>
      <c r="D1905" t="s">
        <v>4501</v>
      </c>
      <c r="E1905">
        <v>31934</v>
      </c>
      <c r="F1905" t="s">
        <v>864</v>
      </c>
      <c r="G1905">
        <v>319</v>
      </c>
      <c r="H1905" t="s">
        <v>68</v>
      </c>
      <c r="I1905">
        <v>3</v>
      </c>
      <c r="J1905" t="s">
        <v>50</v>
      </c>
    </row>
    <row r="1906" spans="1:10" x14ac:dyDescent="0.25">
      <c r="A1906" t="s">
        <v>7355</v>
      </c>
      <c r="B1906">
        <f>7531.22298497792*(1/100/100)</f>
        <v>0.753122298497792</v>
      </c>
      <c r="C1906">
        <v>19431</v>
      </c>
      <c r="D1906" t="s">
        <v>4343</v>
      </c>
      <c r="E1906">
        <v>31945</v>
      </c>
      <c r="F1906" t="s">
        <v>870</v>
      </c>
      <c r="G1906">
        <v>319</v>
      </c>
      <c r="H1906" t="s">
        <v>68</v>
      </c>
      <c r="I1906">
        <v>3</v>
      </c>
      <c r="J1906" t="s">
        <v>50</v>
      </c>
    </row>
    <row r="1907" spans="1:10" x14ac:dyDescent="0.25">
      <c r="A1907" t="s">
        <v>7355</v>
      </c>
      <c r="B1907">
        <f>7871.17195583275*(1/100/100)</f>
        <v>0.78711719558327509</v>
      </c>
      <c r="C1907">
        <v>19432</v>
      </c>
      <c r="D1907" t="s">
        <v>802</v>
      </c>
      <c r="E1907">
        <v>31945</v>
      </c>
      <c r="F1907" t="s">
        <v>870</v>
      </c>
      <c r="G1907">
        <v>319</v>
      </c>
      <c r="H1907" t="s">
        <v>68</v>
      </c>
      <c r="I1907">
        <v>3</v>
      </c>
      <c r="J1907" t="s">
        <v>50</v>
      </c>
    </row>
    <row r="1908" spans="1:10" x14ac:dyDescent="0.25">
      <c r="A1908" t="s">
        <v>7355</v>
      </c>
      <c r="B1908">
        <f>15829.58199963*(1/100/100)</f>
        <v>1.582958199963</v>
      </c>
      <c r="C1908">
        <v>19433</v>
      </c>
      <c r="D1908" t="s">
        <v>2911</v>
      </c>
      <c r="E1908">
        <v>31934</v>
      </c>
      <c r="F1908" t="s">
        <v>864</v>
      </c>
      <c r="G1908">
        <v>319</v>
      </c>
      <c r="H1908" t="s">
        <v>68</v>
      </c>
      <c r="I1908">
        <v>3</v>
      </c>
      <c r="J1908" t="s">
        <v>50</v>
      </c>
    </row>
    <row r="1909" spans="1:10" x14ac:dyDescent="0.25">
      <c r="A1909" t="s">
        <v>7355</v>
      </c>
      <c r="B1909">
        <f>57896.7503054189*(1/100/100)</f>
        <v>5.7896750305418907</v>
      </c>
      <c r="C1909">
        <v>19434</v>
      </c>
      <c r="D1909" t="s">
        <v>933</v>
      </c>
      <c r="E1909">
        <v>30201</v>
      </c>
      <c r="F1909" t="s">
        <v>2921</v>
      </c>
      <c r="G1909">
        <v>302</v>
      </c>
      <c r="H1909" t="s">
        <v>51</v>
      </c>
      <c r="I1909">
        <v>3</v>
      </c>
      <c r="J1909" t="s">
        <v>50</v>
      </c>
    </row>
    <row r="1910" spans="1:10" x14ac:dyDescent="0.25">
      <c r="A1910" t="s">
        <v>7355</v>
      </c>
      <c r="B1910">
        <f>11366.4350401381*(1/100/100)</f>
        <v>1.1366435040138101</v>
      </c>
      <c r="C1910">
        <v>19435</v>
      </c>
      <c r="D1910" t="s">
        <v>4351</v>
      </c>
      <c r="E1910">
        <v>31907</v>
      </c>
      <c r="F1910" t="s">
        <v>842</v>
      </c>
      <c r="G1910">
        <v>319</v>
      </c>
      <c r="H1910" t="s">
        <v>68</v>
      </c>
      <c r="I1910">
        <v>3</v>
      </c>
      <c r="J1910" t="s">
        <v>50</v>
      </c>
    </row>
    <row r="1911" spans="1:10" x14ac:dyDescent="0.25">
      <c r="A1911" t="s">
        <v>7355</v>
      </c>
      <c r="B1911">
        <f>7479.04734580713*(1/100/100)</f>
        <v>0.74790473458071305</v>
      </c>
      <c r="C1911">
        <v>19436</v>
      </c>
      <c r="D1911" t="s">
        <v>4381</v>
      </c>
      <c r="E1911">
        <v>31911</v>
      </c>
      <c r="F1911" t="s">
        <v>845</v>
      </c>
      <c r="G1911">
        <v>319</v>
      </c>
      <c r="H1911" t="s">
        <v>68</v>
      </c>
      <c r="I1911">
        <v>3</v>
      </c>
      <c r="J1911" t="s">
        <v>50</v>
      </c>
    </row>
    <row r="1912" spans="1:10" x14ac:dyDescent="0.25">
      <c r="A1912" t="s">
        <v>7355</v>
      </c>
      <c r="B1912">
        <f>16995.8394262766*(1/100/100)</f>
        <v>1.6995839426276602</v>
      </c>
      <c r="C1912">
        <v>19437</v>
      </c>
      <c r="D1912" t="s">
        <v>4519</v>
      </c>
      <c r="E1912">
        <v>31938</v>
      </c>
      <c r="F1912" t="s">
        <v>4520</v>
      </c>
      <c r="G1912">
        <v>319</v>
      </c>
      <c r="H1912" t="s">
        <v>68</v>
      </c>
      <c r="I1912">
        <v>3</v>
      </c>
      <c r="J1912" t="s">
        <v>50</v>
      </c>
    </row>
    <row r="1913" spans="1:10" x14ac:dyDescent="0.25">
      <c r="A1913" t="s">
        <v>7355</v>
      </c>
      <c r="B1913">
        <f>4046.78271415179*(1/100/100)</f>
        <v>0.40467827141517904</v>
      </c>
      <c r="C1913">
        <v>19438</v>
      </c>
      <c r="D1913" t="s">
        <v>3504</v>
      </c>
      <c r="E1913">
        <v>31945</v>
      </c>
      <c r="F1913" t="s">
        <v>870</v>
      </c>
      <c r="G1913">
        <v>319</v>
      </c>
      <c r="H1913" t="s">
        <v>68</v>
      </c>
      <c r="I1913">
        <v>3</v>
      </c>
      <c r="J1913" t="s">
        <v>50</v>
      </c>
    </row>
    <row r="1914" spans="1:10" x14ac:dyDescent="0.25">
      <c r="A1914" t="s">
        <v>7355</v>
      </c>
      <c r="B1914">
        <f>6989.38824677225*(1/100/100)</f>
        <v>0.69893882467722501</v>
      </c>
      <c r="C1914">
        <v>19439</v>
      </c>
      <c r="D1914" t="s">
        <v>4446</v>
      </c>
      <c r="E1914">
        <v>31925</v>
      </c>
      <c r="F1914" t="s">
        <v>857</v>
      </c>
      <c r="G1914">
        <v>319</v>
      </c>
      <c r="H1914" t="s">
        <v>68</v>
      </c>
      <c r="I1914">
        <v>3</v>
      </c>
      <c r="J1914" t="s">
        <v>50</v>
      </c>
    </row>
    <row r="1915" spans="1:10" x14ac:dyDescent="0.25">
      <c r="A1915" t="s">
        <v>7355</v>
      </c>
      <c r="B1915">
        <f>13081.1968609613*(1/100/100)</f>
        <v>1.3081196860961299</v>
      </c>
      <c r="C1915">
        <v>19440</v>
      </c>
      <c r="D1915" t="s">
        <v>4502</v>
      </c>
      <c r="E1915">
        <v>31934</v>
      </c>
      <c r="F1915" t="s">
        <v>864</v>
      </c>
      <c r="G1915">
        <v>319</v>
      </c>
      <c r="H1915" t="s">
        <v>68</v>
      </c>
      <c r="I1915">
        <v>3</v>
      </c>
      <c r="J1915" t="s">
        <v>50</v>
      </c>
    </row>
    <row r="1916" spans="1:10" x14ac:dyDescent="0.25">
      <c r="A1916" t="s">
        <v>7355</v>
      </c>
      <c r="B1916">
        <f>30560.1278447401*(1/100/100)</f>
        <v>3.0560127844740101</v>
      </c>
      <c r="C1916">
        <v>19441</v>
      </c>
      <c r="D1916" t="s">
        <v>3125</v>
      </c>
      <c r="E1916">
        <v>31917</v>
      </c>
      <c r="F1916" t="s">
        <v>850</v>
      </c>
      <c r="G1916">
        <v>319</v>
      </c>
      <c r="H1916" t="s">
        <v>68</v>
      </c>
      <c r="I1916">
        <v>3</v>
      </c>
      <c r="J1916" t="s">
        <v>50</v>
      </c>
    </row>
    <row r="1917" spans="1:10" x14ac:dyDescent="0.25">
      <c r="A1917" t="s">
        <v>7355</v>
      </c>
      <c r="B1917">
        <f>16698.6275475626*(1/100/100)</f>
        <v>1.6698627547562599</v>
      </c>
      <c r="C1917">
        <v>19442</v>
      </c>
      <c r="D1917" t="s">
        <v>4521</v>
      </c>
      <c r="E1917">
        <v>31938</v>
      </c>
      <c r="F1917" t="s">
        <v>4520</v>
      </c>
      <c r="G1917">
        <v>319</v>
      </c>
      <c r="H1917" t="s">
        <v>68</v>
      </c>
      <c r="I1917">
        <v>3</v>
      </c>
      <c r="J1917" t="s">
        <v>50</v>
      </c>
    </row>
    <row r="1918" spans="1:10" x14ac:dyDescent="0.25">
      <c r="A1918" t="s">
        <v>7355</v>
      </c>
      <c r="B1918">
        <f>44650.6564572972*(1/100/100)</f>
        <v>4.4650656457297204</v>
      </c>
      <c r="C1918">
        <v>19443</v>
      </c>
      <c r="D1918" t="s">
        <v>4447</v>
      </c>
      <c r="E1918">
        <v>31925</v>
      </c>
      <c r="F1918" t="s">
        <v>857</v>
      </c>
      <c r="G1918">
        <v>319</v>
      </c>
      <c r="H1918" t="s">
        <v>68</v>
      </c>
      <c r="I1918">
        <v>3</v>
      </c>
      <c r="J1918" t="s">
        <v>50</v>
      </c>
    </row>
    <row r="1919" spans="1:10" x14ac:dyDescent="0.25">
      <c r="A1919" t="s">
        <v>7355</v>
      </c>
      <c r="B1919">
        <f>7737.36749420755*(1/100/100)</f>
        <v>0.7737367494207551</v>
      </c>
      <c r="C1919">
        <v>19444</v>
      </c>
      <c r="D1919" t="s">
        <v>4537</v>
      </c>
      <c r="E1919">
        <v>31941</v>
      </c>
      <c r="F1919" t="s">
        <v>868</v>
      </c>
      <c r="G1919">
        <v>319</v>
      </c>
      <c r="H1919" t="s">
        <v>68</v>
      </c>
      <c r="I1919">
        <v>3</v>
      </c>
      <c r="J1919" t="s">
        <v>50</v>
      </c>
    </row>
    <row r="1920" spans="1:10" x14ac:dyDescent="0.25">
      <c r="A1920" t="s">
        <v>7355</v>
      </c>
      <c r="B1920">
        <f>15749.5388359849*(1/100/100)</f>
        <v>1.5749538835984902</v>
      </c>
      <c r="C1920">
        <v>19445</v>
      </c>
      <c r="D1920" t="s">
        <v>4468</v>
      </c>
      <c r="E1920">
        <v>31929</v>
      </c>
      <c r="F1920" t="s">
        <v>861</v>
      </c>
      <c r="G1920">
        <v>319</v>
      </c>
      <c r="H1920" t="s">
        <v>68</v>
      </c>
      <c r="I1920">
        <v>3</v>
      </c>
      <c r="J1920" t="s">
        <v>50</v>
      </c>
    </row>
    <row r="1921" spans="1:10" x14ac:dyDescent="0.25">
      <c r="A1921" t="s">
        <v>7355</v>
      </c>
      <c r="B1921">
        <f>2600.69584800351*(1/100/100)</f>
        <v>0.26006958480035103</v>
      </c>
      <c r="C1921">
        <v>19446</v>
      </c>
      <c r="D1921" t="s">
        <v>4352</v>
      </c>
      <c r="E1921">
        <v>31907</v>
      </c>
      <c r="F1921" t="s">
        <v>842</v>
      </c>
      <c r="G1921">
        <v>319</v>
      </c>
      <c r="H1921" t="s">
        <v>68</v>
      </c>
      <c r="I1921">
        <v>3</v>
      </c>
      <c r="J1921" t="s">
        <v>50</v>
      </c>
    </row>
    <row r="1922" spans="1:10" x14ac:dyDescent="0.25">
      <c r="A1922" t="s">
        <v>7355</v>
      </c>
      <c r="B1922">
        <f>25584.1219232445*(1/100/100)</f>
        <v>2.5584121923244503</v>
      </c>
      <c r="C1922">
        <v>19447</v>
      </c>
      <c r="D1922" t="s">
        <v>4331</v>
      </c>
      <c r="E1922">
        <v>31903</v>
      </c>
      <c r="F1922" t="s">
        <v>838</v>
      </c>
      <c r="G1922">
        <v>319</v>
      </c>
      <c r="H1922" t="s">
        <v>68</v>
      </c>
      <c r="I1922">
        <v>3</v>
      </c>
      <c r="J1922" t="s">
        <v>50</v>
      </c>
    </row>
    <row r="1923" spans="1:10" x14ac:dyDescent="0.25">
      <c r="A1923" t="s">
        <v>7355</v>
      </c>
      <c r="B1923">
        <f>12473.2093530188*(1/100/100)</f>
        <v>1.2473209353018799</v>
      </c>
      <c r="C1923">
        <v>19448</v>
      </c>
      <c r="D1923" t="s">
        <v>1548</v>
      </c>
      <c r="E1923">
        <v>31925</v>
      </c>
      <c r="F1923" t="s">
        <v>857</v>
      </c>
      <c r="G1923">
        <v>319</v>
      </c>
      <c r="H1923" t="s">
        <v>68</v>
      </c>
      <c r="I1923">
        <v>3</v>
      </c>
      <c r="J1923" t="s">
        <v>50</v>
      </c>
    </row>
    <row r="1924" spans="1:10" x14ac:dyDescent="0.25">
      <c r="A1924" t="s">
        <v>7355</v>
      </c>
      <c r="B1924">
        <f>16891.9375415238*(1/100/100)</f>
        <v>1.68919375415238</v>
      </c>
      <c r="C1924">
        <v>19449</v>
      </c>
      <c r="D1924" t="s">
        <v>2923</v>
      </c>
      <c r="E1924">
        <v>30201</v>
      </c>
      <c r="F1924" t="s">
        <v>2921</v>
      </c>
      <c r="G1924">
        <v>302</v>
      </c>
      <c r="H1924" t="s">
        <v>51</v>
      </c>
      <c r="I1924">
        <v>3</v>
      </c>
      <c r="J1924" t="s">
        <v>50</v>
      </c>
    </row>
    <row r="1925" spans="1:10" x14ac:dyDescent="0.25">
      <c r="A1925" t="s">
        <v>7355</v>
      </c>
      <c r="B1925">
        <f>15475.898366311*(1/100/100)</f>
        <v>1.5475898366311001</v>
      </c>
      <c r="C1925">
        <v>19450</v>
      </c>
      <c r="D1925" t="s">
        <v>4469</v>
      </c>
      <c r="E1925">
        <v>31929</v>
      </c>
      <c r="F1925" t="s">
        <v>861</v>
      </c>
      <c r="G1925">
        <v>319</v>
      </c>
      <c r="H1925" t="s">
        <v>68</v>
      </c>
      <c r="I1925">
        <v>3</v>
      </c>
      <c r="J1925" t="s">
        <v>50</v>
      </c>
    </row>
    <row r="1926" spans="1:10" x14ac:dyDescent="0.25">
      <c r="A1926" t="s">
        <v>7355</v>
      </c>
      <c r="B1926">
        <f>8382.54908295218*(1/100/100)</f>
        <v>0.83825490829521809</v>
      </c>
      <c r="C1926">
        <v>19451</v>
      </c>
      <c r="D1926" t="s">
        <v>4470</v>
      </c>
      <c r="E1926">
        <v>31929</v>
      </c>
      <c r="F1926" t="s">
        <v>861</v>
      </c>
      <c r="G1926">
        <v>319</v>
      </c>
      <c r="H1926" t="s">
        <v>68</v>
      </c>
      <c r="I1926">
        <v>3</v>
      </c>
      <c r="J1926" t="s">
        <v>50</v>
      </c>
    </row>
    <row r="1927" spans="1:10" x14ac:dyDescent="0.25">
      <c r="A1927" t="s">
        <v>7355</v>
      </c>
      <c r="B1927">
        <f>18812.1789395796*(1/100/100)</f>
        <v>1.8812178939579602</v>
      </c>
      <c r="C1927">
        <v>19452</v>
      </c>
      <c r="D1927" t="s">
        <v>4332</v>
      </c>
      <c r="E1927">
        <v>31903</v>
      </c>
      <c r="F1927" t="s">
        <v>838</v>
      </c>
      <c r="G1927">
        <v>319</v>
      </c>
      <c r="H1927" t="s">
        <v>68</v>
      </c>
      <c r="I1927">
        <v>3</v>
      </c>
      <c r="J1927" t="s">
        <v>50</v>
      </c>
    </row>
    <row r="1928" spans="1:10" x14ac:dyDescent="0.25">
      <c r="A1928" t="s">
        <v>7355</v>
      </c>
      <c r="B1928">
        <f>39281.4245269948*(1/100/100)</f>
        <v>3.9281424526994804</v>
      </c>
      <c r="C1928">
        <v>19453</v>
      </c>
      <c r="D1928" t="s">
        <v>2924</v>
      </c>
      <c r="E1928">
        <v>30201</v>
      </c>
      <c r="F1928" t="s">
        <v>2921</v>
      </c>
      <c r="G1928">
        <v>302</v>
      </c>
      <c r="H1928" t="s">
        <v>51</v>
      </c>
      <c r="I1928">
        <v>3</v>
      </c>
      <c r="J1928" t="s">
        <v>50</v>
      </c>
    </row>
    <row r="1929" spans="1:10" x14ac:dyDescent="0.25">
      <c r="A1929" t="s">
        <v>7355</v>
      </c>
      <c r="B1929">
        <f>58551.7267987719*(1/100/100)</f>
        <v>5.8551726798771906</v>
      </c>
      <c r="C1929">
        <v>19454</v>
      </c>
      <c r="D1929" t="s">
        <v>842</v>
      </c>
      <c r="E1929">
        <v>31907</v>
      </c>
      <c r="F1929" t="s">
        <v>842</v>
      </c>
      <c r="G1929">
        <v>319</v>
      </c>
      <c r="H1929" t="s">
        <v>68</v>
      </c>
      <c r="I1929">
        <v>3</v>
      </c>
      <c r="J1929" t="s">
        <v>50</v>
      </c>
    </row>
    <row r="1930" spans="1:10" x14ac:dyDescent="0.25">
      <c r="A1930" t="s">
        <v>7355</v>
      </c>
      <c r="B1930">
        <f>18860.6988505039*(1/100/100)</f>
        <v>1.8860698850503901</v>
      </c>
      <c r="C1930">
        <v>19455</v>
      </c>
      <c r="D1930" t="s">
        <v>4396</v>
      </c>
      <c r="E1930">
        <v>31934</v>
      </c>
      <c r="F1930" t="s">
        <v>864</v>
      </c>
      <c r="G1930">
        <v>319</v>
      </c>
      <c r="H1930" t="s">
        <v>68</v>
      </c>
      <c r="I1930">
        <v>3</v>
      </c>
      <c r="J1930" t="s">
        <v>50</v>
      </c>
    </row>
    <row r="1931" spans="1:10" x14ac:dyDescent="0.25">
      <c r="A1931" t="s">
        <v>7355</v>
      </c>
      <c r="B1931">
        <f>157944.786932917*(1/100/100)</f>
        <v>15.794478693291699</v>
      </c>
      <c r="C1931">
        <v>19456</v>
      </c>
      <c r="D1931" t="s">
        <v>4558</v>
      </c>
      <c r="E1931">
        <v>31947</v>
      </c>
      <c r="F1931" t="s">
        <v>872</v>
      </c>
      <c r="G1931">
        <v>319</v>
      </c>
      <c r="H1931" t="s">
        <v>68</v>
      </c>
      <c r="I1931">
        <v>3</v>
      </c>
      <c r="J1931" t="s">
        <v>50</v>
      </c>
    </row>
    <row r="1932" spans="1:10" x14ac:dyDescent="0.25">
      <c r="A1932" t="s">
        <v>7355</v>
      </c>
      <c r="B1932">
        <f>5451.20181817686*(1/100/100)</f>
        <v>0.54512018181768607</v>
      </c>
      <c r="C1932">
        <v>19457</v>
      </c>
      <c r="D1932" t="s">
        <v>1438</v>
      </c>
      <c r="E1932">
        <v>31925</v>
      </c>
      <c r="F1932" t="s">
        <v>857</v>
      </c>
      <c r="G1932">
        <v>319</v>
      </c>
      <c r="H1932" t="s">
        <v>68</v>
      </c>
      <c r="I1932">
        <v>3</v>
      </c>
      <c r="J1932" t="s">
        <v>50</v>
      </c>
    </row>
    <row r="1933" spans="1:10" x14ac:dyDescent="0.25">
      <c r="A1933" t="s">
        <v>7355</v>
      </c>
      <c r="B1933">
        <f>12975.4556950032*(1/100/100)</f>
        <v>1.2975455695003202</v>
      </c>
      <c r="C1933">
        <v>19458</v>
      </c>
      <c r="D1933" t="s">
        <v>4369</v>
      </c>
      <c r="E1933">
        <v>31910</v>
      </c>
      <c r="F1933" t="s">
        <v>844</v>
      </c>
      <c r="G1933">
        <v>319</v>
      </c>
      <c r="H1933" t="s">
        <v>68</v>
      </c>
      <c r="I1933">
        <v>3</v>
      </c>
      <c r="J1933" t="s">
        <v>50</v>
      </c>
    </row>
    <row r="1934" spans="1:10" x14ac:dyDescent="0.25">
      <c r="A1934" t="s">
        <v>7355</v>
      </c>
      <c r="B1934">
        <f>265399.211787246*(1/100/100)</f>
        <v>26.539921178724601</v>
      </c>
      <c r="C1934">
        <v>19459</v>
      </c>
      <c r="D1934" t="s">
        <v>4471</v>
      </c>
      <c r="E1934">
        <v>31929</v>
      </c>
      <c r="F1934" t="s">
        <v>861</v>
      </c>
      <c r="G1934">
        <v>319</v>
      </c>
      <c r="H1934" t="s">
        <v>68</v>
      </c>
      <c r="I1934">
        <v>3</v>
      </c>
      <c r="J1934" t="s">
        <v>50</v>
      </c>
    </row>
    <row r="1935" spans="1:10" x14ac:dyDescent="0.25">
      <c r="A1935" t="s">
        <v>7355</v>
      </c>
      <c r="B1935">
        <f>55434.3536373707*(1/100/100)</f>
        <v>5.5434353637370704</v>
      </c>
      <c r="C1935">
        <v>19460</v>
      </c>
      <c r="D1935" t="s">
        <v>4333</v>
      </c>
      <c r="E1935">
        <v>31903</v>
      </c>
      <c r="F1935" t="s">
        <v>838</v>
      </c>
      <c r="G1935">
        <v>319</v>
      </c>
      <c r="H1935" t="s">
        <v>68</v>
      </c>
      <c r="I1935">
        <v>3</v>
      </c>
      <c r="J1935" t="s">
        <v>50</v>
      </c>
    </row>
    <row r="1936" spans="1:10" x14ac:dyDescent="0.25">
      <c r="A1936" t="s">
        <v>7355</v>
      </c>
      <c r="B1936">
        <f>16354.1509234277*(1/100/100)</f>
        <v>1.6354150923427702</v>
      </c>
      <c r="C1936">
        <v>19461</v>
      </c>
      <c r="D1936" t="s">
        <v>4448</v>
      </c>
      <c r="E1936">
        <v>31925</v>
      </c>
      <c r="F1936" t="s">
        <v>857</v>
      </c>
      <c r="G1936">
        <v>319</v>
      </c>
      <c r="H1936" t="s">
        <v>68</v>
      </c>
      <c r="I1936">
        <v>3</v>
      </c>
      <c r="J1936" t="s">
        <v>50</v>
      </c>
    </row>
    <row r="1937" spans="1:10" x14ac:dyDescent="0.25">
      <c r="A1937" t="s">
        <v>7355</v>
      </c>
      <c r="B1937">
        <f>13325.6581481578*(1/100/100)</f>
        <v>1.33256581481578</v>
      </c>
      <c r="C1937">
        <v>19462</v>
      </c>
      <c r="D1937" t="s">
        <v>4353</v>
      </c>
      <c r="E1937">
        <v>31907</v>
      </c>
      <c r="F1937" t="s">
        <v>842</v>
      </c>
      <c r="G1937">
        <v>319</v>
      </c>
      <c r="H1937" t="s">
        <v>68</v>
      </c>
      <c r="I1937">
        <v>3</v>
      </c>
      <c r="J1937" t="s">
        <v>50</v>
      </c>
    </row>
    <row r="1938" spans="1:10" x14ac:dyDescent="0.25">
      <c r="A1938" t="s">
        <v>7355</v>
      </c>
      <c r="B1938">
        <f>5333.67608095902*(1/100/100)</f>
        <v>0.533367608095902</v>
      </c>
      <c r="C1938">
        <v>19463</v>
      </c>
      <c r="D1938" t="s">
        <v>4472</v>
      </c>
      <c r="E1938">
        <v>31929</v>
      </c>
      <c r="F1938" t="s">
        <v>861</v>
      </c>
      <c r="G1938">
        <v>319</v>
      </c>
      <c r="H1938" t="s">
        <v>68</v>
      </c>
      <c r="I1938">
        <v>3</v>
      </c>
      <c r="J1938" t="s">
        <v>50</v>
      </c>
    </row>
    <row r="1939" spans="1:10" x14ac:dyDescent="0.25">
      <c r="A1939" t="s">
        <v>7355</v>
      </c>
      <c r="B1939">
        <f>7690.4299018733*(1/100/100)</f>
        <v>0.76904299018733002</v>
      </c>
      <c r="C1939">
        <v>19464</v>
      </c>
      <c r="D1939" t="s">
        <v>4473</v>
      </c>
      <c r="E1939">
        <v>31929</v>
      </c>
      <c r="F1939" t="s">
        <v>861</v>
      </c>
      <c r="G1939">
        <v>319</v>
      </c>
      <c r="H1939" t="s">
        <v>68</v>
      </c>
      <c r="I1939">
        <v>3</v>
      </c>
      <c r="J1939" t="s">
        <v>50</v>
      </c>
    </row>
    <row r="1940" spans="1:10" x14ac:dyDescent="0.25">
      <c r="A1940" t="s">
        <v>7355</v>
      </c>
      <c r="B1940">
        <f>1188.07013063141*(1/100/100)</f>
        <v>0.118807013063141</v>
      </c>
      <c r="C1940">
        <v>19465</v>
      </c>
      <c r="D1940" t="s">
        <v>4547</v>
      </c>
      <c r="E1940">
        <v>31945</v>
      </c>
      <c r="F1940" t="s">
        <v>870</v>
      </c>
      <c r="G1940">
        <v>319</v>
      </c>
      <c r="H1940" t="s">
        <v>68</v>
      </c>
      <c r="I1940">
        <v>3</v>
      </c>
      <c r="J1940" t="s">
        <v>50</v>
      </c>
    </row>
    <row r="1941" spans="1:10" x14ac:dyDescent="0.25">
      <c r="A1941" t="s">
        <v>7355</v>
      </c>
      <c r="B1941">
        <f>14900.749369094*(1/100/100)</f>
        <v>1.4900749369094</v>
      </c>
      <c r="C1941">
        <v>19466</v>
      </c>
      <c r="D1941" t="s">
        <v>3348</v>
      </c>
      <c r="E1941">
        <v>31934</v>
      </c>
      <c r="F1941" t="s">
        <v>864</v>
      </c>
      <c r="G1941">
        <v>319</v>
      </c>
      <c r="H1941" t="s">
        <v>68</v>
      </c>
      <c r="I1941">
        <v>3</v>
      </c>
      <c r="J1941" t="s">
        <v>50</v>
      </c>
    </row>
    <row r="1942" spans="1:10" x14ac:dyDescent="0.25">
      <c r="A1942" t="s">
        <v>7355</v>
      </c>
      <c r="B1942">
        <f>4811.7882368814*(1/100/100)</f>
        <v>0.48117882368814002</v>
      </c>
      <c r="C1942">
        <v>19467</v>
      </c>
      <c r="D1942" t="s">
        <v>4416</v>
      </c>
      <c r="E1942">
        <v>31917</v>
      </c>
      <c r="F1942" t="s">
        <v>850</v>
      </c>
      <c r="G1942">
        <v>319</v>
      </c>
      <c r="H1942" t="s">
        <v>68</v>
      </c>
      <c r="I1942">
        <v>3</v>
      </c>
      <c r="J1942" t="s">
        <v>50</v>
      </c>
    </row>
    <row r="1943" spans="1:10" x14ac:dyDescent="0.25">
      <c r="A1943" t="s">
        <v>7355</v>
      </c>
      <c r="B1943">
        <f>22453.058119847*(1/100/100)</f>
        <v>2.2453058119847</v>
      </c>
      <c r="C1943">
        <v>19468</v>
      </c>
      <c r="D1943" t="s">
        <v>2925</v>
      </c>
      <c r="E1943">
        <v>30201</v>
      </c>
      <c r="F1943" t="s">
        <v>2921</v>
      </c>
      <c r="G1943">
        <v>302</v>
      </c>
      <c r="H1943" t="s">
        <v>51</v>
      </c>
      <c r="I1943">
        <v>3</v>
      </c>
      <c r="J1943" t="s">
        <v>50</v>
      </c>
    </row>
    <row r="1944" spans="1:10" x14ac:dyDescent="0.25">
      <c r="A1944" t="s">
        <v>7355</v>
      </c>
      <c r="B1944">
        <f>45550.531662533*(1/100/100)</f>
        <v>4.5550531662533</v>
      </c>
      <c r="C1944">
        <v>19469</v>
      </c>
      <c r="D1944" t="s">
        <v>844</v>
      </c>
      <c r="E1944">
        <v>31910</v>
      </c>
      <c r="F1944" t="s">
        <v>844</v>
      </c>
      <c r="G1944">
        <v>319</v>
      </c>
      <c r="H1944" t="s">
        <v>68</v>
      </c>
      <c r="I1944">
        <v>3</v>
      </c>
      <c r="J1944" t="s">
        <v>50</v>
      </c>
    </row>
    <row r="1945" spans="1:10" x14ac:dyDescent="0.25">
      <c r="A1945" t="s">
        <v>7355</v>
      </c>
      <c r="B1945">
        <f>20687.7010040034*(1/100/100)</f>
        <v>2.0687701004003403</v>
      </c>
      <c r="C1945">
        <v>19470</v>
      </c>
      <c r="D1945" t="s">
        <v>3739</v>
      </c>
      <c r="E1945">
        <v>31922</v>
      </c>
      <c r="F1945" t="s">
        <v>855</v>
      </c>
      <c r="G1945">
        <v>319</v>
      </c>
      <c r="H1945" t="s">
        <v>68</v>
      </c>
      <c r="I1945">
        <v>3</v>
      </c>
      <c r="J1945" t="s">
        <v>50</v>
      </c>
    </row>
    <row r="1946" spans="1:10" x14ac:dyDescent="0.25">
      <c r="A1946" t="s">
        <v>7355</v>
      </c>
      <c r="B1946">
        <f>3578.22207903285*(1/100/100)</f>
        <v>0.35782220790328501</v>
      </c>
      <c r="C1946">
        <v>19471</v>
      </c>
      <c r="D1946" t="s">
        <v>4559</v>
      </c>
      <c r="E1946">
        <v>31947</v>
      </c>
      <c r="F1946" t="s">
        <v>872</v>
      </c>
      <c r="G1946">
        <v>319</v>
      </c>
      <c r="H1946" t="s">
        <v>68</v>
      </c>
      <c r="I1946">
        <v>3</v>
      </c>
      <c r="J1946" t="s">
        <v>50</v>
      </c>
    </row>
    <row r="1947" spans="1:10" x14ac:dyDescent="0.25">
      <c r="A1947" t="s">
        <v>7355</v>
      </c>
      <c r="B1947">
        <f>111156.478000741*(1/100/100)</f>
        <v>11.1156478000741</v>
      </c>
      <c r="C1947">
        <v>19472</v>
      </c>
      <c r="D1947" t="s">
        <v>2926</v>
      </c>
      <c r="E1947">
        <v>30201</v>
      </c>
      <c r="F1947" t="s">
        <v>2921</v>
      </c>
      <c r="G1947">
        <v>302</v>
      </c>
      <c r="H1947" t="s">
        <v>51</v>
      </c>
      <c r="I1947">
        <v>3</v>
      </c>
      <c r="J1947" t="s">
        <v>50</v>
      </c>
    </row>
    <row r="1948" spans="1:10" x14ac:dyDescent="0.25">
      <c r="A1948" t="s">
        <v>7355</v>
      </c>
      <c r="B1948">
        <f>167028.568891291*(1/100/100)</f>
        <v>16.702856889129102</v>
      </c>
      <c r="C1948">
        <v>19473</v>
      </c>
      <c r="D1948" t="s">
        <v>2630</v>
      </c>
      <c r="E1948">
        <v>30201</v>
      </c>
      <c r="F1948" t="s">
        <v>2921</v>
      </c>
      <c r="G1948">
        <v>302</v>
      </c>
      <c r="H1948" t="s">
        <v>51</v>
      </c>
      <c r="I1948">
        <v>3</v>
      </c>
      <c r="J1948" t="s">
        <v>50</v>
      </c>
    </row>
    <row r="1949" spans="1:10" x14ac:dyDescent="0.25">
      <c r="A1949" t="s">
        <v>7355</v>
      </c>
      <c r="B1949">
        <f>37948.4827053343*(1/100/100)</f>
        <v>3.7948482705334303</v>
      </c>
      <c r="C1949">
        <v>19474</v>
      </c>
      <c r="D1949" t="s">
        <v>845</v>
      </c>
      <c r="E1949">
        <v>31911</v>
      </c>
      <c r="F1949" t="s">
        <v>845</v>
      </c>
      <c r="G1949">
        <v>319</v>
      </c>
      <c r="H1949" t="s">
        <v>68</v>
      </c>
      <c r="I1949">
        <v>3</v>
      </c>
      <c r="J1949" t="s">
        <v>50</v>
      </c>
    </row>
    <row r="1950" spans="1:10" x14ac:dyDescent="0.25">
      <c r="A1950" t="s">
        <v>7355</v>
      </c>
      <c r="B1950">
        <f>18948.7801854863*(1/100/100)</f>
        <v>1.89487801854863</v>
      </c>
      <c r="C1950">
        <v>19475</v>
      </c>
      <c r="D1950" t="s">
        <v>4408</v>
      </c>
      <c r="E1950">
        <v>31916</v>
      </c>
      <c r="F1950" t="s">
        <v>849</v>
      </c>
      <c r="G1950">
        <v>319</v>
      </c>
      <c r="H1950" t="s">
        <v>68</v>
      </c>
      <c r="I1950">
        <v>3</v>
      </c>
      <c r="J1950" t="s">
        <v>50</v>
      </c>
    </row>
    <row r="1951" spans="1:10" x14ac:dyDescent="0.25">
      <c r="A1951" t="s">
        <v>7355</v>
      </c>
      <c r="B1951">
        <f>23638.2019665948*(1/100/100)</f>
        <v>2.3638201966594798</v>
      </c>
      <c r="C1951">
        <v>19476</v>
      </c>
      <c r="D1951" t="s">
        <v>3941</v>
      </c>
      <c r="E1951">
        <v>31916</v>
      </c>
      <c r="F1951" t="s">
        <v>849</v>
      </c>
      <c r="G1951">
        <v>319</v>
      </c>
      <c r="H1951" t="s">
        <v>68</v>
      </c>
      <c r="I1951">
        <v>3</v>
      </c>
      <c r="J1951" t="s">
        <v>50</v>
      </c>
    </row>
    <row r="1952" spans="1:10" x14ac:dyDescent="0.25">
      <c r="A1952" t="s">
        <v>7355</v>
      </c>
      <c r="B1952">
        <f>9856.01515856007*(1/100/100)</f>
        <v>0.98560151585600708</v>
      </c>
      <c r="C1952">
        <v>19477</v>
      </c>
      <c r="D1952" t="s">
        <v>4538</v>
      </c>
      <c r="E1952">
        <v>31941</v>
      </c>
      <c r="F1952" t="s">
        <v>868</v>
      </c>
      <c r="G1952">
        <v>319</v>
      </c>
      <c r="H1952" t="s">
        <v>68</v>
      </c>
      <c r="I1952">
        <v>3</v>
      </c>
      <c r="J1952" t="s">
        <v>50</v>
      </c>
    </row>
    <row r="1953" spans="1:10" x14ac:dyDescent="0.25">
      <c r="A1953" t="s">
        <v>7355</v>
      </c>
      <c r="B1953">
        <f>4172.34508094652*(1/100/100)</f>
        <v>0.41723450809465207</v>
      </c>
      <c r="C1953">
        <v>19478</v>
      </c>
      <c r="D1953" t="s">
        <v>4370</v>
      </c>
      <c r="E1953">
        <v>31910</v>
      </c>
      <c r="F1953" t="s">
        <v>844</v>
      </c>
      <c r="G1953">
        <v>319</v>
      </c>
      <c r="H1953" t="s">
        <v>68</v>
      </c>
      <c r="I1953">
        <v>3</v>
      </c>
      <c r="J1953" t="s">
        <v>50</v>
      </c>
    </row>
    <row r="1954" spans="1:10" x14ac:dyDescent="0.25">
      <c r="A1954" t="s">
        <v>7355</v>
      </c>
      <c r="B1954">
        <f>7943.67813618996*(1/100/100)</f>
        <v>0.79436781361899611</v>
      </c>
      <c r="C1954">
        <v>19479</v>
      </c>
      <c r="D1954" t="s">
        <v>4354</v>
      </c>
      <c r="E1954">
        <v>31907</v>
      </c>
      <c r="F1954" t="s">
        <v>842</v>
      </c>
      <c r="G1954">
        <v>319</v>
      </c>
      <c r="H1954" t="s">
        <v>68</v>
      </c>
      <c r="I1954">
        <v>3</v>
      </c>
      <c r="J1954" t="s">
        <v>50</v>
      </c>
    </row>
    <row r="1955" spans="1:10" x14ac:dyDescent="0.25">
      <c r="A1955" t="s">
        <v>7355</v>
      </c>
      <c r="B1955">
        <f>44943.45429209*(1/100/100)</f>
        <v>4.4943454292089999</v>
      </c>
      <c r="C1955">
        <v>19480</v>
      </c>
      <c r="D1955" t="s">
        <v>4503</v>
      </c>
      <c r="E1955">
        <v>31934</v>
      </c>
      <c r="F1955" t="s">
        <v>864</v>
      </c>
      <c r="G1955">
        <v>319</v>
      </c>
      <c r="H1955" t="s">
        <v>68</v>
      </c>
      <c r="I1955">
        <v>3</v>
      </c>
      <c r="J1955" t="s">
        <v>50</v>
      </c>
    </row>
    <row r="1956" spans="1:10" x14ac:dyDescent="0.25">
      <c r="A1956" t="s">
        <v>7355</v>
      </c>
      <c r="B1956">
        <f>15780.3659346333*(1/100/100)</f>
        <v>1.5780365934633303</v>
      </c>
      <c r="C1956">
        <v>19481</v>
      </c>
      <c r="D1956" t="s">
        <v>2481</v>
      </c>
      <c r="E1956">
        <v>31903</v>
      </c>
      <c r="F1956" t="s">
        <v>838</v>
      </c>
      <c r="G1956">
        <v>319</v>
      </c>
      <c r="H1956" t="s">
        <v>68</v>
      </c>
      <c r="I1956">
        <v>3</v>
      </c>
      <c r="J1956" t="s">
        <v>50</v>
      </c>
    </row>
    <row r="1957" spans="1:10" x14ac:dyDescent="0.25">
      <c r="A1957" t="s">
        <v>7355</v>
      </c>
      <c r="B1957">
        <f>14466.1311880386*(1/100/100)</f>
        <v>1.44661311880386</v>
      </c>
      <c r="C1957">
        <v>19482</v>
      </c>
      <c r="D1957" t="s">
        <v>4504</v>
      </c>
      <c r="E1957">
        <v>31934</v>
      </c>
      <c r="F1957" t="s">
        <v>864</v>
      </c>
      <c r="G1957">
        <v>319</v>
      </c>
      <c r="H1957" t="s">
        <v>68</v>
      </c>
      <c r="I1957">
        <v>3</v>
      </c>
      <c r="J1957" t="s">
        <v>50</v>
      </c>
    </row>
    <row r="1958" spans="1:10" x14ac:dyDescent="0.25">
      <c r="A1958" t="s">
        <v>7355</v>
      </c>
      <c r="B1958">
        <f>25811.3227933296*(1/100/100)</f>
        <v>2.5811322793329601</v>
      </c>
      <c r="C1958">
        <v>19483</v>
      </c>
      <c r="D1958" t="s">
        <v>4539</v>
      </c>
      <c r="E1958">
        <v>31941</v>
      </c>
      <c r="F1958" t="s">
        <v>868</v>
      </c>
      <c r="G1958">
        <v>319</v>
      </c>
      <c r="H1958" t="s">
        <v>68</v>
      </c>
      <c r="I1958">
        <v>3</v>
      </c>
      <c r="J1958" t="s">
        <v>50</v>
      </c>
    </row>
    <row r="1959" spans="1:10" x14ac:dyDescent="0.25">
      <c r="A1959" t="s">
        <v>7355</v>
      </c>
      <c r="B1959">
        <f>32162.1909999695*(1/100/100)</f>
        <v>3.2162190999969504</v>
      </c>
      <c r="C1959">
        <v>19484</v>
      </c>
      <c r="D1959" t="s">
        <v>2210</v>
      </c>
      <c r="E1959">
        <v>31941</v>
      </c>
      <c r="F1959" t="s">
        <v>868</v>
      </c>
      <c r="G1959">
        <v>319</v>
      </c>
      <c r="H1959" t="s">
        <v>68</v>
      </c>
      <c r="I1959">
        <v>3</v>
      </c>
      <c r="J1959" t="s">
        <v>50</v>
      </c>
    </row>
    <row r="1960" spans="1:10" x14ac:dyDescent="0.25">
      <c r="A1960" t="s">
        <v>7355</v>
      </c>
      <c r="B1960">
        <f>6913.5632338606*(1/100/100)</f>
        <v>0.69135632338606001</v>
      </c>
      <c r="C1960">
        <v>19485</v>
      </c>
      <c r="D1960" t="s">
        <v>3766</v>
      </c>
      <c r="E1960">
        <v>31941</v>
      </c>
      <c r="F1960" t="s">
        <v>868</v>
      </c>
      <c r="G1960">
        <v>319</v>
      </c>
      <c r="H1960" t="s">
        <v>68</v>
      </c>
      <c r="I1960">
        <v>3</v>
      </c>
      <c r="J1960" t="s">
        <v>50</v>
      </c>
    </row>
    <row r="1961" spans="1:10" x14ac:dyDescent="0.25">
      <c r="A1961" t="s">
        <v>7355</v>
      </c>
      <c r="B1961">
        <f>6150.34339129997*(1/100/100)</f>
        <v>0.61503433912999705</v>
      </c>
      <c r="C1961">
        <v>19486</v>
      </c>
      <c r="D1961" t="s">
        <v>4355</v>
      </c>
      <c r="E1961">
        <v>31907</v>
      </c>
      <c r="F1961" t="s">
        <v>842</v>
      </c>
      <c r="G1961">
        <v>319</v>
      </c>
      <c r="H1961" t="s">
        <v>68</v>
      </c>
      <c r="I1961">
        <v>3</v>
      </c>
      <c r="J1961" t="s">
        <v>50</v>
      </c>
    </row>
    <row r="1962" spans="1:10" x14ac:dyDescent="0.25">
      <c r="A1962" t="s">
        <v>7355</v>
      </c>
      <c r="B1962">
        <f>18543.8528215239*(1/100/100)</f>
        <v>1.8543852821523898</v>
      </c>
      <c r="C1962">
        <v>19488</v>
      </c>
      <c r="D1962" t="s">
        <v>4334</v>
      </c>
      <c r="E1962">
        <v>31903</v>
      </c>
      <c r="F1962" t="s">
        <v>838</v>
      </c>
      <c r="G1962">
        <v>319</v>
      </c>
      <c r="H1962" t="s">
        <v>68</v>
      </c>
      <c r="I1962">
        <v>3</v>
      </c>
      <c r="J1962" t="s">
        <v>50</v>
      </c>
    </row>
    <row r="1963" spans="1:10" x14ac:dyDescent="0.25">
      <c r="A1963" t="s">
        <v>7355</v>
      </c>
      <c r="B1963">
        <f>3605.92108507805*(1/100/100)</f>
        <v>0.36059210850780504</v>
      </c>
      <c r="C1963">
        <v>19489</v>
      </c>
      <c r="D1963" t="s">
        <v>4417</v>
      </c>
      <c r="E1963">
        <v>31917</v>
      </c>
      <c r="F1963" t="s">
        <v>850</v>
      </c>
      <c r="G1963">
        <v>319</v>
      </c>
      <c r="H1963" t="s">
        <v>68</v>
      </c>
      <c r="I1963">
        <v>3</v>
      </c>
      <c r="J1963" t="s">
        <v>50</v>
      </c>
    </row>
    <row r="1964" spans="1:10" x14ac:dyDescent="0.25">
      <c r="A1964" t="s">
        <v>7355</v>
      </c>
      <c r="B1964">
        <f>3880.56876844427*(1/100/100)</f>
        <v>0.38805687684442702</v>
      </c>
      <c r="C1964">
        <v>19490</v>
      </c>
      <c r="D1964" t="s">
        <v>4505</v>
      </c>
      <c r="E1964">
        <v>31934</v>
      </c>
      <c r="F1964" t="s">
        <v>864</v>
      </c>
      <c r="G1964">
        <v>319</v>
      </c>
      <c r="H1964" t="s">
        <v>68</v>
      </c>
      <c r="I1964">
        <v>3</v>
      </c>
      <c r="J1964" t="s">
        <v>50</v>
      </c>
    </row>
    <row r="1965" spans="1:10" x14ac:dyDescent="0.25">
      <c r="A1965" t="s">
        <v>7355</v>
      </c>
      <c r="B1965">
        <f>26605.6998177992*(1/100/100)</f>
        <v>2.6605699817799202</v>
      </c>
      <c r="C1965">
        <v>19491</v>
      </c>
      <c r="D1965" t="s">
        <v>4335</v>
      </c>
      <c r="E1965">
        <v>31903</v>
      </c>
      <c r="F1965" t="s">
        <v>838</v>
      </c>
      <c r="G1965">
        <v>319</v>
      </c>
      <c r="H1965" t="s">
        <v>68</v>
      </c>
      <c r="I1965">
        <v>3</v>
      </c>
      <c r="J1965" t="s">
        <v>50</v>
      </c>
    </row>
    <row r="1966" spans="1:10" x14ac:dyDescent="0.25">
      <c r="A1966" t="s">
        <v>7355</v>
      </c>
      <c r="B1966">
        <f>6605.92342729485*(1/100/100)</f>
        <v>0.66059234272948497</v>
      </c>
      <c r="C1966">
        <v>19492</v>
      </c>
      <c r="D1966" t="s">
        <v>4522</v>
      </c>
      <c r="E1966">
        <v>31938</v>
      </c>
      <c r="F1966" t="s">
        <v>4520</v>
      </c>
      <c r="G1966">
        <v>319</v>
      </c>
      <c r="H1966" t="s">
        <v>68</v>
      </c>
      <c r="I1966">
        <v>3</v>
      </c>
      <c r="J1966" t="s">
        <v>50</v>
      </c>
    </row>
    <row r="1967" spans="1:10" x14ac:dyDescent="0.25">
      <c r="A1967" t="s">
        <v>7355</v>
      </c>
      <c r="B1967">
        <f>2314.64267109401*(1/100/100)</f>
        <v>0.23146426710940102</v>
      </c>
      <c r="C1967">
        <v>19493</v>
      </c>
      <c r="D1967" t="s">
        <v>4560</v>
      </c>
      <c r="E1967">
        <v>31947</v>
      </c>
      <c r="F1967" t="s">
        <v>872</v>
      </c>
      <c r="G1967">
        <v>319</v>
      </c>
      <c r="H1967" t="s">
        <v>68</v>
      </c>
      <c r="I1967">
        <v>3</v>
      </c>
      <c r="J1967" t="s">
        <v>50</v>
      </c>
    </row>
    <row r="1968" spans="1:10" x14ac:dyDescent="0.25">
      <c r="A1968" t="s">
        <v>7355</v>
      </c>
      <c r="B1968">
        <f>150683.432487102*(1/100/100)</f>
        <v>15.0683432487102</v>
      </c>
      <c r="C1968">
        <v>19494</v>
      </c>
      <c r="D1968" t="s">
        <v>849</v>
      </c>
      <c r="E1968">
        <v>31916</v>
      </c>
      <c r="F1968" t="s">
        <v>849</v>
      </c>
      <c r="G1968">
        <v>319</v>
      </c>
      <c r="H1968" t="s">
        <v>68</v>
      </c>
      <c r="I1968">
        <v>3</v>
      </c>
      <c r="J1968" t="s">
        <v>50</v>
      </c>
    </row>
    <row r="1969" spans="1:10" x14ac:dyDescent="0.25">
      <c r="A1969" t="s">
        <v>7355</v>
      </c>
      <c r="B1969">
        <f>40588.3773501404*(1/100/100)</f>
        <v>4.0588377350140403</v>
      </c>
      <c r="C1969">
        <v>19495</v>
      </c>
      <c r="D1969" t="s">
        <v>4418</v>
      </c>
      <c r="E1969">
        <v>31917</v>
      </c>
      <c r="F1969" t="s">
        <v>850</v>
      </c>
      <c r="G1969">
        <v>319</v>
      </c>
      <c r="H1969" t="s">
        <v>68</v>
      </c>
      <c r="I1969">
        <v>3</v>
      </c>
      <c r="J1969" t="s">
        <v>50</v>
      </c>
    </row>
    <row r="1970" spans="1:10" x14ac:dyDescent="0.25">
      <c r="A1970" t="s">
        <v>7355</v>
      </c>
      <c r="B1970">
        <f>14379.175107032*(1/100/100)</f>
        <v>1.4379175107032001</v>
      </c>
      <c r="C1970">
        <v>19496</v>
      </c>
      <c r="D1970" t="s">
        <v>4336</v>
      </c>
      <c r="E1970">
        <v>31903</v>
      </c>
      <c r="F1970" t="s">
        <v>838</v>
      </c>
      <c r="G1970">
        <v>319</v>
      </c>
      <c r="H1970" t="s">
        <v>68</v>
      </c>
      <c r="I1970">
        <v>3</v>
      </c>
      <c r="J1970" t="s">
        <v>50</v>
      </c>
    </row>
    <row r="1971" spans="1:10" x14ac:dyDescent="0.25">
      <c r="A1971" t="s">
        <v>7355</v>
      </c>
      <c r="B1971">
        <f>12067.3988159416*(1/100/100)</f>
        <v>1.2067398815941601</v>
      </c>
      <c r="C1971">
        <v>19497</v>
      </c>
      <c r="D1971" t="s">
        <v>4419</v>
      </c>
      <c r="E1971">
        <v>31917</v>
      </c>
      <c r="F1971" t="s">
        <v>850</v>
      </c>
      <c r="G1971">
        <v>319</v>
      </c>
      <c r="H1971" t="s">
        <v>68</v>
      </c>
      <c r="I1971">
        <v>3</v>
      </c>
      <c r="J1971" t="s">
        <v>50</v>
      </c>
    </row>
    <row r="1972" spans="1:10" x14ac:dyDescent="0.25">
      <c r="A1972" t="s">
        <v>7355</v>
      </c>
      <c r="B1972">
        <f>6753.10134673444*(1/100/100)</f>
        <v>0.67531013467344403</v>
      </c>
      <c r="C1972">
        <v>19498</v>
      </c>
      <c r="D1972" t="s">
        <v>4548</v>
      </c>
      <c r="E1972">
        <v>31945</v>
      </c>
      <c r="F1972" t="s">
        <v>870</v>
      </c>
      <c r="G1972">
        <v>319</v>
      </c>
      <c r="H1972" t="s">
        <v>68</v>
      </c>
      <c r="I1972">
        <v>3</v>
      </c>
      <c r="J1972" t="s">
        <v>50</v>
      </c>
    </row>
    <row r="1973" spans="1:10" x14ac:dyDescent="0.25">
      <c r="A1973" t="s">
        <v>7355</v>
      </c>
      <c r="B1973">
        <f>12129.6478596215*(1/100/100)</f>
        <v>1.2129647859621502</v>
      </c>
      <c r="C1973">
        <v>19499</v>
      </c>
      <c r="D1973" t="s">
        <v>4436</v>
      </c>
      <c r="E1973">
        <v>31922</v>
      </c>
      <c r="F1973" t="s">
        <v>855</v>
      </c>
      <c r="G1973">
        <v>319</v>
      </c>
      <c r="H1973" t="s">
        <v>68</v>
      </c>
      <c r="I1973">
        <v>3</v>
      </c>
      <c r="J1973" t="s">
        <v>50</v>
      </c>
    </row>
    <row r="1974" spans="1:10" x14ac:dyDescent="0.25">
      <c r="A1974" t="s">
        <v>7355</v>
      </c>
      <c r="B1974">
        <f>17300.5023927301*(1/100/100)</f>
        <v>1.7300502392730102</v>
      </c>
      <c r="C1974">
        <v>19500</v>
      </c>
      <c r="D1974" t="s">
        <v>4371</v>
      </c>
      <c r="E1974">
        <v>31910</v>
      </c>
      <c r="F1974" t="s">
        <v>844</v>
      </c>
      <c r="G1974">
        <v>319</v>
      </c>
      <c r="H1974" t="s">
        <v>68</v>
      </c>
      <c r="I1974">
        <v>3</v>
      </c>
      <c r="J1974" t="s">
        <v>50</v>
      </c>
    </row>
    <row r="1975" spans="1:10" x14ac:dyDescent="0.25">
      <c r="A1975" t="s">
        <v>7355</v>
      </c>
      <c r="B1975">
        <f>8099.98503998387*(1/100/100)</f>
        <v>0.80999850399838702</v>
      </c>
      <c r="C1975">
        <v>19501</v>
      </c>
      <c r="D1975" t="s">
        <v>4474</v>
      </c>
      <c r="E1975">
        <v>31929</v>
      </c>
      <c r="F1975" t="s">
        <v>861</v>
      </c>
      <c r="G1975">
        <v>319</v>
      </c>
      <c r="H1975" t="s">
        <v>68</v>
      </c>
      <c r="I1975">
        <v>3</v>
      </c>
      <c r="J1975" t="s">
        <v>50</v>
      </c>
    </row>
    <row r="1976" spans="1:10" x14ac:dyDescent="0.25">
      <c r="A1976" t="s">
        <v>7355</v>
      </c>
      <c r="B1976">
        <f>115390.060851389*(1/100/100)</f>
        <v>11.539006085138901</v>
      </c>
      <c r="C1976">
        <v>19502</v>
      </c>
      <c r="D1976" t="s">
        <v>4561</v>
      </c>
      <c r="E1976">
        <v>31947</v>
      </c>
      <c r="F1976" t="s">
        <v>872</v>
      </c>
      <c r="G1976">
        <v>319</v>
      </c>
      <c r="H1976" t="s">
        <v>68</v>
      </c>
      <c r="I1976">
        <v>3</v>
      </c>
      <c r="J1976" t="s">
        <v>50</v>
      </c>
    </row>
    <row r="1977" spans="1:10" x14ac:dyDescent="0.25">
      <c r="A1977" t="s">
        <v>7355</v>
      </c>
      <c r="B1977">
        <f>8484.81130255109*(1/100/100)</f>
        <v>0.84848113025510907</v>
      </c>
      <c r="C1977">
        <v>19503</v>
      </c>
      <c r="D1977" t="s">
        <v>2927</v>
      </c>
      <c r="E1977">
        <v>30201</v>
      </c>
      <c r="F1977" t="s">
        <v>2921</v>
      </c>
      <c r="G1977">
        <v>302</v>
      </c>
      <c r="H1977" t="s">
        <v>51</v>
      </c>
      <c r="I1977">
        <v>3</v>
      </c>
      <c r="J1977" t="s">
        <v>50</v>
      </c>
    </row>
    <row r="1978" spans="1:10" x14ac:dyDescent="0.25">
      <c r="A1978" t="s">
        <v>7355</v>
      </c>
      <c r="B1978">
        <f>3266.38687692417*(1/100/100)</f>
        <v>0.326638687692417</v>
      </c>
      <c r="C1978">
        <v>19504</v>
      </c>
      <c r="D1978" t="s">
        <v>4212</v>
      </c>
      <c r="E1978">
        <v>31917</v>
      </c>
      <c r="F1978" t="s">
        <v>850</v>
      </c>
      <c r="G1978">
        <v>319</v>
      </c>
      <c r="H1978" t="s">
        <v>68</v>
      </c>
      <c r="I1978">
        <v>3</v>
      </c>
      <c r="J1978" t="s">
        <v>50</v>
      </c>
    </row>
    <row r="1979" spans="1:10" x14ac:dyDescent="0.25">
      <c r="A1979" t="s">
        <v>7355</v>
      </c>
      <c r="B1979">
        <f>11419.0715631023*(1/100/100)</f>
        <v>1.1419071563102301</v>
      </c>
      <c r="C1979">
        <v>19505</v>
      </c>
      <c r="D1979" t="s">
        <v>4475</v>
      </c>
      <c r="E1979">
        <v>31929</v>
      </c>
      <c r="F1979" t="s">
        <v>861</v>
      </c>
      <c r="G1979">
        <v>319</v>
      </c>
      <c r="H1979" t="s">
        <v>68</v>
      </c>
      <c r="I1979">
        <v>3</v>
      </c>
      <c r="J1979" t="s">
        <v>50</v>
      </c>
    </row>
    <row r="1980" spans="1:10" x14ac:dyDescent="0.25">
      <c r="A1980" t="s">
        <v>7355</v>
      </c>
      <c r="B1980">
        <f>30242.5094759327*(1/100/100)</f>
        <v>3.02425094759327</v>
      </c>
      <c r="C1980">
        <v>19506</v>
      </c>
      <c r="D1980" t="s">
        <v>4337</v>
      </c>
      <c r="E1980">
        <v>31903</v>
      </c>
      <c r="F1980" t="s">
        <v>838</v>
      </c>
      <c r="G1980">
        <v>319</v>
      </c>
      <c r="H1980" t="s">
        <v>68</v>
      </c>
      <c r="I1980">
        <v>3</v>
      </c>
      <c r="J1980" t="s">
        <v>50</v>
      </c>
    </row>
    <row r="1981" spans="1:10" x14ac:dyDescent="0.25">
      <c r="A1981" t="s">
        <v>7355</v>
      </c>
      <c r="B1981">
        <f>8629.03829797787*(1/100/100)</f>
        <v>0.86290382979778701</v>
      </c>
      <c r="C1981">
        <v>19507</v>
      </c>
      <c r="D1981" t="s">
        <v>4420</v>
      </c>
      <c r="E1981">
        <v>31917</v>
      </c>
      <c r="F1981" t="s">
        <v>850</v>
      </c>
      <c r="G1981">
        <v>319</v>
      </c>
      <c r="H1981" t="s">
        <v>68</v>
      </c>
      <c r="I1981">
        <v>3</v>
      </c>
      <c r="J1981" t="s">
        <v>50</v>
      </c>
    </row>
    <row r="1982" spans="1:10" x14ac:dyDescent="0.25">
      <c r="A1982" t="s">
        <v>7355</v>
      </c>
      <c r="B1982">
        <f>15786.5002460899*(1/100/100)</f>
        <v>1.5786500246089901</v>
      </c>
      <c r="C1982">
        <v>19508</v>
      </c>
      <c r="D1982" t="s">
        <v>3282</v>
      </c>
      <c r="E1982">
        <v>31916</v>
      </c>
      <c r="F1982" t="s">
        <v>849</v>
      </c>
      <c r="G1982">
        <v>319</v>
      </c>
      <c r="H1982" t="s">
        <v>68</v>
      </c>
      <c r="I1982">
        <v>3</v>
      </c>
      <c r="J1982" t="s">
        <v>50</v>
      </c>
    </row>
    <row r="1983" spans="1:10" x14ac:dyDescent="0.25">
      <c r="A1983" t="s">
        <v>7355</v>
      </c>
      <c r="B1983">
        <f>4916.81573214292*(1/100/100)</f>
        <v>0.49168157321429201</v>
      </c>
      <c r="C1983">
        <v>19509</v>
      </c>
      <c r="D1983" t="s">
        <v>4421</v>
      </c>
      <c r="E1983">
        <v>31917</v>
      </c>
      <c r="F1983" t="s">
        <v>850</v>
      </c>
      <c r="G1983">
        <v>319</v>
      </c>
      <c r="H1983" t="s">
        <v>68</v>
      </c>
      <c r="I1983">
        <v>3</v>
      </c>
      <c r="J1983" t="s">
        <v>50</v>
      </c>
    </row>
    <row r="1984" spans="1:10" x14ac:dyDescent="0.25">
      <c r="A1984" t="s">
        <v>7355</v>
      </c>
      <c r="B1984">
        <f>10838.2997142346*(1/100/100)</f>
        <v>1.08382997142346</v>
      </c>
      <c r="C1984">
        <v>19510</v>
      </c>
      <c r="D1984" t="s">
        <v>4523</v>
      </c>
      <c r="E1984">
        <v>31938</v>
      </c>
      <c r="F1984" t="s">
        <v>4520</v>
      </c>
      <c r="G1984">
        <v>319</v>
      </c>
      <c r="H1984" t="s">
        <v>68</v>
      </c>
      <c r="I1984">
        <v>3</v>
      </c>
      <c r="J1984" t="s">
        <v>50</v>
      </c>
    </row>
    <row r="1985" spans="1:10" x14ac:dyDescent="0.25">
      <c r="A1985" t="s">
        <v>7355</v>
      </c>
      <c r="B1985">
        <f>11256.4082846916*(1/100/100)</f>
        <v>1.1256408284691601</v>
      </c>
      <c r="C1985">
        <v>19511</v>
      </c>
      <c r="D1985" t="s">
        <v>2255</v>
      </c>
      <c r="E1985">
        <v>31907</v>
      </c>
      <c r="F1985" t="s">
        <v>842</v>
      </c>
      <c r="G1985">
        <v>319</v>
      </c>
      <c r="H1985" t="s">
        <v>68</v>
      </c>
      <c r="I1985">
        <v>3</v>
      </c>
      <c r="J1985" t="s">
        <v>50</v>
      </c>
    </row>
    <row r="1986" spans="1:10" x14ac:dyDescent="0.25">
      <c r="A1986" t="s">
        <v>7355</v>
      </c>
      <c r="B1986">
        <f>5823.25643021942*(1/100/100)</f>
        <v>0.58232564302194201</v>
      </c>
      <c r="C1986">
        <v>19512</v>
      </c>
      <c r="D1986" t="s">
        <v>4506</v>
      </c>
      <c r="E1986">
        <v>31934</v>
      </c>
      <c r="F1986" t="s">
        <v>864</v>
      </c>
      <c r="G1986">
        <v>319</v>
      </c>
      <c r="H1986" t="s">
        <v>68</v>
      </c>
      <c r="I1986">
        <v>3</v>
      </c>
      <c r="J1986" t="s">
        <v>50</v>
      </c>
    </row>
    <row r="1987" spans="1:10" x14ac:dyDescent="0.25">
      <c r="A1987" t="s">
        <v>7355</v>
      </c>
      <c r="B1987">
        <f>2864.62172293443*(1/100/100)</f>
        <v>0.28646217229344301</v>
      </c>
      <c r="C1987">
        <v>19513</v>
      </c>
      <c r="D1987" t="s">
        <v>4549</v>
      </c>
      <c r="E1987">
        <v>31945</v>
      </c>
      <c r="F1987" t="s">
        <v>870</v>
      </c>
      <c r="G1987">
        <v>319</v>
      </c>
      <c r="H1987" t="s">
        <v>68</v>
      </c>
      <c r="I1987">
        <v>3</v>
      </c>
      <c r="J1987" t="s">
        <v>50</v>
      </c>
    </row>
    <row r="1988" spans="1:10" x14ac:dyDescent="0.25">
      <c r="A1988" t="s">
        <v>7355</v>
      </c>
      <c r="B1988">
        <f>39047.4585152906*(1/100/100)</f>
        <v>3.9047458515290603</v>
      </c>
      <c r="C1988">
        <v>19514</v>
      </c>
      <c r="D1988" t="s">
        <v>4409</v>
      </c>
      <c r="E1988">
        <v>31916</v>
      </c>
      <c r="F1988" t="s">
        <v>849</v>
      </c>
      <c r="G1988">
        <v>319</v>
      </c>
      <c r="H1988" t="s">
        <v>68</v>
      </c>
      <c r="I1988">
        <v>3</v>
      </c>
      <c r="J1988" t="s">
        <v>50</v>
      </c>
    </row>
    <row r="1989" spans="1:10" x14ac:dyDescent="0.25">
      <c r="A1989" t="s">
        <v>7355</v>
      </c>
      <c r="B1989">
        <f>22434.7477563563*(1/100/100)</f>
        <v>2.2434747756356304</v>
      </c>
      <c r="C1989">
        <v>19515</v>
      </c>
      <c r="D1989" t="s">
        <v>4410</v>
      </c>
      <c r="E1989">
        <v>31916</v>
      </c>
      <c r="F1989" t="s">
        <v>849</v>
      </c>
      <c r="G1989">
        <v>319</v>
      </c>
      <c r="H1989" t="s">
        <v>68</v>
      </c>
      <c r="I1989">
        <v>3</v>
      </c>
      <c r="J1989" t="s">
        <v>50</v>
      </c>
    </row>
    <row r="1990" spans="1:10" x14ac:dyDescent="0.25">
      <c r="A1990" t="s">
        <v>7355</v>
      </c>
      <c r="B1990">
        <f>16334.6168726236*(1/100/100)</f>
        <v>1.63346168726236</v>
      </c>
      <c r="C1990">
        <v>19516</v>
      </c>
      <c r="D1990" t="s">
        <v>3177</v>
      </c>
      <c r="E1990">
        <v>31922</v>
      </c>
      <c r="F1990" t="s">
        <v>855</v>
      </c>
      <c r="G1990">
        <v>319</v>
      </c>
      <c r="H1990" t="s">
        <v>68</v>
      </c>
      <c r="I1990">
        <v>3</v>
      </c>
      <c r="J1990" t="s">
        <v>50</v>
      </c>
    </row>
    <row r="1991" spans="1:10" x14ac:dyDescent="0.25">
      <c r="A1991" t="s">
        <v>7355</v>
      </c>
      <c r="B1991">
        <f>50627.5088409513*(1/100/100)</f>
        <v>5.0627508840951299</v>
      </c>
      <c r="C1991">
        <v>19517</v>
      </c>
      <c r="D1991" t="s">
        <v>4524</v>
      </c>
      <c r="E1991">
        <v>31938</v>
      </c>
      <c r="F1991" t="s">
        <v>4520</v>
      </c>
      <c r="G1991">
        <v>319</v>
      </c>
      <c r="H1991" t="s">
        <v>68</v>
      </c>
      <c r="I1991">
        <v>3</v>
      </c>
      <c r="J1991" t="s">
        <v>50</v>
      </c>
    </row>
    <row r="1992" spans="1:10" x14ac:dyDescent="0.25">
      <c r="A1992" t="s">
        <v>7355</v>
      </c>
      <c r="B1992">
        <f>118927.312748085*(1/100/100)</f>
        <v>11.892731274808501</v>
      </c>
      <c r="C1992">
        <v>19518</v>
      </c>
      <c r="D1992" t="s">
        <v>4437</v>
      </c>
      <c r="E1992">
        <v>31922</v>
      </c>
      <c r="F1992" t="s">
        <v>855</v>
      </c>
      <c r="G1992">
        <v>319</v>
      </c>
      <c r="H1992" t="s">
        <v>68</v>
      </c>
      <c r="I1992">
        <v>3</v>
      </c>
      <c r="J1992" t="s">
        <v>50</v>
      </c>
    </row>
    <row r="1993" spans="1:10" x14ac:dyDescent="0.25">
      <c r="A1993" t="s">
        <v>7355</v>
      </c>
      <c r="B1993">
        <f>8474.56359341413*(1/100/100)</f>
        <v>0.84745635934141306</v>
      </c>
      <c r="C1993">
        <v>19519</v>
      </c>
      <c r="D1993" t="s">
        <v>2928</v>
      </c>
      <c r="E1993">
        <v>30201</v>
      </c>
      <c r="F1993" t="s">
        <v>2921</v>
      </c>
      <c r="G1993">
        <v>302</v>
      </c>
      <c r="H1993" t="s">
        <v>51</v>
      </c>
      <c r="I1993">
        <v>3</v>
      </c>
      <c r="J1993" t="s">
        <v>50</v>
      </c>
    </row>
    <row r="1994" spans="1:10" x14ac:dyDescent="0.25">
      <c r="A1994" t="s">
        <v>7355</v>
      </c>
      <c r="B1994">
        <f>17508.3719747504*(1/100/100)</f>
        <v>1.7508371974750401</v>
      </c>
      <c r="C1994">
        <v>19520</v>
      </c>
      <c r="D1994" t="s">
        <v>4338</v>
      </c>
      <c r="E1994">
        <v>31903</v>
      </c>
      <c r="F1994" t="s">
        <v>838</v>
      </c>
      <c r="G1994">
        <v>319</v>
      </c>
      <c r="H1994" t="s">
        <v>68</v>
      </c>
      <c r="I1994">
        <v>3</v>
      </c>
      <c r="J1994" t="s">
        <v>50</v>
      </c>
    </row>
    <row r="1995" spans="1:10" x14ac:dyDescent="0.25">
      <c r="A1995" t="s">
        <v>7355</v>
      </c>
      <c r="B1995">
        <f>16618.2353516438*(1/100/100)</f>
        <v>1.6618235351643802</v>
      </c>
      <c r="C1995">
        <v>19521</v>
      </c>
      <c r="D1995" t="s">
        <v>3898</v>
      </c>
      <c r="E1995">
        <v>31923</v>
      </c>
      <c r="F1995" t="s">
        <v>856</v>
      </c>
      <c r="G1995">
        <v>319</v>
      </c>
      <c r="H1995" t="s">
        <v>68</v>
      </c>
      <c r="I1995">
        <v>3</v>
      </c>
      <c r="J1995" t="s">
        <v>50</v>
      </c>
    </row>
    <row r="1996" spans="1:10" x14ac:dyDescent="0.25">
      <c r="A1996" t="s">
        <v>7355</v>
      </c>
      <c r="B1996">
        <f>18517.680518755*(1/100/100)</f>
        <v>1.8517680518755002</v>
      </c>
      <c r="C1996">
        <v>19522</v>
      </c>
      <c r="D1996" t="s">
        <v>4339</v>
      </c>
      <c r="E1996">
        <v>31903</v>
      </c>
      <c r="F1996" t="s">
        <v>838</v>
      </c>
      <c r="G1996">
        <v>319</v>
      </c>
      <c r="H1996" t="s">
        <v>68</v>
      </c>
      <c r="I1996">
        <v>3</v>
      </c>
      <c r="J1996" t="s">
        <v>50</v>
      </c>
    </row>
    <row r="1997" spans="1:10" x14ac:dyDescent="0.25">
      <c r="A1997" t="s">
        <v>7355</v>
      </c>
      <c r="B1997">
        <f>92586.5037271583*(1/100/100)</f>
        <v>9.2586503727158309</v>
      </c>
      <c r="C1997">
        <v>19523</v>
      </c>
      <c r="D1997" t="s">
        <v>4442</v>
      </c>
      <c r="E1997">
        <v>31923</v>
      </c>
      <c r="F1997" t="s">
        <v>856</v>
      </c>
      <c r="G1997">
        <v>319</v>
      </c>
      <c r="H1997" t="s">
        <v>68</v>
      </c>
      <c r="I1997">
        <v>3</v>
      </c>
      <c r="J1997" t="s">
        <v>50</v>
      </c>
    </row>
    <row r="1998" spans="1:10" x14ac:dyDescent="0.25">
      <c r="A1998" t="s">
        <v>7355</v>
      </c>
      <c r="B1998">
        <f>27929.7303087187*(1/100/100)</f>
        <v>2.7929730308718699</v>
      </c>
      <c r="C1998">
        <v>19524</v>
      </c>
      <c r="D1998" t="s">
        <v>4443</v>
      </c>
      <c r="E1998">
        <v>31923</v>
      </c>
      <c r="F1998" t="s">
        <v>856</v>
      </c>
      <c r="G1998">
        <v>319</v>
      </c>
      <c r="H1998" t="s">
        <v>68</v>
      </c>
      <c r="I1998">
        <v>3</v>
      </c>
      <c r="J1998" t="s">
        <v>50</v>
      </c>
    </row>
    <row r="1999" spans="1:10" x14ac:dyDescent="0.25">
      <c r="A1999" t="s">
        <v>7355</v>
      </c>
      <c r="B1999">
        <f>23747.4283935082*(1/100/100)</f>
        <v>2.3747428393508199</v>
      </c>
      <c r="C1999">
        <v>19525</v>
      </c>
      <c r="D1999" t="s">
        <v>4438</v>
      </c>
      <c r="E1999">
        <v>31922</v>
      </c>
      <c r="F1999" t="s">
        <v>855</v>
      </c>
      <c r="G1999">
        <v>319</v>
      </c>
      <c r="H1999" t="s">
        <v>68</v>
      </c>
      <c r="I1999">
        <v>3</v>
      </c>
      <c r="J1999" t="s">
        <v>50</v>
      </c>
    </row>
    <row r="2000" spans="1:10" x14ac:dyDescent="0.25">
      <c r="A2000" t="s">
        <v>7355</v>
      </c>
      <c r="B2000">
        <f>23749.9806797184*(1/100/100)</f>
        <v>2.3749980679718399</v>
      </c>
      <c r="C2000">
        <v>19526</v>
      </c>
      <c r="D2000" t="s">
        <v>4422</v>
      </c>
      <c r="E2000">
        <v>31917</v>
      </c>
      <c r="F2000" t="s">
        <v>850</v>
      </c>
      <c r="G2000">
        <v>319</v>
      </c>
      <c r="H2000" t="s">
        <v>68</v>
      </c>
      <c r="I2000">
        <v>3</v>
      </c>
      <c r="J2000" t="s">
        <v>50</v>
      </c>
    </row>
    <row r="2001" spans="1:10" x14ac:dyDescent="0.25">
      <c r="A2001" t="s">
        <v>7355</v>
      </c>
      <c r="B2001">
        <f>3724.37984371755*(1/100/100)</f>
        <v>0.37243798437175502</v>
      </c>
      <c r="C2001">
        <v>19527</v>
      </c>
      <c r="D2001" t="s">
        <v>3121</v>
      </c>
      <c r="E2001">
        <v>31922</v>
      </c>
      <c r="F2001" t="s">
        <v>855</v>
      </c>
      <c r="G2001">
        <v>319</v>
      </c>
      <c r="H2001" t="s">
        <v>68</v>
      </c>
      <c r="I2001">
        <v>3</v>
      </c>
      <c r="J2001" t="s">
        <v>50</v>
      </c>
    </row>
    <row r="2002" spans="1:10" x14ac:dyDescent="0.25">
      <c r="A2002" t="s">
        <v>7355</v>
      </c>
      <c r="B2002">
        <f>41612.816363634*(1/100/100)</f>
        <v>4.1612816363634009</v>
      </c>
      <c r="C2002">
        <v>19528</v>
      </c>
      <c r="D2002" t="s">
        <v>2929</v>
      </c>
      <c r="E2002">
        <v>30201</v>
      </c>
      <c r="F2002" t="s">
        <v>2921</v>
      </c>
      <c r="G2002">
        <v>302</v>
      </c>
      <c r="H2002" t="s">
        <v>51</v>
      </c>
      <c r="I2002">
        <v>3</v>
      </c>
      <c r="J2002" t="s">
        <v>50</v>
      </c>
    </row>
    <row r="2003" spans="1:10" x14ac:dyDescent="0.25">
      <c r="A2003" t="s">
        <v>7355</v>
      </c>
      <c r="B2003">
        <f>63494.9728408349*(1/100/100)</f>
        <v>6.3494972840834896</v>
      </c>
      <c r="C2003">
        <v>19529</v>
      </c>
      <c r="D2003" t="s">
        <v>4550</v>
      </c>
      <c r="E2003">
        <v>31945</v>
      </c>
      <c r="F2003" t="s">
        <v>870</v>
      </c>
      <c r="G2003">
        <v>319</v>
      </c>
      <c r="H2003" t="s">
        <v>68</v>
      </c>
      <c r="I2003">
        <v>3</v>
      </c>
      <c r="J2003" t="s">
        <v>50</v>
      </c>
    </row>
    <row r="2004" spans="1:10" x14ac:dyDescent="0.25">
      <c r="A2004" t="s">
        <v>7355</v>
      </c>
      <c r="B2004">
        <f>18568.2079560609*(1/100/100)</f>
        <v>1.8568207956060903</v>
      </c>
      <c r="C2004">
        <v>19530</v>
      </c>
      <c r="D2004" t="s">
        <v>2930</v>
      </c>
      <c r="E2004">
        <v>30201</v>
      </c>
      <c r="F2004" t="s">
        <v>2921</v>
      </c>
      <c r="G2004">
        <v>302</v>
      </c>
      <c r="H2004" t="s">
        <v>51</v>
      </c>
      <c r="I2004">
        <v>3</v>
      </c>
      <c r="J2004" t="s">
        <v>50</v>
      </c>
    </row>
    <row r="2005" spans="1:10" x14ac:dyDescent="0.25">
      <c r="A2005" t="s">
        <v>7355</v>
      </c>
      <c r="B2005">
        <f>18527.2703611731*(1/100/100)</f>
        <v>1.8527270361173103</v>
      </c>
      <c r="C2005">
        <v>19531</v>
      </c>
      <c r="D2005" t="s">
        <v>857</v>
      </c>
      <c r="E2005">
        <v>31925</v>
      </c>
      <c r="F2005" t="s">
        <v>857</v>
      </c>
      <c r="G2005">
        <v>319</v>
      </c>
      <c r="H2005" t="s">
        <v>68</v>
      </c>
      <c r="I2005">
        <v>3</v>
      </c>
      <c r="J2005" t="s">
        <v>50</v>
      </c>
    </row>
    <row r="2006" spans="1:10" x14ac:dyDescent="0.25">
      <c r="A2006" t="s">
        <v>7355</v>
      </c>
      <c r="B2006">
        <f>5140.41720918802*(1/100/100)</f>
        <v>0.51404172091880207</v>
      </c>
      <c r="C2006">
        <v>19532</v>
      </c>
      <c r="D2006" t="s">
        <v>4439</v>
      </c>
      <c r="E2006">
        <v>31922</v>
      </c>
      <c r="F2006" t="s">
        <v>855</v>
      </c>
      <c r="G2006">
        <v>319</v>
      </c>
      <c r="H2006" t="s">
        <v>68</v>
      </c>
      <c r="I2006">
        <v>3</v>
      </c>
      <c r="J2006" t="s">
        <v>50</v>
      </c>
    </row>
    <row r="2007" spans="1:10" x14ac:dyDescent="0.25">
      <c r="A2007" t="s">
        <v>7355</v>
      </c>
      <c r="B2007">
        <f>9834.68320395617*(1/100/100)</f>
        <v>0.98346832039561705</v>
      </c>
      <c r="C2007">
        <v>19533</v>
      </c>
      <c r="D2007" t="s">
        <v>4476</v>
      </c>
      <c r="E2007">
        <v>31929</v>
      </c>
      <c r="F2007" t="s">
        <v>861</v>
      </c>
      <c r="G2007">
        <v>319</v>
      </c>
      <c r="H2007" t="s">
        <v>68</v>
      </c>
      <c r="I2007">
        <v>3</v>
      </c>
      <c r="J2007" t="s">
        <v>50</v>
      </c>
    </row>
    <row r="2008" spans="1:10" x14ac:dyDescent="0.25">
      <c r="A2008" t="s">
        <v>7355</v>
      </c>
      <c r="B2008">
        <f>10447.3645347248*(1/100/100)</f>
        <v>1.0447364534724801</v>
      </c>
      <c r="C2008">
        <v>19534</v>
      </c>
      <c r="D2008" t="s">
        <v>4507</v>
      </c>
      <c r="E2008">
        <v>31934</v>
      </c>
      <c r="F2008" t="s">
        <v>864</v>
      </c>
      <c r="G2008">
        <v>319</v>
      </c>
      <c r="H2008" t="s">
        <v>68</v>
      </c>
      <c r="I2008">
        <v>3</v>
      </c>
      <c r="J2008" t="s">
        <v>50</v>
      </c>
    </row>
    <row r="2009" spans="1:10" x14ac:dyDescent="0.25">
      <c r="A2009" t="s">
        <v>7355</v>
      </c>
      <c r="B2009">
        <f>4705.70716803052*(1/100/100)</f>
        <v>0.47057071680305201</v>
      </c>
      <c r="C2009">
        <v>19535</v>
      </c>
      <c r="D2009" t="s">
        <v>4525</v>
      </c>
      <c r="E2009">
        <v>31938</v>
      </c>
      <c r="F2009" t="s">
        <v>4520</v>
      </c>
      <c r="G2009">
        <v>319</v>
      </c>
      <c r="H2009" t="s">
        <v>68</v>
      </c>
      <c r="I2009">
        <v>3</v>
      </c>
      <c r="J2009" t="s">
        <v>50</v>
      </c>
    </row>
    <row r="2010" spans="1:10" x14ac:dyDescent="0.25">
      <c r="A2010" t="s">
        <v>7355</v>
      </c>
      <c r="B2010">
        <f>35413.3265780797*(1/100/100)</f>
        <v>3.5413326578079705</v>
      </c>
      <c r="C2010">
        <v>19536</v>
      </c>
      <c r="D2010" t="s">
        <v>2931</v>
      </c>
      <c r="E2010">
        <v>30201</v>
      </c>
      <c r="F2010" t="s">
        <v>2921</v>
      </c>
      <c r="G2010">
        <v>302</v>
      </c>
      <c r="H2010" t="s">
        <v>51</v>
      </c>
      <c r="I2010">
        <v>3</v>
      </c>
      <c r="J2010" t="s">
        <v>50</v>
      </c>
    </row>
    <row r="2011" spans="1:10" x14ac:dyDescent="0.25">
      <c r="A2011" t="s">
        <v>7355</v>
      </c>
      <c r="B2011">
        <f>732.358157084146*(1/100/100)</f>
        <v>7.3235815708414601E-2</v>
      </c>
      <c r="C2011">
        <v>19537</v>
      </c>
      <c r="D2011" t="s">
        <v>4372</v>
      </c>
      <c r="E2011">
        <v>31910</v>
      </c>
      <c r="F2011" t="s">
        <v>844</v>
      </c>
      <c r="G2011">
        <v>319</v>
      </c>
      <c r="H2011" t="s">
        <v>68</v>
      </c>
      <c r="I2011">
        <v>3</v>
      </c>
      <c r="J2011" t="s">
        <v>50</v>
      </c>
    </row>
    <row r="2012" spans="1:10" x14ac:dyDescent="0.25">
      <c r="A2012" t="s">
        <v>7355</v>
      </c>
      <c r="B2012">
        <f>5159.93575230027*(1/100/100)</f>
        <v>0.51599357523002698</v>
      </c>
      <c r="C2012">
        <v>19538</v>
      </c>
      <c r="D2012" t="s">
        <v>4551</v>
      </c>
      <c r="E2012">
        <v>31945</v>
      </c>
      <c r="F2012" t="s">
        <v>870</v>
      </c>
      <c r="G2012">
        <v>319</v>
      </c>
      <c r="H2012" t="s">
        <v>68</v>
      </c>
      <c r="I2012">
        <v>3</v>
      </c>
      <c r="J2012" t="s">
        <v>50</v>
      </c>
    </row>
    <row r="2013" spans="1:10" x14ac:dyDescent="0.25">
      <c r="A2013" t="s">
        <v>7355</v>
      </c>
      <c r="B2013">
        <f>6395.10803506111*(1/100/100)</f>
        <v>0.639510803506111</v>
      </c>
      <c r="C2013">
        <v>19539</v>
      </c>
      <c r="D2013" t="s">
        <v>4382</v>
      </c>
      <c r="E2013">
        <v>31911</v>
      </c>
      <c r="F2013" t="s">
        <v>845</v>
      </c>
      <c r="G2013">
        <v>319</v>
      </c>
      <c r="H2013" t="s">
        <v>68</v>
      </c>
      <c r="I2013">
        <v>3</v>
      </c>
      <c r="J2013" t="s">
        <v>50</v>
      </c>
    </row>
    <row r="2014" spans="1:10" x14ac:dyDescent="0.25">
      <c r="A2014" t="s">
        <v>7355</v>
      </c>
      <c r="B2014">
        <f>12971.4766484891*(1/100/100)</f>
        <v>1.2971476648489102</v>
      </c>
      <c r="C2014">
        <v>19540</v>
      </c>
      <c r="D2014" t="s">
        <v>2932</v>
      </c>
      <c r="E2014">
        <v>30201</v>
      </c>
      <c r="F2014" t="s">
        <v>2921</v>
      </c>
      <c r="G2014">
        <v>302</v>
      </c>
      <c r="H2014" t="s">
        <v>51</v>
      </c>
      <c r="I2014">
        <v>3</v>
      </c>
      <c r="J2014" t="s">
        <v>50</v>
      </c>
    </row>
    <row r="2015" spans="1:10" x14ac:dyDescent="0.25">
      <c r="A2015" t="s">
        <v>7355</v>
      </c>
      <c r="B2015">
        <f>24619.8429051572*(1/100/100)</f>
        <v>2.4619842905157201</v>
      </c>
      <c r="C2015">
        <v>19541</v>
      </c>
      <c r="D2015" t="s">
        <v>4508</v>
      </c>
      <c r="E2015">
        <v>31934</v>
      </c>
      <c r="F2015" t="s">
        <v>864</v>
      </c>
      <c r="G2015">
        <v>319</v>
      </c>
      <c r="H2015" t="s">
        <v>68</v>
      </c>
      <c r="I2015">
        <v>3</v>
      </c>
      <c r="J2015" t="s">
        <v>50</v>
      </c>
    </row>
    <row r="2016" spans="1:10" x14ac:dyDescent="0.25">
      <c r="A2016" t="s">
        <v>7355</v>
      </c>
      <c r="B2016">
        <f>18651.5456447651*(1/100/100)</f>
        <v>1.8651545644765102</v>
      </c>
      <c r="C2016">
        <v>19542</v>
      </c>
      <c r="D2016" t="s">
        <v>1329</v>
      </c>
      <c r="E2016">
        <v>31910</v>
      </c>
      <c r="F2016" t="s">
        <v>844</v>
      </c>
      <c r="G2016">
        <v>319</v>
      </c>
      <c r="H2016" t="s">
        <v>68</v>
      </c>
      <c r="I2016">
        <v>3</v>
      </c>
      <c r="J2016" t="s">
        <v>50</v>
      </c>
    </row>
    <row r="2017" spans="1:10" x14ac:dyDescent="0.25">
      <c r="A2017" t="s">
        <v>7355</v>
      </c>
      <c r="B2017">
        <f>2181.74609191167*(1/100/100)</f>
        <v>0.21817460919116702</v>
      </c>
      <c r="C2017">
        <v>19543</v>
      </c>
      <c r="D2017" t="s">
        <v>4373</v>
      </c>
      <c r="E2017">
        <v>31910</v>
      </c>
      <c r="F2017" t="s">
        <v>844</v>
      </c>
      <c r="G2017">
        <v>319</v>
      </c>
      <c r="H2017" t="s">
        <v>68</v>
      </c>
      <c r="I2017">
        <v>3</v>
      </c>
      <c r="J2017" t="s">
        <v>50</v>
      </c>
    </row>
    <row r="2018" spans="1:10" x14ac:dyDescent="0.25">
      <c r="A2018" t="s">
        <v>7355</v>
      </c>
      <c r="B2018">
        <f>1452305.58849313*(1/100/100)</f>
        <v>145.23055884931301</v>
      </c>
      <c r="C2018">
        <v>19544</v>
      </c>
      <c r="D2018" t="s">
        <v>2921</v>
      </c>
      <c r="E2018">
        <v>30201</v>
      </c>
      <c r="F2018" t="s">
        <v>2921</v>
      </c>
      <c r="G2018">
        <v>302</v>
      </c>
      <c r="H2018" t="s">
        <v>51</v>
      </c>
      <c r="I2018">
        <v>3</v>
      </c>
      <c r="J2018" t="s">
        <v>50</v>
      </c>
    </row>
    <row r="2019" spans="1:10" x14ac:dyDescent="0.25">
      <c r="A2019" t="s">
        <v>7355</v>
      </c>
      <c r="B2019">
        <f>19608.2260633428*(1/100/100)</f>
        <v>1.9608226063342802</v>
      </c>
      <c r="C2019">
        <v>19545</v>
      </c>
      <c r="D2019" t="s">
        <v>4562</v>
      </c>
      <c r="E2019">
        <v>31947</v>
      </c>
      <c r="F2019" t="s">
        <v>872</v>
      </c>
      <c r="G2019">
        <v>319</v>
      </c>
      <c r="H2019" t="s">
        <v>68</v>
      </c>
      <c r="I2019">
        <v>3</v>
      </c>
      <c r="J2019" t="s">
        <v>50</v>
      </c>
    </row>
    <row r="2020" spans="1:10" x14ac:dyDescent="0.25">
      <c r="A2020" t="s">
        <v>7355</v>
      </c>
      <c r="B2020">
        <f>20260.8420360484*(1/100/100)</f>
        <v>2.0260842036048401</v>
      </c>
      <c r="C2020">
        <v>19546</v>
      </c>
      <c r="D2020" t="s">
        <v>4440</v>
      </c>
      <c r="E2020">
        <v>31922</v>
      </c>
      <c r="F2020" t="s">
        <v>855</v>
      </c>
      <c r="G2020">
        <v>319</v>
      </c>
      <c r="H2020" t="s">
        <v>68</v>
      </c>
      <c r="I2020">
        <v>3</v>
      </c>
      <c r="J2020" t="s">
        <v>50</v>
      </c>
    </row>
    <row r="2021" spans="1:10" x14ac:dyDescent="0.25">
      <c r="A2021" t="s">
        <v>7355</v>
      </c>
      <c r="B2021">
        <f>224694.366956528*(1/100/100)</f>
        <v>22.469436695652803</v>
      </c>
      <c r="C2021">
        <v>19547</v>
      </c>
      <c r="D2021" t="s">
        <v>2933</v>
      </c>
      <c r="E2021">
        <v>30201</v>
      </c>
      <c r="F2021" t="s">
        <v>2921</v>
      </c>
      <c r="G2021">
        <v>302</v>
      </c>
      <c r="H2021" t="s">
        <v>51</v>
      </c>
      <c r="I2021">
        <v>3</v>
      </c>
      <c r="J2021" t="s">
        <v>50</v>
      </c>
    </row>
    <row r="2022" spans="1:10" x14ac:dyDescent="0.25">
      <c r="A2022" t="s">
        <v>7355</v>
      </c>
      <c r="B2022">
        <f>138899.997112007*(1/100/100)</f>
        <v>13.8899997112007</v>
      </c>
      <c r="C2022">
        <v>19548</v>
      </c>
      <c r="D2022" t="s">
        <v>863</v>
      </c>
      <c r="E2022">
        <v>31932</v>
      </c>
      <c r="F2022" t="s">
        <v>863</v>
      </c>
      <c r="G2022">
        <v>319</v>
      </c>
      <c r="H2022" t="s">
        <v>68</v>
      </c>
      <c r="I2022">
        <v>3</v>
      </c>
      <c r="J2022" t="s">
        <v>50</v>
      </c>
    </row>
    <row r="2023" spans="1:10" x14ac:dyDescent="0.25">
      <c r="A2023" t="s">
        <v>7355</v>
      </c>
      <c r="B2023">
        <f>132.140561043237*(1/100/100)</f>
        <v>1.3214056104323701E-2</v>
      </c>
      <c r="C2023">
        <v>19549</v>
      </c>
      <c r="D2023" t="s">
        <v>4509</v>
      </c>
      <c r="E2023">
        <v>31934</v>
      </c>
      <c r="F2023" t="s">
        <v>864</v>
      </c>
      <c r="G2023">
        <v>319</v>
      </c>
      <c r="H2023" t="s">
        <v>68</v>
      </c>
      <c r="I2023">
        <v>3</v>
      </c>
      <c r="J2023" t="s">
        <v>50</v>
      </c>
    </row>
    <row r="2024" spans="1:10" x14ac:dyDescent="0.25">
      <c r="A2024" t="s">
        <v>7355</v>
      </c>
      <c r="B2024">
        <f>29331.3380013357*(1/100/100)</f>
        <v>2.9331338001335698</v>
      </c>
      <c r="C2024">
        <v>19550</v>
      </c>
      <c r="D2024" t="s">
        <v>4449</v>
      </c>
      <c r="E2024">
        <v>31925</v>
      </c>
      <c r="F2024" t="s">
        <v>857</v>
      </c>
      <c r="G2024">
        <v>319</v>
      </c>
      <c r="H2024" t="s">
        <v>68</v>
      </c>
      <c r="I2024">
        <v>3</v>
      </c>
      <c r="J2024" t="s">
        <v>50</v>
      </c>
    </row>
    <row r="2025" spans="1:10" x14ac:dyDescent="0.25">
      <c r="A2025" t="s">
        <v>7355</v>
      </c>
      <c r="B2025">
        <f>39144.7961844149*(1/100/100)</f>
        <v>3.9144796184414905</v>
      </c>
      <c r="C2025">
        <v>19551</v>
      </c>
      <c r="D2025" t="s">
        <v>2934</v>
      </c>
      <c r="E2025">
        <v>30201</v>
      </c>
      <c r="F2025" t="s">
        <v>2921</v>
      </c>
      <c r="G2025">
        <v>302</v>
      </c>
      <c r="H2025" t="s">
        <v>51</v>
      </c>
      <c r="I2025">
        <v>3</v>
      </c>
      <c r="J2025" t="s">
        <v>50</v>
      </c>
    </row>
    <row r="2026" spans="1:10" x14ac:dyDescent="0.25">
      <c r="A2026" t="s">
        <v>7355</v>
      </c>
      <c r="B2026">
        <f>90115.7984262857*(1/100/100)</f>
        <v>9.0115798426285707</v>
      </c>
      <c r="C2026">
        <v>19552</v>
      </c>
      <c r="D2026" t="s">
        <v>864</v>
      </c>
      <c r="E2026">
        <v>31934</v>
      </c>
      <c r="F2026" t="s">
        <v>864</v>
      </c>
      <c r="G2026">
        <v>319</v>
      </c>
      <c r="H2026" t="s">
        <v>68</v>
      </c>
      <c r="I2026">
        <v>3</v>
      </c>
      <c r="J2026" t="s">
        <v>50</v>
      </c>
    </row>
    <row r="2027" spans="1:10" x14ac:dyDescent="0.25">
      <c r="A2027" t="s">
        <v>7355</v>
      </c>
      <c r="B2027">
        <f>21587.8112468597*(1/100/100)</f>
        <v>2.1587811246859698</v>
      </c>
      <c r="C2027">
        <v>19553</v>
      </c>
      <c r="D2027" t="s">
        <v>4526</v>
      </c>
      <c r="E2027">
        <v>31938</v>
      </c>
      <c r="F2027" t="s">
        <v>4520</v>
      </c>
      <c r="G2027">
        <v>319</v>
      </c>
      <c r="H2027" t="s">
        <v>68</v>
      </c>
      <c r="I2027">
        <v>3</v>
      </c>
      <c r="J2027" t="s">
        <v>50</v>
      </c>
    </row>
    <row r="2028" spans="1:10" x14ac:dyDescent="0.25">
      <c r="A2028" t="s">
        <v>7355</v>
      </c>
      <c r="B2028">
        <f>30363.0037405646*(1/100/100)</f>
        <v>3.0363003740564602</v>
      </c>
      <c r="C2028">
        <v>19554</v>
      </c>
      <c r="D2028" t="s">
        <v>2935</v>
      </c>
      <c r="E2028">
        <v>30201</v>
      </c>
      <c r="F2028" t="s">
        <v>2921</v>
      </c>
      <c r="G2028">
        <v>302</v>
      </c>
      <c r="H2028" t="s">
        <v>51</v>
      </c>
      <c r="I2028">
        <v>3</v>
      </c>
      <c r="J2028" t="s">
        <v>50</v>
      </c>
    </row>
    <row r="2029" spans="1:10" x14ac:dyDescent="0.25">
      <c r="A2029" t="s">
        <v>7355</v>
      </c>
      <c r="B2029">
        <f>249378.725924715*(1/100/100)</f>
        <v>24.9378725924715</v>
      </c>
      <c r="C2029">
        <v>19555</v>
      </c>
      <c r="D2029" t="s">
        <v>2936</v>
      </c>
      <c r="E2029">
        <v>30201</v>
      </c>
      <c r="F2029" t="s">
        <v>2921</v>
      </c>
      <c r="G2029">
        <v>302</v>
      </c>
      <c r="H2029" t="s">
        <v>51</v>
      </c>
      <c r="I2029">
        <v>3</v>
      </c>
      <c r="J2029" t="s">
        <v>50</v>
      </c>
    </row>
    <row r="2030" spans="1:10" x14ac:dyDescent="0.25">
      <c r="A2030" t="s">
        <v>7355</v>
      </c>
      <c r="B2030">
        <f>49851.9310547511*(1/100/100)</f>
        <v>4.9851931054751102</v>
      </c>
      <c r="C2030">
        <v>19556</v>
      </c>
      <c r="D2030" t="s">
        <v>2937</v>
      </c>
      <c r="E2030">
        <v>30201</v>
      </c>
      <c r="F2030" t="s">
        <v>2921</v>
      </c>
      <c r="G2030">
        <v>302</v>
      </c>
      <c r="H2030" t="s">
        <v>51</v>
      </c>
      <c r="I2030">
        <v>3</v>
      </c>
      <c r="J2030" t="s">
        <v>50</v>
      </c>
    </row>
    <row r="2031" spans="1:10" x14ac:dyDescent="0.25">
      <c r="A2031" t="s">
        <v>7355</v>
      </c>
      <c r="B2031">
        <f>3958.19251855286*(1/100/100)</f>
        <v>0.39581925185528599</v>
      </c>
      <c r="C2031">
        <v>19557</v>
      </c>
      <c r="D2031" t="s">
        <v>2938</v>
      </c>
      <c r="E2031">
        <v>30201</v>
      </c>
      <c r="F2031" t="s">
        <v>2921</v>
      </c>
      <c r="G2031">
        <v>302</v>
      </c>
      <c r="H2031" t="s">
        <v>51</v>
      </c>
      <c r="I2031">
        <v>3</v>
      </c>
      <c r="J2031" t="s">
        <v>50</v>
      </c>
    </row>
    <row r="2032" spans="1:10" x14ac:dyDescent="0.25">
      <c r="A2032" t="s">
        <v>7355</v>
      </c>
      <c r="B2032">
        <f>13227.0551153089*(1/100/100)</f>
        <v>1.3227055115308901</v>
      </c>
      <c r="C2032">
        <v>19558</v>
      </c>
      <c r="D2032" t="s">
        <v>4527</v>
      </c>
      <c r="E2032">
        <v>31938</v>
      </c>
      <c r="F2032" t="s">
        <v>4520</v>
      </c>
      <c r="G2032">
        <v>319</v>
      </c>
      <c r="H2032" t="s">
        <v>68</v>
      </c>
      <c r="I2032">
        <v>3</v>
      </c>
      <c r="J2032" t="s">
        <v>50</v>
      </c>
    </row>
    <row r="2033" spans="1:10" x14ac:dyDescent="0.25">
      <c r="A2033" t="s">
        <v>7355</v>
      </c>
      <c r="B2033">
        <f>4999.08256898942*(1/100/100)</f>
        <v>0.49990825689894203</v>
      </c>
      <c r="C2033">
        <v>19559</v>
      </c>
      <c r="D2033" t="s">
        <v>3175</v>
      </c>
      <c r="E2033">
        <v>31910</v>
      </c>
      <c r="F2033" t="s">
        <v>844</v>
      </c>
      <c r="G2033">
        <v>319</v>
      </c>
      <c r="H2033" t="s">
        <v>68</v>
      </c>
      <c r="I2033">
        <v>3</v>
      </c>
      <c r="J2033" t="s">
        <v>50</v>
      </c>
    </row>
    <row r="2034" spans="1:10" x14ac:dyDescent="0.25">
      <c r="A2034" t="s">
        <v>7355</v>
      </c>
      <c r="B2034">
        <f>189894.139345531*(1/100/100)</f>
        <v>18.989413934553102</v>
      </c>
      <c r="C2034">
        <v>19560</v>
      </c>
      <c r="D2034" t="s">
        <v>2939</v>
      </c>
      <c r="E2034">
        <v>30201</v>
      </c>
      <c r="F2034" t="s">
        <v>2921</v>
      </c>
      <c r="G2034">
        <v>302</v>
      </c>
      <c r="H2034" t="s">
        <v>51</v>
      </c>
      <c r="I2034">
        <v>3</v>
      </c>
      <c r="J2034" t="s">
        <v>50</v>
      </c>
    </row>
    <row r="2035" spans="1:10" x14ac:dyDescent="0.25">
      <c r="A2035" t="s">
        <v>7355</v>
      </c>
      <c r="B2035">
        <f>15461.7568477257*(1/100/100)</f>
        <v>1.5461756847725701</v>
      </c>
      <c r="C2035">
        <v>19561</v>
      </c>
      <c r="D2035" t="s">
        <v>4510</v>
      </c>
      <c r="E2035">
        <v>31934</v>
      </c>
      <c r="F2035" t="s">
        <v>864</v>
      </c>
      <c r="G2035">
        <v>319</v>
      </c>
      <c r="H2035" t="s">
        <v>68</v>
      </c>
      <c r="I2035">
        <v>3</v>
      </c>
      <c r="J2035" t="s">
        <v>50</v>
      </c>
    </row>
    <row r="2036" spans="1:10" x14ac:dyDescent="0.25">
      <c r="A2036" t="s">
        <v>7355</v>
      </c>
      <c r="B2036">
        <f>19383.5500804317*(1/100/100)</f>
        <v>1.9383550080431702</v>
      </c>
      <c r="C2036">
        <v>19562</v>
      </c>
      <c r="D2036" t="s">
        <v>4511</v>
      </c>
      <c r="E2036">
        <v>31934</v>
      </c>
      <c r="F2036" t="s">
        <v>864</v>
      </c>
      <c r="G2036">
        <v>319</v>
      </c>
      <c r="H2036" t="s">
        <v>68</v>
      </c>
      <c r="I2036">
        <v>3</v>
      </c>
      <c r="J2036" t="s">
        <v>50</v>
      </c>
    </row>
    <row r="2037" spans="1:10" x14ac:dyDescent="0.25">
      <c r="A2037" t="s">
        <v>7355</v>
      </c>
      <c r="B2037">
        <f>109874.053953087*(1/100/100)</f>
        <v>10.9874053953087</v>
      </c>
      <c r="C2037">
        <v>19563</v>
      </c>
      <c r="D2037" t="s">
        <v>4125</v>
      </c>
      <c r="E2037">
        <v>31903</v>
      </c>
      <c r="F2037" t="s">
        <v>838</v>
      </c>
      <c r="G2037">
        <v>319</v>
      </c>
      <c r="H2037" t="s">
        <v>68</v>
      </c>
      <c r="I2037">
        <v>3</v>
      </c>
      <c r="J2037" t="s">
        <v>50</v>
      </c>
    </row>
    <row r="2038" spans="1:10" x14ac:dyDescent="0.25">
      <c r="A2038" t="s">
        <v>7355</v>
      </c>
      <c r="B2038">
        <f>4854.07918749264*(1/100/100)</f>
        <v>0.48540791874926403</v>
      </c>
      <c r="C2038">
        <v>19564</v>
      </c>
      <c r="D2038" t="s">
        <v>4477</v>
      </c>
      <c r="E2038">
        <v>31929</v>
      </c>
      <c r="F2038" t="s">
        <v>861</v>
      </c>
      <c r="G2038">
        <v>319</v>
      </c>
      <c r="H2038" t="s">
        <v>68</v>
      </c>
      <c r="I2038">
        <v>3</v>
      </c>
      <c r="J2038" t="s">
        <v>50</v>
      </c>
    </row>
    <row r="2039" spans="1:10" x14ac:dyDescent="0.25">
      <c r="A2039" t="s">
        <v>7355</v>
      </c>
      <c r="B2039">
        <f>54115.4795115387*(1/100/100)</f>
        <v>5.4115479511538709</v>
      </c>
      <c r="C2039">
        <v>19565</v>
      </c>
      <c r="D2039" t="s">
        <v>4478</v>
      </c>
      <c r="E2039">
        <v>31929</v>
      </c>
      <c r="F2039" t="s">
        <v>861</v>
      </c>
      <c r="G2039">
        <v>319</v>
      </c>
      <c r="H2039" t="s">
        <v>68</v>
      </c>
      <c r="I2039">
        <v>3</v>
      </c>
      <c r="J2039" t="s">
        <v>50</v>
      </c>
    </row>
    <row r="2040" spans="1:10" x14ac:dyDescent="0.25">
      <c r="A2040" t="s">
        <v>7355</v>
      </c>
      <c r="B2040">
        <f>21341.0892128159*(1/100/100)</f>
        <v>2.13410892128159</v>
      </c>
      <c r="C2040">
        <v>19566</v>
      </c>
      <c r="D2040" t="s">
        <v>4479</v>
      </c>
      <c r="E2040">
        <v>31929</v>
      </c>
      <c r="F2040" t="s">
        <v>861</v>
      </c>
      <c r="G2040">
        <v>319</v>
      </c>
      <c r="H2040" t="s">
        <v>68</v>
      </c>
      <c r="I2040">
        <v>3</v>
      </c>
      <c r="J2040" t="s">
        <v>50</v>
      </c>
    </row>
    <row r="2041" spans="1:10" x14ac:dyDescent="0.25">
      <c r="A2041" t="s">
        <v>7355</v>
      </c>
      <c r="B2041">
        <f>8723.0217399215*(1/100/100)</f>
        <v>0.87230217399215004</v>
      </c>
      <c r="C2041">
        <v>19567</v>
      </c>
      <c r="D2041" t="s">
        <v>644</v>
      </c>
      <c r="E2041">
        <v>31903</v>
      </c>
      <c r="F2041" t="s">
        <v>838</v>
      </c>
      <c r="G2041">
        <v>319</v>
      </c>
      <c r="H2041" t="s">
        <v>68</v>
      </c>
      <c r="I2041">
        <v>3</v>
      </c>
      <c r="J2041" t="s">
        <v>50</v>
      </c>
    </row>
    <row r="2042" spans="1:10" x14ac:dyDescent="0.25">
      <c r="A2042" t="s">
        <v>7355</v>
      </c>
      <c r="B2042">
        <f>6582.02174647119*(1/100/100)</f>
        <v>0.65820217464711905</v>
      </c>
      <c r="C2042">
        <v>19568</v>
      </c>
      <c r="D2042" t="s">
        <v>4356</v>
      </c>
      <c r="E2042">
        <v>31907</v>
      </c>
      <c r="F2042" t="s">
        <v>842</v>
      </c>
      <c r="G2042">
        <v>319</v>
      </c>
      <c r="H2042" t="s">
        <v>68</v>
      </c>
      <c r="I2042">
        <v>3</v>
      </c>
      <c r="J2042" t="s">
        <v>50</v>
      </c>
    </row>
    <row r="2043" spans="1:10" x14ac:dyDescent="0.25">
      <c r="A2043" t="s">
        <v>7355</v>
      </c>
      <c r="B2043">
        <f>36625.7802338915*(1/100/100)</f>
        <v>3.6625780233891501</v>
      </c>
      <c r="C2043">
        <v>19569</v>
      </c>
      <c r="D2043" t="s">
        <v>4374</v>
      </c>
      <c r="E2043">
        <v>31910</v>
      </c>
      <c r="F2043" t="s">
        <v>844</v>
      </c>
      <c r="G2043">
        <v>319</v>
      </c>
      <c r="H2043" t="s">
        <v>68</v>
      </c>
      <c r="I2043">
        <v>3</v>
      </c>
      <c r="J2043" t="s">
        <v>50</v>
      </c>
    </row>
    <row r="2044" spans="1:10" x14ac:dyDescent="0.25">
      <c r="A2044" t="s">
        <v>7355</v>
      </c>
      <c r="B2044">
        <f>6456.12255953598*(1/100/100)</f>
        <v>0.64561225595359806</v>
      </c>
      <c r="C2044">
        <v>19570</v>
      </c>
      <c r="D2044" t="s">
        <v>4528</v>
      </c>
      <c r="E2044">
        <v>31938</v>
      </c>
      <c r="F2044" t="s">
        <v>4520</v>
      </c>
      <c r="G2044">
        <v>319</v>
      </c>
      <c r="H2044" t="s">
        <v>68</v>
      </c>
      <c r="I2044">
        <v>3</v>
      </c>
      <c r="J2044" t="s">
        <v>50</v>
      </c>
    </row>
    <row r="2045" spans="1:10" x14ac:dyDescent="0.25">
      <c r="A2045" t="s">
        <v>7355</v>
      </c>
      <c r="B2045">
        <f>7048.73540081855*(1/100/100)</f>
        <v>0.7048735400818551</v>
      </c>
      <c r="C2045">
        <v>19571</v>
      </c>
      <c r="D2045" t="s">
        <v>4411</v>
      </c>
      <c r="E2045">
        <v>31916</v>
      </c>
      <c r="F2045" t="s">
        <v>849</v>
      </c>
      <c r="G2045">
        <v>319</v>
      </c>
      <c r="H2045" t="s">
        <v>68</v>
      </c>
      <c r="I2045">
        <v>3</v>
      </c>
      <c r="J2045" t="s">
        <v>50</v>
      </c>
    </row>
    <row r="2046" spans="1:10" x14ac:dyDescent="0.25">
      <c r="A2046" t="s">
        <v>7355</v>
      </c>
      <c r="B2046">
        <f>17645.4277961107*(1/100/100)</f>
        <v>1.76454277961107</v>
      </c>
      <c r="C2046">
        <v>19572</v>
      </c>
      <c r="D2046" t="s">
        <v>4512</v>
      </c>
      <c r="E2046">
        <v>31934</v>
      </c>
      <c r="F2046" t="s">
        <v>864</v>
      </c>
      <c r="G2046">
        <v>319</v>
      </c>
      <c r="H2046" t="s">
        <v>68</v>
      </c>
      <c r="I2046">
        <v>3</v>
      </c>
      <c r="J2046" t="s">
        <v>50</v>
      </c>
    </row>
    <row r="2047" spans="1:10" x14ac:dyDescent="0.25">
      <c r="A2047" t="s">
        <v>7355</v>
      </c>
      <c r="B2047">
        <f>20515.149264106*(1/100/100)</f>
        <v>2.0515149264105998</v>
      </c>
      <c r="C2047">
        <v>19573</v>
      </c>
      <c r="D2047" t="s">
        <v>4340</v>
      </c>
      <c r="E2047">
        <v>31903</v>
      </c>
      <c r="F2047" t="s">
        <v>838</v>
      </c>
      <c r="G2047">
        <v>319</v>
      </c>
      <c r="H2047" t="s">
        <v>68</v>
      </c>
      <c r="I2047">
        <v>3</v>
      </c>
      <c r="J2047" t="s">
        <v>50</v>
      </c>
    </row>
    <row r="2048" spans="1:10" x14ac:dyDescent="0.25">
      <c r="A2048" t="s">
        <v>7355</v>
      </c>
      <c r="B2048">
        <f>13054.752984886*(1/100/100)</f>
        <v>1.3054752984886</v>
      </c>
      <c r="C2048">
        <v>19574</v>
      </c>
      <c r="D2048" t="s">
        <v>4513</v>
      </c>
      <c r="E2048">
        <v>31934</v>
      </c>
      <c r="F2048" t="s">
        <v>864</v>
      </c>
      <c r="G2048">
        <v>319</v>
      </c>
      <c r="H2048" t="s">
        <v>68</v>
      </c>
      <c r="I2048">
        <v>3</v>
      </c>
      <c r="J2048" t="s">
        <v>50</v>
      </c>
    </row>
    <row r="2049" spans="1:10" x14ac:dyDescent="0.25">
      <c r="A2049" t="s">
        <v>7355</v>
      </c>
      <c r="B2049">
        <f>9695.54940844052*(1/100/100)</f>
        <v>0.96955494084405203</v>
      </c>
      <c r="C2049">
        <v>19575</v>
      </c>
      <c r="D2049" t="s">
        <v>544</v>
      </c>
      <c r="E2049">
        <v>30201</v>
      </c>
      <c r="F2049" t="s">
        <v>2921</v>
      </c>
      <c r="G2049">
        <v>302</v>
      </c>
      <c r="H2049" t="s">
        <v>51</v>
      </c>
      <c r="I2049">
        <v>3</v>
      </c>
      <c r="J2049" t="s">
        <v>50</v>
      </c>
    </row>
    <row r="2050" spans="1:10" x14ac:dyDescent="0.25">
      <c r="A2050" t="s">
        <v>7355</v>
      </c>
      <c r="B2050">
        <f>14187.2425553065*(1/100/100)</f>
        <v>1.4187242555306501</v>
      </c>
      <c r="C2050">
        <v>19576</v>
      </c>
      <c r="D2050" t="s">
        <v>4183</v>
      </c>
      <c r="E2050">
        <v>31903</v>
      </c>
      <c r="F2050" t="s">
        <v>838</v>
      </c>
      <c r="G2050">
        <v>319</v>
      </c>
      <c r="H2050" t="s">
        <v>68</v>
      </c>
      <c r="I2050">
        <v>3</v>
      </c>
      <c r="J2050" t="s">
        <v>50</v>
      </c>
    </row>
    <row r="2051" spans="1:10" x14ac:dyDescent="0.25">
      <c r="A2051" t="s">
        <v>7355</v>
      </c>
      <c r="B2051">
        <f>67155.4213609149*(1/100/100)</f>
        <v>6.7155421360914902</v>
      </c>
      <c r="C2051">
        <v>19577</v>
      </c>
      <c r="D2051" t="s">
        <v>4383</v>
      </c>
      <c r="E2051">
        <v>31911</v>
      </c>
      <c r="F2051" t="s">
        <v>845</v>
      </c>
      <c r="G2051">
        <v>319</v>
      </c>
      <c r="H2051" t="s">
        <v>68</v>
      </c>
      <c r="I2051">
        <v>3</v>
      </c>
      <c r="J2051" t="s">
        <v>50</v>
      </c>
    </row>
    <row r="2052" spans="1:10" x14ac:dyDescent="0.25">
      <c r="A2052" t="s">
        <v>7355</v>
      </c>
      <c r="B2052">
        <f>6406.9287664818*(1/100/100)</f>
        <v>0.64069287664818009</v>
      </c>
      <c r="C2052">
        <v>19578</v>
      </c>
      <c r="D2052" t="s">
        <v>4529</v>
      </c>
      <c r="E2052">
        <v>31938</v>
      </c>
      <c r="F2052" t="s">
        <v>4520</v>
      </c>
      <c r="G2052">
        <v>319</v>
      </c>
      <c r="H2052" t="s">
        <v>68</v>
      </c>
      <c r="I2052">
        <v>3</v>
      </c>
      <c r="J2052" t="s">
        <v>50</v>
      </c>
    </row>
    <row r="2053" spans="1:10" x14ac:dyDescent="0.25">
      <c r="A2053" t="s">
        <v>7355</v>
      </c>
      <c r="B2053">
        <f>9708.584970612*(1/100/100)</f>
        <v>0.97085849706120009</v>
      </c>
      <c r="C2053">
        <v>19579</v>
      </c>
      <c r="D2053" t="s">
        <v>4272</v>
      </c>
      <c r="E2053">
        <v>31941</v>
      </c>
      <c r="F2053" t="s">
        <v>868</v>
      </c>
      <c r="G2053">
        <v>319</v>
      </c>
      <c r="H2053" t="s">
        <v>68</v>
      </c>
      <c r="I2053">
        <v>3</v>
      </c>
      <c r="J2053" t="s">
        <v>50</v>
      </c>
    </row>
    <row r="2054" spans="1:10" x14ac:dyDescent="0.25">
      <c r="A2054" t="s">
        <v>7355</v>
      </c>
      <c r="B2054">
        <f>602423.453372073*(1/100/100)</f>
        <v>60.242345337207304</v>
      </c>
      <c r="C2054">
        <v>19580</v>
      </c>
      <c r="D2054" t="s">
        <v>2940</v>
      </c>
      <c r="E2054">
        <v>30201</v>
      </c>
      <c r="F2054" t="s">
        <v>2921</v>
      </c>
      <c r="G2054">
        <v>302</v>
      </c>
      <c r="H2054" t="s">
        <v>51</v>
      </c>
      <c r="I2054">
        <v>3</v>
      </c>
      <c r="J2054" t="s">
        <v>50</v>
      </c>
    </row>
    <row r="2055" spans="1:10" x14ac:dyDescent="0.25">
      <c r="A2055" t="s">
        <v>7355</v>
      </c>
      <c r="B2055">
        <f>11542.6784441578*(1/100/100)</f>
        <v>1.1542678444157801</v>
      </c>
      <c r="C2055">
        <v>19581</v>
      </c>
      <c r="D2055" t="s">
        <v>4357</v>
      </c>
      <c r="E2055">
        <v>31907</v>
      </c>
      <c r="F2055" t="s">
        <v>842</v>
      </c>
      <c r="G2055">
        <v>319</v>
      </c>
      <c r="H2055" t="s">
        <v>68</v>
      </c>
      <c r="I2055">
        <v>3</v>
      </c>
      <c r="J2055" t="s">
        <v>50</v>
      </c>
    </row>
    <row r="2056" spans="1:10" x14ac:dyDescent="0.25">
      <c r="A2056" t="s">
        <v>7355</v>
      </c>
      <c r="B2056">
        <f>17833.7857404407*(1/100/100)</f>
        <v>1.7833785740440702</v>
      </c>
      <c r="C2056">
        <v>19582</v>
      </c>
      <c r="D2056" t="s">
        <v>4423</v>
      </c>
      <c r="E2056">
        <v>31917</v>
      </c>
      <c r="F2056" t="s">
        <v>850</v>
      </c>
      <c r="G2056">
        <v>319</v>
      </c>
      <c r="H2056" t="s">
        <v>68</v>
      </c>
      <c r="I2056">
        <v>3</v>
      </c>
      <c r="J2056" t="s">
        <v>50</v>
      </c>
    </row>
    <row r="2057" spans="1:10" x14ac:dyDescent="0.25">
      <c r="A2057" t="s">
        <v>7355</v>
      </c>
      <c r="B2057">
        <f>194923.089171383*(1/100/100)</f>
        <v>19.492308917138303</v>
      </c>
      <c r="C2057">
        <v>19583</v>
      </c>
      <c r="D2057" t="s">
        <v>2941</v>
      </c>
      <c r="E2057">
        <v>30201</v>
      </c>
      <c r="F2057" t="s">
        <v>2921</v>
      </c>
      <c r="G2057">
        <v>302</v>
      </c>
      <c r="H2057" t="s">
        <v>51</v>
      </c>
      <c r="I2057">
        <v>3</v>
      </c>
      <c r="J2057" t="s">
        <v>50</v>
      </c>
    </row>
    <row r="2058" spans="1:10" x14ac:dyDescent="0.25">
      <c r="A2058" t="s">
        <v>7355</v>
      </c>
      <c r="B2058">
        <f>16012.8197933749*(1/100/100)</f>
        <v>1.6012819793374899</v>
      </c>
      <c r="C2058">
        <v>19584</v>
      </c>
      <c r="D2058" t="s">
        <v>4424</v>
      </c>
      <c r="E2058">
        <v>31917</v>
      </c>
      <c r="F2058" t="s">
        <v>850</v>
      </c>
      <c r="G2058">
        <v>319</v>
      </c>
      <c r="H2058" t="s">
        <v>68</v>
      </c>
      <c r="I2058">
        <v>3</v>
      </c>
      <c r="J2058" t="s">
        <v>50</v>
      </c>
    </row>
    <row r="2059" spans="1:10" x14ac:dyDescent="0.25">
      <c r="A2059" t="s">
        <v>7355</v>
      </c>
      <c r="B2059">
        <f>22040.5344284577*(1/100/100)</f>
        <v>2.2040534428457703</v>
      </c>
      <c r="C2059">
        <v>19585</v>
      </c>
      <c r="D2059" t="s">
        <v>4375</v>
      </c>
      <c r="E2059">
        <v>31910</v>
      </c>
      <c r="F2059" t="s">
        <v>844</v>
      </c>
      <c r="G2059">
        <v>319</v>
      </c>
      <c r="H2059" t="s">
        <v>68</v>
      </c>
      <c r="I2059">
        <v>3</v>
      </c>
      <c r="J2059" t="s">
        <v>50</v>
      </c>
    </row>
    <row r="2060" spans="1:10" x14ac:dyDescent="0.25">
      <c r="A2060" t="s">
        <v>7355</v>
      </c>
      <c r="B2060">
        <f>18424.8936736882*(1/100/100)</f>
        <v>1.8424893673688201</v>
      </c>
      <c r="C2060">
        <v>19586</v>
      </c>
      <c r="D2060" t="s">
        <v>408</v>
      </c>
      <c r="E2060">
        <v>30201</v>
      </c>
      <c r="F2060" t="s">
        <v>2921</v>
      </c>
      <c r="G2060">
        <v>302</v>
      </c>
      <c r="H2060" t="s">
        <v>51</v>
      </c>
      <c r="I2060">
        <v>3</v>
      </c>
      <c r="J2060" t="s">
        <v>50</v>
      </c>
    </row>
    <row r="2061" spans="1:10" x14ac:dyDescent="0.25">
      <c r="A2061" t="s">
        <v>7355</v>
      </c>
      <c r="B2061">
        <f>36665.5130585225*(1/100/100)</f>
        <v>3.6665513058522499</v>
      </c>
      <c r="C2061">
        <v>19587</v>
      </c>
      <c r="D2061" t="s">
        <v>868</v>
      </c>
      <c r="E2061">
        <v>31941</v>
      </c>
      <c r="F2061" t="s">
        <v>868</v>
      </c>
      <c r="G2061">
        <v>319</v>
      </c>
      <c r="H2061" t="s">
        <v>68</v>
      </c>
      <c r="I2061">
        <v>3</v>
      </c>
      <c r="J2061" t="s">
        <v>50</v>
      </c>
    </row>
    <row r="2062" spans="1:10" x14ac:dyDescent="0.25">
      <c r="A2062" t="s">
        <v>7355</v>
      </c>
      <c r="B2062">
        <f>56490.2916161829*(1/100/100)</f>
        <v>5.6490291616182899</v>
      </c>
      <c r="C2062">
        <v>19588</v>
      </c>
      <c r="D2062" t="s">
        <v>2942</v>
      </c>
      <c r="E2062">
        <v>30201</v>
      </c>
      <c r="F2062" t="s">
        <v>2921</v>
      </c>
      <c r="G2062">
        <v>302</v>
      </c>
      <c r="H2062" t="s">
        <v>51</v>
      </c>
      <c r="I2062">
        <v>3</v>
      </c>
      <c r="J2062" t="s">
        <v>50</v>
      </c>
    </row>
    <row r="2063" spans="1:10" x14ac:dyDescent="0.25">
      <c r="A2063" t="s">
        <v>7355</v>
      </c>
      <c r="B2063">
        <f>2065.13921087598*(1/100/100)</f>
        <v>0.20651392108759803</v>
      </c>
      <c r="C2063">
        <v>19589</v>
      </c>
      <c r="D2063" t="s">
        <v>1527</v>
      </c>
      <c r="E2063">
        <v>31910</v>
      </c>
      <c r="F2063" t="s">
        <v>844</v>
      </c>
      <c r="G2063">
        <v>319</v>
      </c>
      <c r="H2063" t="s">
        <v>68</v>
      </c>
      <c r="I2063">
        <v>3</v>
      </c>
      <c r="J2063" t="s">
        <v>50</v>
      </c>
    </row>
    <row r="2064" spans="1:10" x14ac:dyDescent="0.25">
      <c r="A2064" t="s">
        <v>7355</v>
      </c>
      <c r="B2064">
        <f>31587.6737786158*(1/100/100)</f>
        <v>3.1587673778615803</v>
      </c>
      <c r="C2064">
        <v>19590</v>
      </c>
      <c r="D2064" t="s">
        <v>4514</v>
      </c>
      <c r="E2064">
        <v>31934</v>
      </c>
      <c r="F2064" t="s">
        <v>864</v>
      </c>
      <c r="G2064">
        <v>319</v>
      </c>
      <c r="H2064" t="s">
        <v>68</v>
      </c>
      <c r="I2064">
        <v>3</v>
      </c>
      <c r="J2064" t="s">
        <v>50</v>
      </c>
    </row>
    <row r="2065" spans="1:10" x14ac:dyDescent="0.25">
      <c r="A2065" t="s">
        <v>7355</v>
      </c>
      <c r="B2065">
        <f>34803.6900610468*(1/100/100)</f>
        <v>3.4803690061046804</v>
      </c>
      <c r="C2065">
        <v>19591</v>
      </c>
      <c r="D2065" t="s">
        <v>4341</v>
      </c>
      <c r="E2065">
        <v>31903</v>
      </c>
      <c r="F2065" t="s">
        <v>838</v>
      </c>
      <c r="G2065">
        <v>319</v>
      </c>
      <c r="H2065" t="s">
        <v>68</v>
      </c>
      <c r="I2065">
        <v>3</v>
      </c>
      <c r="J2065" t="s">
        <v>50</v>
      </c>
    </row>
    <row r="2066" spans="1:10" x14ac:dyDescent="0.25">
      <c r="A2066" t="s">
        <v>7355</v>
      </c>
      <c r="B2066">
        <f>7912.36909335553*(1/100/100)</f>
        <v>0.79123690933555302</v>
      </c>
      <c r="C2066">
        <v>19592</v>
      </c>
      <c r="D2066" t="s">
        <v>3286</v>
      </c>
      <c r="E2066">
        <v>31938</v>
      </c>
      <c r="F2066" t="s">
        <v>4520</v>
      </c>
      <c r="G2066">
        <v>319</v>
      </c>
      <c r="H2066" t="s">
        <v>68</v>
      </c>
      <c r="I2066">
        <v>3</v>
      </c>
      <c r="J2066" t="s">
        <v>50</v>
      </c>
    </row>
    <row r="2067" spans="1:10" x14ac:dyDescent="0.25">
      <c r="A2067" t="s">
        <v>7355</v>
      </c>
      <c r="B2067">
        <f>12374.1304712855*(1/100/100)</f>
        <v>1.23741304712855</v>
      </c>
      <c r="C2067">
        <v>19593</v>
      </c>
      <c r="D2067" t="s">
        <v>1490</v>
      </c>
      <c r="E2067">
        <v>31932</v>
      </c>
      <c r="F2067" t="s">
        <v>863</v>
      </c>
      <c r="G2067">
        <v>319</v>
      </c>
      <c r="H2067" t="s">
        <v>68</v>
      </c>
      <c r="I2067">
        <v>3</v>
      </c>
      <c r="J2067" t="s">
        <v>50</v>
      </c>
    </row>
    <row r="2068" spans="1:10" x14ac:dyDescent="0.25">
      <c r="A2068" t="s">
        <v>7355</v>
      </c>
      <c r="B2068">
        <f>231248.621375268*(1/100/100)</f>
        <v>23.124862137526801</v>
      </c>
      <c r="C2068">
        <v>19594</v>
      </c>
      <c r="D2068" t="s">
        <v>2943</v>
      </c>
      <c r="E2068">
        <v>30201</v>
      </c>
      <c r="F2068" t="s">
        <v>2921</v>
      </c>
      <c r="G2068">
        <v>302</v>
      </c>
      <c r="H2068" t="s">
        <v>51</v>
      </c>
      <c r="I2068">
        <v>3</v>
      </c>
      <c r="J2068" t="s">
        <v>50</v>
      </c>
    </row>
    <row r="2069" spans="1:10" x14ac:dyDescent="0.25">
      <c r="A2069" t="s">
        <v>7355</v>
      </c>
      <c r="B2069">
        <f>20388.6742488307*(1/100/100)</f>
        <v>2.0388674248830698</v>
      </c>
      <c r="C2069">
        <v>19595</v>
      </c>
      <c r="D2069" t="s">
        <v>4358</v>
      </c>
      <c r="E2069">
        <v>31907</v>
      </c>
      <c r="F2069" t="s">
        <v>842</v>
      </c>
      <c r="G2069">
        <v>319</v>
      </c>
      <c r="H2069" t="s">
        <v>68</v>
      </c>
      <c r="I2069">
        <v>3</v>
      </c>
      <c r="J2069" t="s">
        <v>50</v>
      </c>
    </row>
    <row r="2070" spans="1:10" x14ac:dyDescent="0.25">
      <c r="A2070" t="s">
        <v>7355</v>
      </c>
      <c r="B2070">
        <f>28969.1020858095*(1/100/100)</f>
        <v>2.8969102085809499</v>
      </c>
      <c r="C2070">
        <v>19596</v>
      </c>
      <c r="D2070" t="s">
        <v>2944</v>
      </c>
      <c r="E2070">
        <v>30201</v>
      </c>
      <c r="F2070" t="s">
        <v>2921</v>
      </c>
      <c r="G2070">
        <v>302</v>
      </c>
      <c r="H2070" t="s">
        <v>51</v>
      </c>
      <c r="I2070">
        <v>3</v>
      </c>
      <c r="J2070" t="s">
        <v>50</v>
      </c>
    </row>
    <row r="2071" spans="1:10" x14ac:dyDescent="0.25">
      <c r="A2071" t="s">
        <v>7355</v>
      </c>
      <c r="B2071">
        <f>10637.1153883587*(1/100/100)</f>
        <v>1.06371153883587</v>
      </c>
      <c r="C2071">
        <v>19597</v>
      </c>
      <c r="D2071" t="s">
        <v>4431</v>
      </c>
      <c r="E2071">
        <v>31945</v>
      </c>
      <c r="F2071" t="s">
        <v>870</v>
      </c>
      <c r="G2071">
        <v>319</v>
      </c>
      <c r="H2071" t="s">
        <v>68</v>
      </c>
      <c r="I2071">
        <v>3</v>
      </c>
      <c r="J2071" t="s">
        <v>50</v>
      </c>
    </row>
    <row r="2072" spans="1:10" x14ac:dyDescent="0.25">
      <c r="A2072" t="s">
        <v>7355</v>
      </c>
      <c r="B2072">
        <f>240758.277518478*(1/100/100)</f>
        <v>24.0758277518478</v>
      </c>
      <c r="C2072">
        <v>19598</v>
      </c>
      <c r="D2072" t="s">
        <v>2945</v>
      </c>
      <c r="E2072">
        <v>30201</v>
      </c>
      <c r="F2072" t="s">
        <v>2921</v>
      </c>
      <c r="G2072">
        <v>302</v>
      </c>
      <c r="H2072" t="s">
        <v>51</v>
      </c>
      <c r="I2072">
        <v>3</v>
      </c>
      <c r="J2072" t="s">
        <v>50</v>
      </c>
    </row>
    <row r="2073" spans="1:10" x14ac:dyDescent="0.25">
      <c r="A2073" t="s">
        <v>7355</v>
      </c>
      <c r="B2073">
        <f>186699.564289505*(1/100/100)</f>
        <v>18.669956428950503</v>
      </c>
      <c r="C2073">
        <v>19599</v>
      </c>
      <c r="D2073" t="s">
        <v>2946</v>
      </c>
      <c r="E2073">
        <v>30201</v>
      </c>
      <c r="F2073" t="s">
        <v>2921</v>
      </c>
      <c r="G2073">
        <v>302</v>
      </c>
      <c r="H2073" t="s">
        <v>51</v>
      </c>
      <c r="I2073">
        <v>3</v>
      </c>
      <c r="J2073" t="s">
        <v>50</v>
      </c>
    </row>
    <row r="2074" spans="1:10" x14ac:dyDescent="0.25">
      <c r="A2074" t="s">
        <v>7355</v>
      </c>
      <c r="B2074">
        <f>44667.2738987277*(1/100/100)</f>
        <v>4.4667273898727702</v>
      </c>
      <c r="C2074">
        <v>19600</v>
      </c>
      <c r="D2074" t="s">
        <v>2947</v>
      </c>
      <c r="E2074">
        <v>30201</v>
      </c>
      <c r="F2074" t="s">
        <v>2921</v>
      </c>
      <c r="G2074">
        <v>302</v>
      </c>
      <c r="H2074" t="s">
        <v>51</v>
      </c>
      <c r="I2074">
        <v>3</v>
      </c>
      <c r="J2074" t="s">
        <v>50</v>
      </c>
    </row>
    <row r="2075" spans="1:10" x14ac:dyDescent="0.25">
      <c r="A2075" t="s">
        <v>7355</v>
      </c>
      <c r="B2075">
        <f>73124.0198508816*(1/100/100)</f>
        <v>7.3124019850881599</v>
      </c>
      <c r="C2075">
        <v>19601</v>
      </c>
      <c r="D2075" t="s">
        <v>4515</v>
      </c>
      <c r="E2075">
        <v>31934</v>
      </c>
      <c r="F2075" t="s">
        <v>864</v>
      </c>
      <c r="G2075">
        <v>319</v>
      </c>
      <c r="H2075" t="s">
        <v>68</v>
      </c>
      <c r="I2075">
        <v>3</v>
      </c>
      <c r="J2075" t="s">
        <v>50</v>
      </c>
    </row>
    <row r="2076" spans="1:10" x14ac:dyDescent="0.25">
      <c r="A2076" t="s">
        <v>7355</v>
      </c>
      <c r="B2076">
        <f>2062.23235271234*(1/100/100)</f>
        <v>0.20622323527123401</v>
      </c>
      <c r="C2076">
        <v>19602</v>
      </c>
      <c r="D2076" t="s">
        <v>4425</v>
      </c>
      <c r="E2076">
        <v>31917</v>
      </c>
      <c r="F2076" t="s">
        <v>850</v>
      </c>
      <c r="G2076">
        <v>319</v>
      </c>
      <c r="H2076" t="s">
        <v>68</v>
      </c>
      <c r="I2076">
        <v>3</v>
      </c>
      <c r="J2076" t="s">
        <v>50</v>
      </c>
    </row>
    <row r="2077" spans="1:10" x14ac:dyDescent="0.25">
      <c r="A2077" t="s">
        <v>7355</v>
      </c>
      <c r="B2077">
        <f>22423.7898041786*(1/100/100)</f>
        <v>2.2423789804178602</v>
      </c>
      <c r="C2077">
        <v>19603</v>
      </c>
      <c r="D2077" t="s">
        <v>4480</v>
      </c>
      <c r="E2077">
        <v>31929</v>
      </c>
      <c r="F2077" t="s">
        <v>861</v>
      </c>
      <c r="G2077">
        <v>319</v>
      </c>
      <c r="H2077" t="s">
        <v>68</v>
      </c>
      <c r="I2077">
        <v>3</v>
      </c>
      <c r="J2077" t="s">
        <v>50</v>
      </c>
    </row>
    <row r="2078" spans="1:10" x14ac:dyDescent="0.25">
      <c r="A2078" t="s">
        <v>7355</v>
      </c>
      <c r="B2078">
        <f>16864.0733834489*(1/100/100)</f>
        <v>1.6864073383448901</v>
      </c>
      <c r="C2078">
        <v>19604</v>
      </c>
      <c r="D2078" t="s">
        <v>2948</v>
      </c>
      <c r="E2078">
        <v>30201</v>
      </c>
      <c r="F2078" t="s">
        <v>2921</v>
      </c>
      <c r="G2078">
        <v>302</v>
      </c>
      <c r="H2078" t="s">
        <v>51</v>
      </c>
      <c r="I2078">
        <v>3</v>
      </c>
      <c r="J2078" t="s">
        <v>50</v>
      </c>
    </row>
    <row r="2079" spans="1:10" x14ac:dyDescent="0.25">
      <c r="A2079" t="s">
        <v>7355</v>
      </c>
      <c r="B2079">
        <f>17311.5492622534*(1/100/100)</f>
        <v>1.7311549262253401</v>
      </c>
      <c r="C2079">
        <v>19605</v>
      </c>
      <c r="D2079" t="s">
        <v>3467</v>
      </c>
      <c r="E2079">
        <v>31925</v>
      </c>
      <c r="F2079" t="s">
        <v>857</v>
      </c>
      <c r="G2079">
        <v>319</v>
      </c>
      <c r="H2079" t="s">
        <v>68</v>
      </c>
      <c r="I2079">
        <v>3</v>
      </c>
      <c r="J2079" t="s">
        <v>50</v>
      </c>
    </row>
    <row r="2080" spans="1:10" x14ac:dyDescent="0.25">
      <c r="A2080" t="s">
        <v>7355</v>
      </c>
      <c r="B2080">
        <f>5611.06910459359*(1/100/100)</f>
        <v>0.56110691045935901</v>
      </c>
      <c r="C2080">
        <v>19606</v>
      </c>
      <c r="D2080" t="s">
        <v>4563</v>
      </c>
      <c r="E2080">
        <v>31947</v>
      </c>
      <c r="F2080" t="s">
        <v>872</v>
      </c>
      <c r="G2080">
        <v>319</v>
      </c>
      <c r="H2080" t="s">
        <v>68</v>
      </c>
      <c r="I2080">
        <v>3</v>
      </c>
      <c r="J2080" t="s">
        <v>50</v>
      </c>
    </row>
    <row r="2081" spans="1:10" x14ac:dyDescent="0.25">
      <c r="A2081" t="s">
        <v>7355</v>
      </c>
      <c r="B2081">
        <f>4530.8294803275*(1/100/100)</f>
        <v>0.45308294803275007</v>
      </c>
      <c r="C2081">
        <v>19607</v>
      </c>
      <c r="D2081" t="s">
        <v>4376</v>
      </c>
      <c r="E2081">
        <v>31910</v>
      </c>
      <c r="F2081" t="s">
        <v>844</v>
      </c>
      <c r="G2081">
        <v>319</v>
      </c>
      <c r="H2081" t="s">
        <v>68</v>
      </c>
      <c r="I2081">
        <v>3</v>
      </c>
      <c r="J2081" t="s">
        <v>50</v>
      </c>
    </row>
    <row r="2082" spans="1:10" x14ac:dyDescent="0.25">
      <c r="A2082" t="s">
        <v>7355</v>
      </c>
      <c r="B2082">
        <f>48341.3573277855*(1/100/100)</f>
        <v>4.8341357327785506</v>
      </c>
      <c r="C2082">
        <v>19608</v>
      </c>
      <c r="D2082" t="s">
        <v>870</v>
      </c>
      <c r="E2082">
        <v>31945</v>
      </c>
      <c r="F2082" t="s">
        <v>870</v>
      </c>
      <c r="G2082">
        <v>319</v>
      </c>
      <c r="H2082" t="s">
        <v>68</v>
      </c>
      <c r="I2082">
        <v>3</v>
      </c>
      <c r="J2082" t="s">
        <v>50</v>
      </c>
    </row>
    <row r="2083" spans="1:10" x14ac:dyDescent="0.25">
      <c r="A2083" t="s">
        <v>7355</v>
      </c>
      <c r="B2083">
        <f>21330.4307392423*(1/100/100)</f>
        <v>2.1330430739242301</v>
      </c>
      <c r="C2083">
        <v>19609</v>
      </c>
      <c r="D2083" t="s">
        <v>4516</v>
      </c>
      <c r="E2083">
        <v>31934</v>
      </c>
      <c r="F2083" t="s">
        <v>864</v>
      </c>
      <c r="G2083">
        <v>319</v>
      </c>
      <c r="H2083" t="s">
        <v>68</v>
      </c>
      <c r="I2083">
        <v>3</v>
      </c>
      <c r="J2083" t="s">
        <v>50</v>
      </c>
    </row>
    <row r="2084" spans="1:10" x14ac:dyDescent="0.25">
      <c r="A2084" t="s">
        <v>7355</v>
      </c>
      <c r="B2084">
        <f>7748.69209280631*(1/100/100)</f>
        <v>0.77486920928063108</v>
      </c>
      <c r="C2084">
        <v>19610</v>
      </c>
      <c r="D2084" t="s">
        <v>4377</v>
      </c>
      <c r="E2084">
        <v>31910</v>
      </c>
      <c r="F2084" t="s">
        <v>844</v>
      </c>
      <c r="G2084">
        <v>319</v>
      </c>
      <c r="H2084" t="s">
        <v>68</v>
      </c>
      <c r="I2084">
        <v>3</v>
      </c>
      <c r="J2084" t="s">
        <v>50</v>
      </c>
    </row>
    <row r="2085" spans="1:10" x14ac:dyDescent="0.25">
      <c r="A2085" t="s">
        <v>7355</v>
      </c>
      <c r="B2085">
        <f>33609.7217018223*(1/100/100)</f>
        <v>3.3609721701822304</v>
      </c>
      <c r="C2085">
        <v>19611</v>
      </c>
      <c r="D2085" t="s">
        <v>4342</v>
      </c>
      <c r="E2085">
        <v>31903</v>
      </c>
      <c r="F2085" t="s">
        <v>838</v>
      </c>
      <c r="G2085">
        <v>319</v>
      </c>
      <c r="H2085" t="s">
        <v>68</v>
      </c>
      <c r="I2085">
        <v>3</v>
      </c>
      <c r="J2085" t="s">
        <v>50</v>
      </c>
    </row>
    <row r="2086" spans="1:10" x14ac:dyDescent="0.25">
      <c r="A2086" t="s">
        <v>7355</v>
      </c>
      <c r="B2086">
        <f>9578.24277576635*(1/100/100)</f>
        <v>0.95782427757663502</v>
      </c>
      <c r="C2086">
        <v>19612</v>
      </c>
      <c r="D2086" t="s">
        <v>4359</v>
      </c>
      <c r="E2086">
        <v>31907</v>
      </c>
      <c r="F2086" t="s">
        <v>842</v>
      </c>
      <c r="G2086">
        <v>319</v>
      </c>
      <c r="H2086" t="s">
        <v>68</v>
      </c>
      <c r="I2086">
        <v>3</v>
      </c>
      <c r="J2086" t="s">
        <v>50</v>
      </c>
    </row>
    <row r="2087" spans="1:10" x14ac:dyDescent="0.25">
      <c r="A2087" t="s">
        <v>7355</v>
      </c>
      <c r="B2087">
        <f>25261.2626267989*(1/100/100)</f>
        <v>2.5261262626798899</v>
      </c>
      <c r="C2087">
        <v>19613</v>
      </c>
      <c r="D2087" t="s">
        <v>2949</v>
      </c>
      <c r="E2087">
        <v>30201</v>
      </c>
      <c r="F2087" t="s">
        <v>2921</v>
      </c>
      <c r="G2087">
        <v>302</v>
      </c>
      <c r="H2087" t="s">
        <v>51</v>
      </c>
      <c r="I2087">
        <v>3</v>
      </c>
      <c r="J2087" t="s">
        <v>50</v>
      </c>
    </row>
    <row r="2088" spans="1:10" x14ac:dyDescent="0.25">
      <c r="A2088" t="s">
        <v>7355</v>
      </c>
      <c r="B2088">
        <f>15953.8787008309*(1/100/100)</f>
        <v>1.5953878700830899</v>
      </c>
      <c r="C2088">
        <v>19614</v>
      </c>
      <c r="D2088" t="s">
        <v>4450</v>
      </c>
      <c r="E2088">
        <v>31925</v>
      </c>
      <c r="F2088" t="s">
        <v>857</v>
      </c>
      <c r="G2088">
        <v>319</v>
      </c>
      <c r="H2088" t="s">
        <v>68</v>
      </c>
      <c r="I2088">
        <v>3</v>
      </c>
      <c r="J2088" t="s">
        <v>50</v>
      </c>
    </row>
    <row r="2089" spans="1:10" x14ac:dyDescent="0.25">
      <c r="A2089" t="s">
        <v>7355</v>
      </c>
      <c r="B2089">
        <f>4635.99667860654*(1/100/100)</f>
        <v>0.46359966786065399</v>
      </c>
      <c r="C2089">
        <v>19615</v>
      </c>
      <c r="D2089" t="s">
        <v>2950</v>
      </c>
      <c r="E2089">
        <v>30201</v>
      </c>
      <c r="F2089" t="s">
        <v>2921</v>
      </c>
      <c r="G2089">
        <v>302</v>
      </c>
      <c r="H2089" t="s">
        <v>51</v>
      </c>
      <c r="I2089">
        <v>3</v>
      </c>
      <c r="J2089" t="s">
        <v>50</v>
      </c>
    </row>
    <row r="2090" spans="1:10" x14ac:dyDescent="0.25">
      <c r="A2090" t="s">
        <v>7355</v>
      </c>
      <c r="B2090">
        <f>23059.588090167*(1/100/100)</f>
        <v>2.3059588090166998</v>
      </c>
      <c r="C2090">
        <v>19616</v>
      </c>
      <c r="D2090" t="s">
        <v>4412</v>
      </c>
      <c r="E2090">
        <v>31916</v>
      </c>
      <c r="F2090" t="s">
        <v>849</v>
      </c>
      <c r="G2090">
        <v>319</v>
      </c>
      <c r="H2090" t="s">
        <v>68</v>
      </c>
      <c r="I2090">
        <v>3</v>
      </c>
      <c r="J2090" t="s">
        <v>50</v>
      </c>
    </row>
    <row r="2091" spans="1:10" x14ac:dyDescent="0.25">
      <c r="A2091" t="s">
        <v>7355</v>
      </c>
      <c r="B2091">
        <f>7891.9193887233*(1/100/100)</f>
        <v>0.78919193887232997</v>
      </c>
      <c r="C2091">
        <v>19617</v>
      </c>
      <c r="D2091" t="s">
        <v>4530</v>
      </c>
      <c r="E2091">
        <v>31938</v>
      </c>
      <c r="F2091" t="s">
        <v>4520</v>
      </c>
      <c r="G2091">
        <v>319</v>
      </c>
      <c r="H2091" t="s">
        <v>68</v>
      </c>
      <c r="I2091">
        <v>3</v>
      </c>
      <c r="J2091" t="s">
        <v>50</v>
      </c>
    </row>
    <row r="2092" spans="1:10" x14ac:dyDescent="0.25">
      <c r="A2092" t="s">
        <v>7355</v>
      </c>
      <c r="B2092">
        <f>10339.8704385531*(1/100/100)</f>
        <v>1.03398704385531</v>
      </c>
      <c r="C2092">
        <v>19618</v>
      </c>
      <c r="D2092" t="s">
        <v>4517</v>
      </c>
      <c r="E2092">
        <v>31934</v>
      </c>
      <c r="F2092" t="s">
        <v>864</v>
      </c>
      <c r="G2092">
        <v>319</v>
      </c>
      <c r="H2092" t="s">
        <v>68</v>
      </c>
      <c r="I2092">
        <v>3</v>
      </c>
      <c r="J2092" t="s">
        <v>50</v>
      </c>
    </row>
    <row r="2093" spans="1:10" x14ac:dyDescent="0.25">
      <c r="A2093" t="s">
        <v>7355</v>
      </c>
      <c r="B2093">
        <f>10549.6907890932*(1/100/100)</f>
        <v>1.05496907890932</v>
      </c>
      <c r="C2093">
        <v>19619</v>
      </c>
      <c r="D2093" t="s">
        <v>3292</v>
      </c>
      <c r="E2093">
        <v>31947</v>
      </c>
      <c r="F2093" t="s">
        <v>872</v>
      </c>
      <c r="G2093">
        <v>319</v>
      </c>
      <c r="H2093" t="s">
        <v>68</v>
      </c>
      <c r="I2093">
        <v>3</v>
      </c>
      <c r="J2093" t="s">
        <v>50</v>
      </c>
    </row>
    <row r="2094" spans="1:10" x14ac:dyDescent="0.25">
      <c r="A2094" t="s">
        <v>7355</v>
      </c>
      <c r="B2094">
        <f>17587.7862055004*(1/100/100)</f>
        <v>1.7587786205500402</v>
      </c>
      <c r="C2094">
        <v>19620</v>
      </c>
      <c r="D2094" t="s">
        <v>252</v>
      </c>
      <c r="E2094">
        <v>31903</v>
      </c>
      <c r="F2094" t="s">
        <v>838</v>
      </c>
      <c r="G2094">
        <v>319</v>
      </c>
      <c r="H2094" t="s">
        <v>68</v>
      </c>
      <c r="I2094">
        <v>3</v>
      </c>
      <c r="J2094" t="s">
        <v>50</v>
      </c>
    </row>
    <row r="2095" spans="1:10" x14ac:dyDescent="0.25">
      <c r="A2095" t="s">
        <v>7355</v>
      </c>
      <c r="B2095">
        <f>277274.08566278*(1/100/100)</f>
        <v>27.727408566278001</v>
      </c>
      <c r="C2095">
        <v>19621</v>
      </c>
      <c r="D2095" t="s">
        <v>872</v>
      </c>
      <c r="E2095">
        <v>31947</v>
      </c>
      <c r="F2095" t="s">
        <v>872</v>
      </c>
      <c r="G2095">
        <v>319</v>
      </c>
      <c r="H2095" t="s">
        <v>68</v>
      </c>
      <c r="I2095">
        <v>3</v>
      </c>
      <c r="J2095" t="s">
        <v>50</v>
      </c>
    </row>
    <row r="2096" spans="1:10" x14ac:dyDescent="0.25">
      <c r="A2096" t="s">
        <v>7355</v>
      </c>
      <c r="B2096">
        <f>11408.040471358*(1/100/100)</f>
        <v>1.1408040471358001</v>
      </c>
      <c r="C2096">
        <v>19622</v>
      </c>
      <c r="D2096" t="s">
        <v>4531</v>
      </c>
      <c r="E2096">
        <v>31938</v>
      </c>
      <c r="F2096" t="s">
        <v>4520</v>
      </c>
      <c r="G2096">
        <v>319</v>
      </c>
      <c r="H2096" t="s">
        <v>68</v>
      </c>
      <c r="I2096">
        <v>3</v>
      </c>
      <c r="J2096" t="s">
        <v>50</v>
      </c>
    </row>
    <row r="2097" spans="1:10" x14ac:dyDescent="0.25">
      <c r="A2097" t="s">
        <v>7355</v>
      </c>
      <c r="B2097">
        <f>11453.8890280884*(1/100/100)</f>
        <v>1.1453889028088402</v>
      </c>
      <c r="C2097">
        <v>19623</v>
      </c>
      <c r="D2097" t="s">
        <v>4481</v>
      </c>
      <c r="E2097">
        <v>31929</v>
      </c>
      <c r="F2097" t="s">
        <v>861</v>
      </c>
      <c r="G2097">
        <v>319</v>
      </c>
      <c r="H2097" t="s">
        <v>68</v>
      </c>
      <c r="I2097">
        <v>3</v>
      </c>
      <c r="J2097" t="s">
        <v>50</v>
      </c>
    </row>
    <row r="2098" spans="1:10" x14ac:dyDescent="0.25">
      <c r="A2098" t="s">
        <v>7355</v>
      </c>
      <c r="B2098">
        <f>47490.2971346849*(1/100/100)</f>
        <v>4.7490297134684907</v>
      </c>
      <c r="C2098">
        <v>19624</v>
      </c>
      <c r="D2098" t="s">
        <v>4378</v>
      </c>
      <c r="E2098">
        <v>31910</v>
      </c>
      <c r="F2098" t="s">
        <v>844</v>
      </c>
      <c r="G2098">
        <v>319</v>
      </c>
      <c r="H2098" t="s">
        <v>68</v>
      </c>
      <c r="I2098">
        <v>3</v>
      </c>
      <c r="J2098" t="s">
        <v>50</v>
      </c>
    </row>
    <row r="2099" spans="1:10" x14ac:dyDescent="0.25">
      <c r="A2099" t="s">
        <v>7355</v>
      </c>
      <c r="B2099">
        <f>10390.3926578887*(1/100/100)</f>
        <v>1.0390392657888701</v>
      </c>
      <c r="C2099">
        <v>19625</v>
      </c>
      <c r="D2099" t="s">
        <v>2951</v>
      </c>
      <c r="E2099">
        <v>30201</v>
      </c>
      <c r="F2099" t="s">
        <v>2921</v>
      </c>
      <c r="G2099">
        <v>302</v>
      </c>
      <c r="H2099" t="s">
        <v>51</v>
      </c>
      <c r="I2099">
        <v>3</v>
      </c>
      <c r="J2099" t="s">
        <v>50</v>
      </c>
    </row>
    <row r="2100" spans="1:10" x14ac:dyDescent="0.25">
      <c r="A2100" t="s">
        <v>7355</v>
      </c>
      <c r="B2100">
        <f>11072.8503759919*(1/100/100)</f>
        <v>1.1072850375991901</v>
      </c>
      <c r="C2100">
        <v>19626</v>
      </c>
      <c r="D2100" t="s">
        <v>4441</v>
      </c>
      <c r="E2100">
        <v>31922</v>
      </c>
      <c r="F2100" t="s">
        <v>855</v>
      </c>
      <c r="G2100">
        <v>319</v>
      </c>
      <c r="H2100" t="s">
        <v>68</v>
      </c>
      <c r="I2100">
        <v>3</v>
      </c>
      <c r="J2100" t="s">
        <v>50</v>
      </c>
    </row>
    <row r="2101" spans="1:10" x14ac:dyDescent="0.25">
      <c r="A2101" t="s">
        <v>7355</v>
      </c>
      <c r="B2101">
        <f>17013.4765353897*(1/100/100)</f>
        <v>1.70134765353897</v>
      </c>
      <c r="C2101">
        <v>19627</v>
      </c>
      <c r="D2101" t="s">
        <v>2952</v>
      </c>
      <c r="E2101">
        <v>30201</v>
      </c>
      <c r="F2101" t="s">
        <v>2921</v>
      </c>
      <c r="G2101">
        <v>302</v>
      </c>
      <c r="H2101" t="s">
        <v>51</v>
      </c>
      <c r="I2101">
        <v>3</v>
      </c>
      <c r="J2101" t="s">
        <v>50</v>
      </c>
    </row>
    <row r="2102" spans="1:10" x14ac:dyDescent="0.25">
      <c r="A2102" t="s">
        <v>7355</v>
      </c>
      <c r="B2102">
        <f>5171.21246865114*(1/100/100)</f>
        <v>0.51712124686511396</v>
      </c>
      <c r="C2102">
        <v>19628</v>
      </c>
      <c r="D2102" t="s">
        <v>2953</v>
      </c>
      <c r="E2102">
        <v>30201</v>
      </c>
      <c r="F2102" t="s">
        <v>2921</v>
      </c>
      <c r="G2102">
        <v>302</v>
      </c>
      <c r="H2102" t="s">
        <v>51</v>
      </c>
      <c r="I2102">
        <v>3</v>
      </c>
      <c r="J2102" t="s">
        <v>50</v>
      </c>
    </row>
    <row r="2103" spans="1:10" x14ac:dyDescent="0.25">
      <c r="A2103" t="s">
        <v>7355</v>
      </c>
      <c r="B2103">
        <f>4139.83528222539*(1/100/100)</f>
        <v>0.41398352822253903</v>
      </c>
      <c r="C2103">
        <v>19629</v>
      </c>
      <c r="D2103" t="s">
        <v>4564</v>
      </c>
      <c r="E2103">
        <v>31947</v>
      </c>
      <c r="F2103" t="s">
        <v>872</v>
      </c>
      <c r="G2103">
        <v>319</v>
      </c>
      <c r="H2103" t="s">
        <v>68</v>
      </c>
      <c r="I2103">
        <v>3</v>
      </c>
      <c r="J2103" t="s">
        <v>50</v>
      </c>
    </row>
    <row r="2104" spans="1:10" x14ac:dyDescent="0.25">
      <c r="A2104" t="s">
        <v>7355</v>
      </c>
      <c r="B2104">
        <f>10684.6970043134*(1/100/100)</f>
        <v>1.0684697004313402</v>
      </c>
      <c r="C2104">
        <v>19630</v>
      </c>
      <c r="D2104" t="s">
        <v>2954</v>
      </c>
      <c r="E2104">
        <v>30201</v>
      </c>
      <c r="F2104" t="s">
        <v>2921</v>
      </c>
      <c r="G2104">
        <v>302</v>
      </c>
      <c r="H2104" t="s">
        <v>51</v>
      </c>
      <c r="I2104">
        <v>3</v>
      </c>
      <c r="J2104" t="s">
        <v>50</v>
      </c>
    </row>
    <row r="2105" spans="1:10" x14ac:dyDescent="0.25">
      <c r="A2105" t="s">
        <v>7355</v>
      </c>
      <c r="B2105">
        <f>8478.15954939543*(1/100/100)</f>
        <v>0.84781595493954309</v>
      </c>
      <c r="C2105">
        <v>19631</v>
      </c>
      <c r="D2105" t="s">
        <v>4205</v>
      </c>
      <c r="E2105">
        <v>31922</v>
      </c>
      <c r="F2105" t="s">
        <v>855</v>
      </c>
      <c r="G2105">
        <v>319</v>
      </c>
      <c r="H2105" t="s">
        <v>68</v>
      </c>
      <c r="I2105">
        <v>3</v>
      </c>
      <c r="J2105" t="s">
        <v>50</v>
      </c>
    </row>
    <row r="2106" spans="1:10" x14ac:dyDescent="0.25">
      <c r="A2106" t="s">
        <v>7355</v>
      </c>
      <c r="B2106">
        <f>959.716500966715*(1/100/100)</f>
        <v>9.597165009667151E-2</v>
      </c>
      <c r="C2106">
        <v>19632</v>
      </c>
      <c r="D2106" t="s">
        <v>4379</v>
      </c>
      <c r="E2106">
        <v>31910</v>
      </c>
      <c r="F2106" t="s">
        <v>844</v>
      </c>
      <c r="G2106">
        <v>319</v>
      </c>
      <c r="H2106" t="s">
        <v>68</v>
      </c>
      <c r="I2106">
        <v>3</v>
      </c>
      <c r="J2106" t="s">
        <v>50</v>
      </c>
    </row>
    <row r="2107" spans="1:10" x14ac:dyDescent="0.25">
      <c r="A2107" t="s">
        <v>7355</v>
      </c>
      <c r="B2107">
        <f>29606.4340620448*(1/100/100)</f>
        <v>2.96064340620448</v>
      </c>
      <c r="C2107">
        <v>19633</v>
      </c>
      <c r="D2107" t="s">
        <v>364</v>
      </c>
      <c r="E2107">
        <v>31934</v>
      </c>
      <c r="F2107" t="s">
        <v>864</v>
      </c>
      <c r="G2107">
        <v>319</v>
      </c>
      <c r="H2107" t="s">
        <v>68</v>
      </c>
      <c r="I2107">
        <v>3</v>
      </c>
      <c r="J2107" t="s">
        <v>50</v>
      </c>
    </row>
    <row r="2108" spans="1:10" x14ac:dyDescent="0.25">
      <c r="A2108" t="s">
        <v>7355</v>
      </c>
      <c r="B2108">
        <f>10754.9137357396*(1/100/100)</f>
        <v>1.07549137357396</v>
      </c>
      <c r="C2108">
        <v>19634</v>
      </c>
      <c r="D2108" t="s">
        <v>4380</v>
      </c>
      <c r="E2108">
        <v>31910</v>
      </c>
      <c r="F2108" t="s">
        <v>844</v>
      </c>
      <c r="G2108">
        <v>319</v>
      </c>
      <c r="H2108" t="s">
        <v>68</v>
      </c>
      <c r="I2108">
        <v>3</v>
      </c>
      <c r="J2108" t="s">
        <v>50</v>
      </c>
    </row>
    <row r="2109" spans="1:10" x14ac:dyDescent="0.25">
      <c r="A2109" t="s">
        <v>7355</v>
      </c>
      <c r="B2109">
        <f>12182.9710128424*(1/100/100)</f>
        <v>1.2182971012842401</v>
      </c>
      <c r="C2109">
        <v>19635</v>
      </c>
      <c r="D2109" t="s">
        <v>4518</v>
      </c>
      <c r="E2109">
        <v>31934</v>
      </c>
      <c r="F2109" t="s">
        <v>864</v>
      </c>
      <c r="G2109">
        <v>319</v>
      </c>
      <c r="H2109" t="s">
        <v>68</v>
      </c>
      <c r="I2109">
        <v>3</v>
      </c>
      <c r="J2109" t="s">
        <v>50</v>
      </c>
    </row>
    <row r="2110" spans="1:10" x14ac:dyDescent="0.25">
      <c r="A2110" t="s">
        <v>7355</v>
      </c>
      <c r="B2110">
        <f>10521.8343282276*(1/100/100)</f>
        <v>1.0521834328227599</v>
      </c>
      <c r="C2110">
        <v>19636</v>
      </c>
      <c r="D2110" t="s">
        <v>2955</v>
      </c>
      <c r="E2110">
        <v>30201</v>
      </c>
      <c r="F2110" t="s">
        <v>2921</v>
      </c>
      <c r="G2110">
        <v>302</v>
      </c>
      <c r="H2110" t="s">
        <v>51</v>
      </c>
      <c r="I2110">
        <v>3</v>
      </c>
      <c r="J2110" t="s">
        <v>50</v>
      </c>
    </row>
    <row r="2111" spans="1:10" x14ac:dyDescent="0.25">
      <c r="A2111" t="s">
        <v>7355</v>
      </c>
      <c r="B2111">
        <f>26285.8959358832*(1/100/100)</f>
        <v>2.6285895935883201</v>
      </c>
      <c r="C2111">
        <v>19637</v>
      </c>
      <c r="D2111" t="s">
        <v>2956</v>
      </c>
      <c r="E2111">
        <v>30201</v>
      </c>
      <c r="F2111" t="s">
        <v>2921</v>
      </c>
      <c r="G2111">
        <v>302</v>
      </c>
      <c r="H2111" t="s">
        <v>51</v>
      </c>
      <c r="I2111">
        <v>3</v>
      </c>
      <c r="J2111" t="s">
        <v>50</v>
      </c>
    </row>
    <row r="2112" spans="1:10" x14ac:dyDescent="0.25">
      <c r="A2112" t="s">
        <v>7355</v>
      </c>
      <c r="B2112">
        <f>15426.3530362677*(1/100/100)</f>
        <v>1.5426353036267699</v>
      </c>
      <c r="C2112">
        <v>19638</v>
      </c>
      <c r="D2112" t="s">
        <v>2957</v>
      </c>
      <c r="E2112">
        <v>30201</v>
      </c>
      <c r="F2112" t="s">
        <v>2921</v>
      </c>
      <c r="G2112">
        <v>302</v>
      </c>
      <c r="H2112" t="s">
        <v>51</v>
      </c>
      <c r="I2112">
        <v>3</v>
      </c>
      <c r="J2112" t="s">
        <v>50</v>
      </c>
    </row>
    <row r="2113" spans="1:10" x14ac:dyDescent="0.25">
      <c r="A2113" t="s">
        <v>7355</v>
      </c>
      <c r="B2113">
        <f>10368.6039116875*(1/100/100)</f>
        <v>1.03686039116875</v>
      </c>
      <c r="C2113">
        <v>19701</v>
      </c>
      <c r="D2113" t="s">
        <v>4451</v>
      </c>
      <c r="E2113">
        <v>31926</v>
      </c>
      <c r="F2113" t="s">
        <v>858</v>
      </c>
      <c r="G2113">
        <v>319</v>
      </c>
      <c r="H2113" t="s">
        <v>68</v>
      </c>
      <c r="I2113">
        <v>3</v>
      </c>
      <c r="J2113" t="s">
        <v>50</v>
      </c>
    </row>
    <row r="2114" spans="1:10" x14ac:dyDescent="0.25">
      <c r="A2114" t="s">
        <v>7355</v>
      </c>
      <c r="B2114">
        <f>357047.650514331*(1/100/100)</f>
        <v>35.7047650514331</v>
      </c>
      <c r="C2114">
        <v>19702</v>
      </c>
      <c r="D2114" t="s">
        <v>836</v>
      </c>
      <c r="E2114">
        <v>31901</v>
      </c>
      <c r="F2114" t="s">
        <v>836</v>
      </c>
      <c r="G2114">
        <v>319</v>
      </c>
      <c r="H2114" t="s">
        <v>68</v>
      </c>
      <c r="I2114">
        <v>3</v>
      </c>
      <c r="J2114" t="s">
        <v>50</v>
      </c>
    </row>
    <row r="2115" spans="1:10" x14ac:dyDescent="0.25">
      <c r="A2115" t="s">
        <v>7355</v>
      </c>
      <c r="B2115">
        <f>81116.4161884652*(1/100/100)</f>
        <v>8.1116416188465195</v>
      </c>
      <c r="C2115">
        <v>19703</v>
      </c>
      <c r="D2115" t="s">
        <v>837</v>
      </c>
      <c r="E2115">
        <v>31902</v>
      </c>
      <c r="F2115" t="s">
        <v>837</v>
      </c>
      <c r="G2115">
        <v>319</v>
      </c>
      <c r="H2115" t="s">
        <v>68</v>
      </c>
      <c r="I2115">
        <v>3</v>
      </c>
      <c r="J2115" t="s">
        <v>50</v>
      </c>
    </row>
    <row r="2116" spans="1:10" x14ac:dyDescent="0.25">
      <c r="A2116" t="s">
        <v>7355</v>
      </c>
      <c r="B2116">
        <f>14899.0656050779*(1/100/100)</f>
        <v>1.4899065605077901</v>
      </c>
      <c r="C2116">
        <v>19704</v>
      </c>
      <c r="D2116" t="s">
        <v>2032</v>
      </c>
      <c r="E2116">
        <v>31904</v>
      </c>
      <c r="F2116" t="s">
        <v>839</v>
      </c>
      <c r="G2116">
        <v>319</v>
      </c>
      <c r="H2116" t="s">
        <v>68</v>
      </c>
      <c r="I2116">
        <v>3</v>
      </c>
      <c r="J2116" t="s">
        <v>50</v>
      </c>
    </row>
    <row r="2117" spans="1:10" x14ac:dyDescent="0.25">
      <c r="A2117" t="s">
        <v>7355</v>
      </c>
      <c r="B2117">
        <f>20463.6158081907*(1/100/100)</f>
        <v>2.0463615808190703</v>
      </c>
      <c r="C2117">
        <v>19705</v>
      </c>
      <c r="D2117" t="s">
        <v>4316</v>
      </c>
      <c r="E2117">
        <v>31902</v>
      </c>
      <c r="F2117" t="s">
        <v>837</v>
      </c>
      <c r="G2117">
        <v>319</v>
      </c>
      <c r="H2117" t="s">
        <v>68</v>
      </c>
      <c r="I2117">
        <v>3</v>
      </c>
      <c r="J2117" t="s">
        <v>50</v>
      </c>
    </row>
    <row r="2118" spans="1:10" x14ac:dyDescent="0.25">
      <c r="A2118" t="s">
        <v>7355</v>
      </c>
      <c r="B2118">
        <f>5942.20078168364*(1/100/100)</f>
        <v>0.59422007816836409</v>
      </c>
      <c r="C2118">
        <v>19706</v>
      </c>
      <c r="D2118" t="s">
        <v>2229</v>
      </c>
      <c r="E2118">
        <v>31902</v>
      </c>
      <c r="F2118" t="s">
        <v>837</v>
      </c>
      <c r="G2118">
        <v>319</v>
      </c>
      <c r="H2118" t="s">
        <v>68</v>
      </c>
      <c r="I2118">
        <v>3</v>
      </c>
      <c r="J2118" t="s">
        <v>50</v>
      </c>
    </row>
    <row r="2119" spans="1:10" x14ac:dyDescent="0.25">
      <c r="A2119" t="s">
        <v>7355</v>
      </c>
      <c r="B2119">
        <f>20382.8892532874*(1/100/100)</f>
        <v>2.0382889253287404</v>
      </c>
      <c r="C2119">
        <v>19707</v>
      </c>
      <c r="D2119" t="s">
        <v>4426</v>
      </c>
      <c r="E2119">
        <v>31919</v>
      </c>
      <c r="F2119" t="s">
        <v>852</v>
      </c>
      <c r="G2119">
        <v>319</v>
      </c>
      <c r="H2119" t="s">
        <v>68</v>
      </c>
      <c r="I2119">
        <v>3</v>
      </c>
      <c r="J2119" t="s">
        <v>50</v>
      </c>
    </row>
    <row r="2120" spans="1:10" x14ac:dyDescent="0.25">
      <c r="A2120" t="s">
        <v>7355</v>
      </c>
      <c r="B2120">
        <f>9555.83599079845*(1/100/100)</f>
        <v>0.95558359907984514</v>
      </c>
      <c r="C2120">
        <v>19708</v>
      </c>
      <c r="D2120" t="s">
        <v>4317</v>
      </c>
      <c r="E2120">
        <v>31902</v>
      </c>
      <c r="F2120" t="s">
        <v>837</v>
      </c>
      <c r="G2120">
        <v>319</v>
      </c>
      <c r="H2120" t="s">
        <v>68</v>
      </c>
      <c r="I2120">
        <v>3</v>
      </c>
      <c r="J2120" t="s">
        <v>50</v>
      </c>
    </row>
    <row r="2121" spans="1:10" x14ac:dyDescent="0.25">
      <c r="A2121" t="s">
        <v>7355</v>
      </c>
      <c r="B2121">
        <f>18253.974685081*(1/100/100)</f>
        <v>1.8253974685081003</v>
      </c>
      <c r="C2121">
        <v>19709</v>
      </c>
      <c r="D2121" t="s">
        <v>4343</v>
      </c>
      <c r="E2121">
        <v>31904</v>
      </c>
      <c r="F2121" t="s">
        <v>839</v>
      </c>
      <c r="G2121">
        <v>319</v>
      </c>
      <c r="H2121" t="s">
        <v>68</v>
      </c>
      <c r="I2121">
        <v>3</v>
      </c>
      <c r="J2121" t="s">
        <v>50</v>
      </c>
    </row>
    <row r="2122" spans="1:10" x14ac:dyDescent="0.25">
      <c r="A2122" t="s">
        <v>7355</v>
      </c>
      <c r="B2122">
        <f>355328.802453118*(1/100/100)</f>
        <v>35.532880245311802</v>
      </c>
      <c r="C2122">
        <v>19710</v>
      </c>
      <c r="D2122" t="s">
        <v>840</v>
      </c>
      <c r="E2122">
        <v>31905</v>
      </c>
      <c r="F2122" t="s">
        <v>840</v>
      </c>
      <c r="G2122">
        <v>319</v>
      </c>
      <c r="H2122" t="s">
        <v>68</v>
      </c>
      <c r="I2122">
        <v>3</v>
      </c>
      <c r="J2122" t="s">
        <v>50</v>
      </c>
    </row>
    <row r="2123" spans="1:10" x14ac:dyDescent="0.25">
      <c r="A2123" t="s">
        <v>7355</v>
      </c>
      <c r="B2123">
        <f>10450.5040559839*(1/100/100)</f>
        <v>1.04505040559839</v>
      </c>
      <c r="C2123">
        <v>19711</v>
      </c>
      <c r="D2123" t="s">
        <v>2658</v>
      </c>
      <c r="E2123">
        <v>31926</v>
      </c>
      <c r="F2123" t="s">
        <v>858</v>
      </c>
      <c r="G2123">
        <v>319</v>
      </c>
      <c r="H2123" t="s">
        <v>68</v>
      </c>
      <c r="I2123">
        <v>3</v>
      </c>
      <c r="J2123" t="s">
        <v>50</v>
      </c>
    </row>
    <row r="2124" spans="1:10" x14ac:dyDescent="0.25">
      <c r="A2124" t="s">
        <v>7355</v>
      </c>
      <c r="B2124">
        <f>12562.4014830211*(1/100/100)</f>
        <v>1.2562401483021099</v>
      </c>
      <c r="C2124">
        <v>19712</v>
      </c>
      <c r="D2124" t="s">
        <v>3042</v>
      </c>
      <c r="E2124">
        <v>31902</v>
      </c>
      <c r="F2124" t="s">
        <v>837</v>
      </c>
      <c r="G2124">
        <v>319</v>
      </c>
      <c r="H2124" t="s">
        <v>68</v>
      </c>
      <c r="I2124">
        <v>3</v>
      </c>
      <c r="J2124" t="s">
        <v>50</v>
      </c>
    </row>
    <row r="2125" spans="1:10" x14ac:dyDescent="0.25">
      <c r="A2125" t="s">
        <v>7355</v>
      </c>
      <c r="B2125">
        <f>6372.03274517279*(1/100/100)</f>
        <v>0.63720327451727898</v>
      </c>
      <c r="C2125">
        <v>19713</v>
      </c>
      <c r="D2125" t="s">
        <v>4318</v>
      </c>
      <c r="E2125">
        <v>31902</v>
      </c>
      <c r="F2125" t="s">
        <v>837</v>
      </c>
      <c r="G2125">
        <v>319</v>
      </c>
      <c r="H2125" t="s">
        <v>68</v>
      </c>
      <c r="I2125">
        <v>3</v>
      </c>
      <c r="J2125" t="s">
        <v>50</v>
      </c>
    </row>
    <row r="2126" spans="1:10" x14ac:dyDescent="0.25">
      <c r="A2126" t="s">
        <v>7355</v>
      </c>
      <c r="B2126">
        <f>11877.40974504*(1/100/100)</f>
        <v>1.1877409745040002</v>
      </c>
      <c r="C2126">
        <v>19714</v>
      </c>
      <c r="D2126" t="s">
        <v>4344</v>
      </c>
      <c r="E2126">
        <v>31904</v>
      </c>
      <c r="F2126" t="s">
        <v>839</v>
      </c>
      <c r="G2126">
        <v>319</v>
      </c>
      <c r="H2126" t="s">
        <v>68</v>
      </c>
      <c r="I2126">
        <v>3</v>
      </c>
      <c r="J2126" t="s">
        <v>50</v>
      </c>
    </row>
    <row r="2127" spans="1:10" x14ac:dyDescent="0.25">
      <c r="A2127" t="s">
        <v>7355</v>
      </c>
      <c r="B2127">
        <f>26483.0656268865*(1/100/100)</f>
        <v>2.6483065626886502</v>
      </c>
      <c r="C2127">
        <v>19715</v>
      </c>
      <c r="D2127" t="s">
        <v>4432</v>
      </c>
      <c r="E2127">
        <v>31921</v>
      </c>
      <c r="F2127" t="s">
        <v>854</v>
      </c>
      <c r="G2127">
        <v>319</v>
      </c>
      <c r="H2127" t="s">
        <v>68</v>
      </c>
      <c r="I2127">
        <v>3</v>
      </c>
      <c r="J2127" t="s">
        <v>50</v>
      </c>
    </row>
    <row r="2128" spans="1:10" x14ac:dyDescent="0.25">
      <c r="A2128" t="s">
        <v>7355</v>
      </c>
      <c r="B2128">
        <f>4631.48392857043*(1/100/100)</f>
        <v>0.46314839285704307</v>
      </c>
      <c r="C2128">
        <v>19716</v>
      </c>
      <c r="D2128" t="s">
        <v>676</v>
      </c>
      <c r="E2128">
        <v>31904</v>
      </c>
      <c r="F2128" t="s">
        <v>839</v>
      </c>
      <c r="G2128">
        <v>319</v>
      </c>
      <c r="H2128" t="s">
        <v>68</v>
      </c>
      <c r="I2128">
        <v>3</v>
      </c>
      <c r="J2128" t="s">
        <v>50</v>
      </c>
    </row>
    <row r="2129" spans="1:10" x14ac:dyDescent="0.25">
      <c r="A2129" t="s">
        <v>7355</v>
      </c>
      <c r="B2129">
        <f>37089.7395465343*(1/100/100)</f>
        <v>3.7089739546534299</v>
      </c>
      <c r="C2129">
        <v>19718</v>
      </c>
      <c r="D2129" t="s">
        <v>4319</v>
      </c>
      <c r="E2129">
        <v>31902</v>
      </c>
      <c r="F2129" t="s">
        <v>837</v>
      </c>
      <c r="G2129">
        <v>319</v>
      </c>
      <c r="H2129" t="s">
        <v>68</v>
      </c>
      <c r="I2129">
        <v>3</v>
      </c>
      <c r="J2129" t="s">
        <v>50</v>
      </c>
    </row>
    <row r="2130" spans="1:10" x14ac:dyDescent="0.25">
      <c r="A2130" t="s">
        <v>7355</v>
      </c>
      <c r="B2130">
        <f>32898.193121754*(1/100/100)</f>
        <v>3.2898193121753998</v>
      </c>
      <c r="C2130">
        <v>19719</v>
      </c>
      <c r="D2130" t="s">
        <v>4320</v>
      </c>
      <c r="E2130">
        <v>31902</v>
      </c>
      <c r="F2130" t="s">
        <v>837</v>
      </c>
      <c r="G2130">
        <v>319</v>
      </c>
      <c r="H2130" t="s">
        <v>68</v>
      </c>
      <c r="I2130">
        <v>3</v>
      </c>
      <c r="J2130" t="s">
        <v>50</v>
      </c>
    </row>
    <row r="2131" spans="1:10" x14ac:dyDescent="0.25">
      <c r="A2131" t="s">
        <v>7355</v>
      </c>
      <c r="B2131">
        <f>65167.541070561*(1/100/100)</f>
        <v>6.5167541070560997</v>
      </c>
      <c r="C2131">
        <v>19720</v>
      </c>
      <c r="D2131" t="s">
        <v>4433</v>
      </c>
      <c r="E2131">
        <v>31921</v>
      </c>
      <c r="F2131" t="s">
        <v>854</v>
      </c>
      <c r="G2131">
        <v>319</v>
      </c>
      <c r="H2131" t="s">
        <v>68</v>
      </c>
      <c r="I2131">
        <v>3</v>
      </c>
      <c r="J2131" t="s">
        <v>50</v>
      </c>
    </row>
    <row r="2132" spans="1:10" x14ac:dyDescent="0.25">
      <c r="A2132" t="s">
        <v>7355</v>
      </c>
      <c r="B2132">
        <f>70796.5484927802*(1/100/100)</f>
        <v>7.0796548492780209</v>
      </c>
      <c r="C2132">
        <v>19721</v>
      </c>
      <c r="D2132" t="s">
        <v>4452</v>
      </c>
      <c r="E2132">
        <v>31926</v>
      </c>
      <c r="F2132" t="s">
        <v>858</v>
      </c>
      <c r="G2132">
        <v>319</v>
      </c>
      <c r="H2132" t="s">
        <v>68</v>
      </c>
      <c r="I2132">
        <v>3</v>
      </c>
      <c r="J2132" t="s">
        <v>50</v>
      </c>
    </row>
    <row r="2133" spans="1:10" x14ac:dyDescent="0.25">
      <c r="A2133" t="s">
        <v>7355</v>
      </c>
      <c r="B2133">
        <f>70323.8577855667*(1/100/100)</f>
        <v>7.0323857785566695</v>
      </c>
      <c r="C2133">
        <v>19724</v>
      </c>
      <c r="D2133" t="s">
        <v>469</v>
      </c>
      <c r="E2133">
        <v>31926</v>
      </c>
      <c r="F2133" t="s">
        <v>858</v>
      </c>
      <c r="G2133">
        <v>319</v>
      </c>
      <c r="H2133" t="s">
        <v>68</v>
      </c>
      <c r="I2133">
        <v>3</v>
      </c>
      <c r="J2133" t="s">
        <v>50</v>
      </c>
    </row>
    <row r="2134" spans="1:10" x14ac:dyDescent="0.25">
      <c r="A2134" t="s">
        <v>7355</v>
      </c>
      <c r="B2134">
        <f>9568.64984536901*(1/100/100)</f>
        <v>0.95686498453690094</v>
      </c>
      <c r="C2134">
        <v>19725</v>
      </c>
      <c r="D2134" t="s">
        <v>4321</v>
      </c>
      <c r="E2134">
        <v>31902</v>
      </c>
      <c r="F2134" t="s">
        <v>837</v>
      </c>
      <c r="G2134">
        <v>319</v>
      </c>
      <c r="H2134" t="s">
        <v>68</v>
      </c>
      <c r="I2134">
        <v>3</v>
      </c>
      <c r="J2134" t="s">
        <v>50</v>
      </c>
    </row>
    <row r="2135" spans="1:10" x14ac:dyDescent="0.25">
      <c r="A2135" t="s">
        <v>7355</v>
      </c>
      <c r="B2135">
        <f>9155.36853665579*(1/100/100)</f>
        <v>0.91553685366557902</v>
      </c>
      <c r="C2135">
        <v>19726</v>
      </c>
      <c r="D2135" t="s">
        <v>4322</v>
      </c>
      <c r="E2135">
        <v>31902</v>
      </c>
      <c r="F2135" t="s">
        <v>837</v>
      </c>
      <c r="G2135">
        <v>319</v>
      </c>
      <c r="H2135" t="s">
        <v>68</v>
      </c>
      <c r="I2135">
        <v>3</v>
      </c>
      <c r="J2135" t="s">
        <v>50</v>
      </c>
    </row>
    <row r="2136" spans="1:10" x14ac:dyDescent="0.25">
      <c r="A2136" t="s">
        <v>7355</v>
      </c>
      <c r="B2136">
        <f>55046.6823400103*(1/100/100)</f>
        <v>5.5046682340010307</v>
      </c>
      <c r="C2136">
        <v>19727</v>
      </c>
      <c r="D2136" t="s">
        <v>4453</v>
      </c>
      <c r="E2136">
        <v>31926</v>
      </c>
      <c r="F2136" t="s">
        <v>858</v>
      </c>
      <c r="G2136">
        <v>319</v>
      </c>
      <c r="H2136" t="s">
        <v>68</v>
      </c>
      <c r="I2136">
        <v>3</v>
      </c>
      <c r="J2136" t="s">
        <v>50</v>
      </c>
    </row>
    <row r="2137" spans="1:10" x14ac:dyDescent="0.25">
      <c r="A2137" t="s">
        <v>7355</v>
      </c>
      <c r="B2137">
        <f>10072.7642849682*(1/100/100)</f>
        <v>1.0072764284968201</v>
      </c>
      <c r="C2137">
        <v>19728</v>
      </c>
      <c r="D2137" t="s">
        <v>2839</v>
      </c>
      <c r="E2137">
        <v>31902</v>
      </c>
      <c r="F2137" t="s">
        <v>837</v>
      </c>
      <c r="G2137">
        <v>319</v>
      </c>
      <c r="H2137" t="s">
        <v>68</v>
      </c>
      <c r="I2137">
        <v>3</v>
      </c>
      <c r="J2137" t="s">
        <v>50</v>
      </c>
    </row>
    <row r="2138" spans="1:10" x14ac:dyDescent="0.25">
      <c r="A2138" t="s">
        <v>7355</v>
      </c>
      <c r="B2138">
        <f>6808.93303121023*(1/100/100)</f>
        <v>0.68089330312102303</v>
      </c>
      <c r="C2138">
        <v>19729</v>
      </c>
      <c r="D2138" t="s">
        <v>4323</v>
      </c>
      <c r="E2138">
        <v>31902</v>
      </c>
      <c r="F2138" t="s">
        <v>837</v>
      </c>
      <c r="G2138">
        <v>319</v>
      </c>
      <c r="H2138" t="s">
        <v>68</v>
      </c>
      <c r="I2138">
        <v>3</v>
      </c>
      <c r="J2138" t="s">
        <v>50</v>
      </c>
    </row>
    <row r="2139" spans="1:10" x14ac:dyDescent="0.25">
      <c r="A2139" t="s">
        <v>7355</v>
      </c>
      <c r="B2139">
        <f>89338.0248450775*(1/100/100)</f>
        <v>8.9338024845077495</v>
      </c>
      <c r="C2139">
        <v>19730</v>
      </c>
      <c r="D2139" t="s">
        <v>852</v>
      </c>
      <c r="E2139">
        <v>31919</v>
      </c>
      <c r="F2139" t="s">
        <v>852</v>
      </c>
      <c r="G2139">
        <v>319</v>
      </c>
      <c r="H2139" t="s">
        <v>68</v>
      </c>
      <c r="I2139">
        <v>3</v>
      </c>
      <c r="J2139" t="s">
        <v>50</v>
      </c>
    </row>
    <row r="2140" spans="1:10" x14ac:dyDescent="0.25">
      <c r="A2140" t="s">
        <v>7355</v>
      </c>
      <c r="B2140">
        <f>28367.1792169523*(1/100/100)</f>
        <v>2.8367179216952301</v>
      </c>
      <c r="C2140">
        <v>19731</v>
      </c>
      <c r="D2140" t="s">
        <v>4345</v>
      </c>
      <c r="E2140">
        <v>31904</v>
      </c>
      <c r="F2140" t="s">
        <v>839</v>
      </c>
      <c r="G2140">
        <v>319</v>
      </c>
      <c r="H2140" t="s">
        <v>68</v>
      </c>
      <c r="I2140">
        <v>3</v>
      </c>
      <c r="J2140" t="s">
        <v>50</v>
      </c>
    </row>
    <row r="2141" spans="1:10" x14ac:dyDescent="0.25">
      <c r="A2141" t="s">
        <v>7355</v>
      </c>
      <c r="B2141">
        <f>1190.00570888185*(1/100/100)</f>
        <v>0.11900057088818501</v>
      </c>
      <c r="C2141">
        <v>19732</v>
      </c>
      <c r="D2141" t="s">
        <v>4324</v>
      </c>
      <c r="E2141">
        <v>31902</v>
      </c>
      <c r="F2141" t="s">
        <v>837</v>
      </c>
      <c r="G2141">
        <v>319</v>
      </c>
      <c r="H2141" t="s">
        <v>68</v>
      </c>
      <c r="I2141">
        <v>3</v>
      </c>
      <c r="J2141" t="s">
        <v>50</v>
      </c>
    </row>
    <row r="2142" spans="1:10" x14ac:dyDescent="0.25">
      <c r="A2142" t="s">
        <v>7355</v>
      </c>
      <c r="B2142">
        <f>60471.9628016732*(1/100/100)</f>
        <v>6.0471962801673209</v>
      </c>
      <c r="C2142">
        <v>19733</v>
      </c>
      <c r="D2142" t="s">
        <v>4346</v>
      </c>
      <c r="E2142">
        <v>31904</v>
      </c>
      <c r="F2142" t="s">
        <v>839</v>
      </c>
      <c r="G2142">
        <v>319</v>
      </c>
      <c r="H2142" t="s">
        <v>68</v>
      </c>
      <c r="I2142">
        <v>3</v>
      </c>
      <c r="J2142" t="s">
        <v>50</v>
      </c>
    </row>
    <row r="2143" spans="1:10" x14ac:dyDescent="0.25">
      <c r="A2143" t="s">
        <v>7355</v>
      </c>
      <c r="B2143">
        <f>161010.092882148*(1/100/100)</f>
        <v>16.101009288214801</v>
      </c>
      <c r="C2143">
        <v>19734</v>
      </c>
      <c r="D2143" t="s">
        <v>4434</v>
      </c>
      <c r="E2143">
        <v>31921</v>
      </c>
      <c r="F2143" t="s">
        <v>854</v>
      </c>
      <c r="G2143">
        <v>319</v>
      </c>
      <c r="H2143" t="s">
        <v>68</v>
      </c>
      <c r="I2143">
        <v>3</v>
      </c>
      <c r="J2143" t="s">
        <v>50</v>
      </c>
    </row>
    <row r="2144" spans="1:10" x14ac:dyDescent="0.25">
      <c r="A2144" t="s">
        <v>7355</v>
      </c>
      <c r="B2144">
        <f>40571.5174724008*(1/100/100)</f>
        <v>4.0571517472400807</v>
      </c>
      <c r="C2144">
        <v>19735</v>
      </c>
      <c r="D2144" t="s">
        <v>4437</v>
      </c>
      <c r="E2144">
        <v>31926</v>
      </c>
      <c r="F2144" t="s">
        <v>858</v>
      </c>
      <c r="G2144">
        <v>319</v>
      </c>
      <c r="H2144" t="s">
        <v>68</v>
      </c>
      <c r="I2144">
        <v>3</v>
      </c>
      <c r="J2144" t="s">
        <v>50</v>
      </c>
    </row>
    <row r="2145" spans="1:10" x14ac:dyDescent="0.25">
      <c r="A2145" t="s">
        <v>7355</v>
      </c>
      <c r="B2145">
        <f>127107.210512933*(1/100/100)</f>
        <v>12.710721051293302</v>
      </c>
      <c r="C2145">
        <v>19737</v>
      </c>
      <c r="D2145" t="s">
        <v>858</v>
      </c>
      <c r="E2145">
        <v>31926</v>
      </c>
      <c r="F2145" t="s">
        <v>858</v>
      </c>
      <c r="G2145">
        <v>319</v>
      </c>
      <c r="H2145" t="s">
        <v>68</v>
      </c>
      <c r="I2145">
        <v>3</v>
      </c>
      <c r="J2145" t="s">
        <v>50</v>
      </c>
    </row>
    <row r="2146" spans="1:10" x14ac:dyDescent="0.25">
      <c r="A2146" t="s">
        <v>7355</v>
      </c>
      <c r="B2146">
        <f>184043.626831575*(1/100/100)</f>
        <v>18.404362683157501</v>
      </c>
      <c r="C2146">
        <v>19738</v>
      </c>
      <c r="D2146" t="s">
        <v>859</v>
      </c>
      <c r="E2146">
        <v>31927</v>
      </c>
      <c r="F2146" t="s">
        <v>859</v>
      </c>
      <c r="G2146">
        <v>319</v>
      </c>
      <c r="H2146" t="s">
        <v>68</v>
      </c>
      <c r="I2146">
        <v>3</v>
      </c>
      <c r="J2146" t="s">
        <v>50</v>
      </c>
    </row>
    <row r="2147" spans="1:10" x14ac:dyDescent="0.25">
      <c r="A2147" t="s">
        <v>7355</v>
      </c>
      <c r="B2147">
        <f>10936.5620156455*(1/100/100)</f>
        <v>1.0936562015645501</v>
      </c>
      <c r="C2147">
        <v>19740</v>
      </c>
      <c r="D2147" t="s">
        <v>4427</v>
      </c>
      <c r="E2147">
        <v>31919</v>
      </c>
      <c r="F2147" t="s">
        <v>852</v>
      </c>
      <c r="G2147">
        <v>319</v>
      </c>
      <c r="H2147" t="s">
        <v>68</v>
      </c>
      <c r="I2147">
        <v>3</v>
      </c>
      <c r="J2147" t="s">
        <v>50</v>
      </c>
    </row>
    <row r="2148" spans="1:10" x14ac:dyDescent="0.25">
      <c r="A2148" t="s">
        <v>7355</v>
      </c>
      <c r="B2148">
        <f>73919.3303728445*(1/100/100)</f>
        <v>7.3919330372844509</v>
      </c>
      <c r="C2148">
        <v>19741</v>
      </c>
      <c r="D2148" t="s">
        <v>4454</v>
      </c>
      <c r="E2148">
        <v>31926</v>
      </c>
      <c r="F2148" t="s">
        <v>858</v>
      </c>
      <c r="G2148">
        <v>319</v>
      </c>
      <c r="H2148" t="s">
        <v>68</v>
      </c>
      <c r="I2148">
        <v>3</v>
      </c>
      <c r="J2148" t="s">
        <v>50</v>
      </c>
    </row>
    <row r="2149" spans="1:10" x14ac:dyDescent="0.25">
      <c r="A2149" t="s">
        <v>7355</v>
      </c>
      <c r="B2149">
        <f>14327.4318482486*(1/100/100)</f>
        <v>1.43274318482486</v>
      </c>
      <c r="C2149">
        <v>19742</v>
      </c>
      <c r="D2149" t="s">
        <v>4325</v>
      </c>
      <c r="E2149">
        <v>31902</v>
      </c>
      <c r="F2149" t="s">
        <v>837</v>
      </c>
      <c r="G2149">
        <v>319</v>
      </c>
      <c r="H2149" t="s">
        <v>68</v>
      </c>
      <c r="I2149">
        <v>3</v>
      </c>
      <c r="J2149" t="s">
        <v>50</v>
      </c>
    </row>
    <row r="2150" spans="1:10" x14ac:dyDescent="0.25">
      <c r="A2150" t="s">
        <v>7355</v>
      </c>
      <c r="B2150">
        <f>19185.7134475641*(1/100/100)</f>
        <v>1.9185713447564101</v>
      </c>
      <c r="C2150">
        <v>19743</v>
      </c>
      <c r="D2150" t="s">
        <v>4428</v>
      </c>
      <c r="E2150">
        <v>31919</v>
      </c>
      <c r="F2150" t="s">
        <v>852</v>
      </c>
      <c r="G2150">
        <v>319</v>
      </c>
      <c r="H2150" t="s">
        <v>68</v>
      </c>
      <c r="I2150">
        <v>3</v>
      </c>
      <c r="J2150" t="s">
        <v>50</v>
      </c>
    </row>
    <row r="2151" spans="1:10" x14ac:dyDescent="0.25">
      <c r="A2151" t="s">
        <v>7355</v>
      </c>
      <c r="B2151">
        <f>17478.8187713804*(1/100/100)</f>
        <v>1.74788187713804</v>
      </c>
      <c r="C2151">
        <v>19745</v>
      </c>
      <c r="D2151" t="s">
        <v>4347</v>
      </c>
      <c r="E2151">
        <v>31904</v>
      </c>
      <c r="F2151" t="s">
        <v>839</v>
      </c>
      <c r="G2151">
        <v>319</v>
      </c>
      <c r="H2151" t="s">
        <v>68</v>
      </c>
      <c r="I2151">
        <v>3</v>
      </c>
      <c r="J2151" t="s">
        <v>50</v>
      </c>
    </row>
    <row r="2152" spans="1:10" x14ac:dyDescent="0.25">
      <c r="A2152" t="s">
        <v>7355</v>
      </c>
      <c r="B2152">
        <f>86953.1937181587*(1/100/100)</f>
        <v>8.6953193718158701</v>
      </c>
      <c r="C2152">
        <v>19746</v>
      </c>
      <c r="D2152" t="s">
        <v>4455</v>
      </c>
      <c r="E2152">
        <v>31926</v>
      </c>
      <c r="F2152" t="s">
        <v>858</v>
      </c>
      <c r="G2152">
        <v>319</v>
      </c>
      <c r="H2152" t="s">
        <v>68</v>
      </c>
      <c r="I2152">
        <v>3</v>
      </c>
      <c r="J2152" t="s">
        <v>50</v>
      </c>
    </row>
    <row r="2153" spans="1:10" x14ac:dyDescent="0.25">
      <c r="A2153" t="s">
        <v>7355</v>
      </c>
      <c r="B2153">
        <f>102996.369110202*(1/100/100)</f>
        <v>10.299636911020199</v>
      </c>
      <c r="C2153">
        <v>19747</v>
      </c>
      <c r="D2153" t="s">
        <v>4456</v>
      </c>
      <c r="E2153">
        <v>31926</v>
      </c>
      <c r="F2153" t="s">
        <v>858</v>
      </c>
      <c r="G2153">
        <v>319</v>
      </c>
      <c r="H2153" t="s">
        <v>68</v>
      </c>
      <c r="I2153">
        <v>3</v>
      </c>
      <c r="J2153" t="s">
        <v>50</v>
      </c>
    </row>
    <row r="2154" spans="1:10" x14ac:dyDescent="0.25">
      <c r="A2154" t="s">
        <v>7355</v>
      </c>
      <c r="B2154">
        <f>4551.40979422412*(1/100/100)</f>
        <v>0.455140979422412</v>
      </c>
      <c r="C2154">
        <v>19748</v>
      </c>
      <c r="D2154" t="s">
        <v>3660</v>
      </c>
      <c r="E2154">
        <v>31919</v>
      </c>
      <c r="F2154" t="s">
        <v>852</v>
      </c>
      <c r="G2154">
        <v>319</v>
      </c>
      <c r="H2154" t="s">
        <v>68</v>
      </c>
      <c r="I2154">
        <v>3</v>
      </c>
      <c r="J2154" t="s">
        <v>50</v>
      </c>
    </row>
    <row r="2155" spans="1:10" x14ac:dyDescent="0.25">
      <c r="A2155" t="s">
        <v>7355</v>
      </c>
      <c r="B2155">
        <f>24485.5275639821*(1/100/100)</f>
        <v>2.4485527563982101</v>
      </c>
      <c r="C2155">
        <v>19749</v>
      </c>
      <c r="D2155" t="s">
        <v>4429</v>
      </c>
      <c r="E2155">
        <v>31919</v>
      </c>
      <c r="F2155" t="s">
        <v>852</v>
      </c>
      <c r="G2155">
        <v>319</v>
      </c>
      <c r="H2155" t="s">
        <v>68</v>
      </c>
      <c r="I2155">
        <v>3</v>
      </c>
      <c r="J2155" t="s">
        <v>50</v>
      </c>
    </row>
    <row r="2156" spans="1:10" x14ac:dyDescent="0.25">
      <c r="A2156" t="s">
        <v>7355</v>
      </c>
      <c r="B2156">
        <f>65636.6862005794*(1/100/100)</f>
        <v>6.5636686200579399</v>
      </c>
      <c r="C2156">
        <v>19750</v>
      </c>
      <c r="D2156" t="s">
        <v>3123</v>
      </c>
      <c r="E2156">
        <v>31902</v>
      </c>
      <c r="F2156" t="s">
        <v>837</v>
      </c>
      <c r="G2156">
        <v>319</v>
      </c>
      <c r="H2156" t="s">
        <v>68</v>
      </c>
      <c r="I2156">
        <v>3</v>
      </c>
      <c r="J2156" t="s">
        <v>50</v>
      </c>
    </row>
    <row r="2157" spans="1:10" x14ac:dyDescent="0.25">
      <c r="A2157" t="s">
        <v>7355</v>
      </c>
      <c r="B2157">
        <f>22854.7754391534*(1/100/100)</f>
        <v>2.2854775439153401</v>
      </c>
      <c r="C2157">
        <v>19751</v>
      </c>
      <c r="D2157" t="s">
        <v>4326</v>
      </c>
      <c r="E2157">
        <v>31902</v>
      </c>
      <c r="F2157" t="s">
        <v>837</v>
      </c>
      <c r="G2157">
        <v>319</v>
      </c>
      <c r="H2157" t="s">
        <v>68</v>
      </c>
      <c r="I2157">
        <v>3</v>
      </c>
      <c r="J2157" t="s">
        <v>50</v>
      </c>
    </row>
    <row r="2158" spans="1:10" x14ac:dyDescent="0.25">
      <c r="A2158" t="s">
        <v>7355</v>
      </c>
      <c r="B2158">
        <f>18582.5580744545*(1/100/100)</f>
        <v>1.85825580744545</v>
      </c>
      <c r="C2158">
        <v>19752</v>
      </c>
      <c r="D2158" t="s">
        <v>4348</v>
      </c>
      <c r="E2158">
        <v>31904</v>
      </c>
      <c r="F2158" t="s">
        <v>839</v>
      </c>
      <c r="G2158">
        <v>319</v>
      </c>
      <c r="H2158" t="s">
        <v>68</v>
      </c>
      <c r="I2158">
        <v>3</v>
      </c>
      <c r="J2158" t="s">
        <v>50</v>
      </c>
    </row>
    <row r="2159" spans="1:10" x14ac:dyDescent="0.25">
      <c r="A2159" t="s">
        <v>7355</v>
      </c>
      <c r="B2159">
        <f>204333.087888509*(1/100/100)</f>
        <v>20.433308788850901</v>
      </c>
      <c r="C2159">
        <v>19753</v>
      </c>
      <c r="D2159" t="s">
        <v>4457</v>
      </c>
      <c r="E2159">
        <v>31926</v>
      </c>
      <c r="F2159" t="s">
        <v>858</v>
      </c>
      <c r="G2159">
        <v>319</v>
      </c>
      <c r="H2159" t="s">
        <v>68</v>
      </c>
      <c r="I2159">
        <v>3</v>
      </c>
      <c r="J2159" t="s">
        <v>50</v>
      </c>
    </row>
    <row r="2160" spans="1:10" x14ac:dyDescent="0.25">
      <c r="A2160" t="s">
        <v>7355</v>
      </c>
      <c r="B2160">
        <f>53252.3920914975*(1/100/100)</f>
        <v>5.3252392091497507</v>
      </c>
      <c r="C2160">
        <v>19755</v>
      </c>
      <c r="D2160" t="s">
        <v>4430</v>
      </c>
      <c r="E2160">
        <v>31919</v>
      </c>
      <c r="F2160" t="s">
        <v>852</v>
      </c>
      <c r="G2160">
        <v>319</v>
      </c>
      <c r="H2160" t="s">
        <v>68</v>
      </c>
      <c r="I2160">
        <v>3</v>
      </c>
      <c r="J2160" t="s">
        <v>50</v>
      </c>
    </row>
    <row r="2161" spans="1:10" x14ac:dyDescent="0.25">
      <c r="A2161" t="s">
        <v>7355</v>
      </c>
      <c r="B2161">
        <f>15744.1105647363*(1/100/100)</f>
        <v>1.57441105647363</v>
      </c>
      <c r="C2161">
        <v>19756</v>
      </c>
      <c r="D2161" t="s">
        <v>4458</v>
      </c>
      <c r="E2161">
        <v>31926</v>
      </c>
      <c r="F2161" t="s">
        <v>858</v>
      </c>
      <c r="G2161">
        <v>319</v>
      </c>
      <c r="H2161" t="s">
        <v>68</v>
      </c>
      <c r="I2161">
        <v>3</v>
      </c>
      <c r="J2161" t="s">
        <v>50</v>
      </c>
    </row>
    <row r="2162" spans="1:10" x14ac:dyDescent="0.25">
      <c r="A2162" t="s">
        <v>7355</v>
      </c>
      <c r="B2162">
        <f>64969.9095493381*(1/100/100)</f>
        <v>6.4969909549338105</v>
      </c>
      <c r="C2162">
        <v>19757</v>
      </c>
      <c r="D2162" t="s">
        <v>4435</v>
      </c>
      <c r="E2162">
        <v>31921</v>
      </c>
      <c r="F2162" t="s">
        <v>854</v>
      </c>
      <c r="G2162">
        <v>319</v>
      </c>
      <c r="H2162" t="s">
        <v>68</v>
      </c>
      <c r="I2162">
        <v>3</v>
      </c>
      <c r="J2162" t="s">
        <v>50</v>
      </c>
    </row>
    <row r="2163" spans="1:10" x14ac:dyDescent="0.25">
      <c r="A2163" t="s">
        <v>7355</v>
      </c>
      <c r="B2163">
        <f>24550.7480771292*(1/100/100)</f>
        <v>2.4550748077129199</v>
      </c>
      <c r="C2163">
        <v>19758</v>
      </c>
      <c r="D2163" t="s">
        <v>4459</v>
      </c>
      <c r="E2163">
        <v>31926</v>
      </c>
      <c r="F2163" t="s">
        <v>858</v>
      </c>
      <c r="G2163">
        <v>319</v>
      </c>
      <c r="H2163" t="s">
        <v>68</v>
      </c>
      <c r="I2163">
        <v>3</v>
      </c>
      <c r="J2163" t="s">
        <v>50</v>
      </c>
    </row>
    <row r="2164" spans="1:10" x14ac:dyDescent="0.25">
      <c r="A2164" t="s">
        <v>7355</v>
      </c>
      <c r="B2164">
        <f>22060.2190212106*(1/100/100)</f>
        <v>2.2060219021210599</v>
      </c>
      <c r="C2164">
        <v>19759</v>
      </c>
      <c r="D2164" t="s">
        <v>4431</v>
      </c>
      <c r="E2164">
        <v>31919</v>
      </c>
      <c r="F2164" t="s">
        <v>852</v>
      </c>
      <c r="G2164">
        <v>319</v>
      </c>
      <c r="H2164" t="s">
        <v>68</v>
      </c>
      <c r="I2164">
        <v>3</v>
      </c>
      <c r="J2164" t="s">
        <v>50</v>
      </c>
    </row>
    <row r="2165" spans="1:10" x14ac:dyDescent="0.25">
      <c r="A2165" t="s">
        <v>7355</v>
      </c>
      <c r="B2165">
        <f>27262.6170396664*(1/100/100)</f>
        <v>2.7262617039666401</v>
      </c>
      <c r="C2165">
        <v>19760</v>
      </c>
      <c r="D2165" t="s">
        <v>4327</v>
      </c>
      <c r="E2165">
        <v>31902</v>
      </c>
      <c r="F2165" t="s">
        <v>837</v>
      </c>
      <c r="G2165">
        <v>319</v>
      </c>
      <c r="H2165" t="s">
        <v>68</v>
      </c>
      <c r="I2165">
        <v>3</v>
      </c>
      <c r="J2165" t="s">
        <v>50</v>
      </c>
    </row>
    <row r="2166" spans="1:10" x14ac:dyDescent="0.25">
      <c r="A2166" t="s">
        <v>7355</v>
      </c>
      <c r="B2166">
        <f>9037.66018615801*(1/100/100)</f>
        <v>0.90376601861580097</v>
      </c>
      <c r="C2166">
        <v>19762</v>
      </c>
      <c r="D2166" t="s">
        <v>4460</v>
      </c>
      <c r="E2166">
        <v>31926</v>
      </c>
      <c r="F2166" t="s">
        <v>858</v>
      </c>
      <c r="G2166">
        <v>319</v>
      </c>
      <c r="H2166" t="s">
        <v>68</v>
      </c>
      <c r="I2166">
        <v>3</v>
      </c>
      <c r="J2166" t="s">
        <v>50</v>
      </c>
    </row>
    <row r="2167" spans="1:10" x14ac:dyDescent="0.25">
      <c r="A2167" t="s">
        <v>7355</v>
      </c>
      <c r="B2167">
        <f>19688.867102037*(1/100/100)</f>
        <v>1.9688867102037</v>
      </c>
      <c r="C2167">
        <v>19763</v>
      </c>
      <c r="D2167" t="s">
        <v>4349</v>
      </c>
      <c r="E2167">
        <v>31904</v>
      </c>
      <c r="F2167" t="s">
        <v>839</v>
      </c>
      <c r="G2167">
        <v>319</v>
      </c>
      <c r="H2167" t="s">
        <v>68</v>
      </c>
      <c r="I2167">
        <v>3</v>
      </c>
      <c r="J2167" t="s">
        <v>50</v>
      </c>
    </row>
    <row r="2168" spans="1:10" x14ac:dyDescent="0.25">
      <c r="A2168" t="s">
        <v>7355</v>
      </c>
      <c r="B2168">
        <f>237720.502611466*(1/100/100)</f>
        <v>23.772050261146603</v>
      </c>
      <c r="C2168">
        <v>20001</v>
      </c>
      <c r="D2168" t="s">
        <v>895</v>
      </c>
      <c r="E2168">
        <v>32101</v>
      </c>
      <c r="F2168" t="s">
        <v>895</v>
      </c>
      <c r="G2168">
        <v>321</v>
      </c>
      <c r="H2168" t="s">
        <v>70</v>
      </c>
      <c r="I2168">
        <v>3</v>
      </c>
      <c r="J2168" t="s">
        <v>50</v>
      </c>
    </row>
    <row r="2169" spans="1:10" x14ac:dyDescent="0.25">
      <c r="A2169" t="s">
        <v>7355</v>
      </c>
      <c r="B2169">
        <f>39119.4868961255*(1/100/100)</f>
        <v>3.9119486896125499</v>
      </c>
      <c r="C2169">
        <v>20003</v>
      </c>
      <c r="D2169" t="s">
        <v>4658</v>
      </c>
      <c r="E2169">
        <v>32114</v>
      </c>
      <c r="F2169" t="s">
        <v>902</v>
      </c>
      <c r="G2169">
        <v>321</v>
      </c>
      <c r="H2169" t="s">
        <v>70</v>
      </c>
      <c r="I2169">
        <v>3</v>
      </c>
      <c r="J2169" t="s">
        <v>50</v>
      </c>
    </row>
    <row r="2170" spans="1:10" x14ac:dyDescent="0.25">
      <c r="A2170" t="s">
        <v>7355</v>
      </c>
      <c r="B2170">
        <f>28273.4405311417*(1/100/100)</f>
        <v>2.82734405311417</v>
      </c>
      <c r="C2170">
        <v>20004</v>
      </c>
      <c r="D2170" t="s">
        <v>4648</v>
      </c>
      <c r="E2170">
        <v>32110</v>
      </c>
      <c r="F2170" t="s">
        <v>900</v>
      </c>
      <c r="G2170">
        <v>321</v>
      </c>
      <c r="H2170" t="s">
        <v>70</v>
      </c>
      <c r="I2170">
        <v>3</v>
      </c>
      <c r="J2170" t="s">
        <v>50</v>
      </c>
    </row>
    <row r="2171" spans="1:10" x14ac:dyDescent="0.25">
      <c r="A2171" t="s">
        <v>7355</v>
      </c>
      <c r="B2171">
        <f>35544.6260035534*(1/100/100)</f>
        <v>3.5544626003553401</v>
      </c>
      <c r="C2171">
        <v>20005</v>
      </c>
      <c r="D2171" t="s">
        <v>4649</v>
      </c>
      <c r="E2171">
        <v>32110</v>
      </c>
      <c r="F2171" t="s">
        <v>900</v>
      </c>
      <c r="G2171">
        <v>321</v>
      </c>
      <c r="H2171" t="s">
        <v>70</v>
      </c>
      <c r="I2171">
        <v>3</v>
      </c>
      <c r="J2171" t="s">
        <v>50</v>
      </c>
    </row>
    <row r="2172" spans="1:10" x14ac:dyDescent="0.25">
      <c r="A2172" t="s">
        <v>7355</v>
      </c>
      <c r="B2172">
        <f>46337.0798804705*(1/100/100)</f>
        <v>4.6337079880470498</v>
      </c>
      <c r="C2172">
        <v>20006</v>
      </c>
      <c r="D2172" t="s">
        <v>4667</v>
      </c>
      <c r="E2172">
        <v>32115</v>
      </c>
      <c r="F2172" t="s">
        <v>903</v>
      </c>
      <c r="G2172">
        <v>321</v>
      </c>
      <c r="H2172" t="s">
        <v>70</v>
      </c>
      <c r="I2172">
        <v>3</v>
      </c>
      <c r="J2172" t="s">
        <v>50</v>
      </c>
    </row>
    <row r="2173" spans="1:10" x14ac:dyDescent="0.25">
      <c r="A2173" t="s">
        <v>7355</v>
      </c>
      <c r="B2173">
        <f>40094.0414112098*(1/100/100)</f>
        <v>4.0094041411209806</v>
      </c>
      <c r="C2173">
        <v>20007</v>
      </c>
      <c r="D2173" t="s">
        <v>2229</v>
      </c>
      <c r="E2173">
        <v>32114</v>
      </c>
      <c r="F2173" t="s">
        <v>902</v>
      </c>
      <c r="G2173">
        <v>321</v>
      </c>
      <c r="H2173" t="s">
        <v>70</v>
      </c>
      <c r="I2173">
        <v>3</v>
      </c>
      <c r="J2173" t="s">
        <v>50</v>
      </c>
    </row>
    <row r="2174" spans="1:10" x14ac:dyDescent="0.25">
      <c r="A2174" t="s">
        <v>7355</v>
      </c>
      <c r="B2174">
        <f>72182.2463363216*(1/100/100)</f>
        <v>7.2182246336321594</v>
      </c>
      <c r="C2174">
        <v>20008</v>
      </c>
      <c r="D2174" t="s">
        <v>4659</v>
      </c>
      <c r="E2174">
        <v>32114</v>
      </c>
      <c r="F2174" t="s">
        <v>902</v>
      </c>
      <c r="G2174">
        <v>321</v>
      </c>
      <c r="H2174" t="s">
        <v>70</v>
      </c>
      <c r="I2174">
        <v>3</v>
      </c>
      <c r="J2174" t="s">
        <v>50</v>
      </c>
    </row>
    <row r="2175" spans="1:10" x14ac:dyDescent="0.25">
      <c r="A2175" t="s">
        <v>7355</v>
      </c>
      <c r="B2175">
        <f>235867.064018893*(1/100/100)</f>
        <v>23.586706401889302</v>
      </c>
      <c r="C2175">
        <v>20009</v>
      </c>
      <c r="D2175" t="s">
        <v>897</v>
      </c>
      <c r="E2175">
        <v>32106</v>
      </c>
      <c r="F2175" t="s">
        <v>897</v>
      </c>
      <c r="G2175">
        <v>321</v>
      </c>
      <c r="H2175" t="s">
        <v>70</v>
      </c>
      <c r="I2175">
        <v>3</v>
      </c>
      <c r="J2175" t="s">
        <v>50</v>
      </c>
    </row>
    <row r="2176" spans="1:10" x14ac:dyDescent="0.25">
      <c r="A2176" t="s">
        <v>7355</v>
      </c>
      <c r="B2176">
        <f>132137.552548166*(1/100/100)</f>
        <v>13.213755254816599</v>
      </c>
      <c r="C2176">
        <v>20010</v>
      </c>
      <c r="D2176" t="s">
        <v>4643</v>
      </c>
      <c r="E2176">
        <v>32107</v>
      </c>
      <c r="F2176" t="s">
        <v>898</v>
      </c>
      <c r="G2176">
        <v>321</v>
      </c>
      <c r="H2176" t="s">
        <v>70</v>
      </c>
      <c r="I2176">
        <v>3</v>
      </c>
      <c r="J2176" t="s">
        <v>50</v>
      </c>
    </row>
    <row r="2177" spans="1:10" x14ac:dyDescent="0.25">
      <c r="A2177" t="s">
        <v>7355</v>
      </c>
      <c r="B2177">
        <f>39612.1392936014*(1/100/100)</f>
        <v>3.9612139293601403</v>
      </c>
      <c r="C2177">
        <v>20011</v>
      </c>
      <c r="D2177" t="s">
        <v>3452</v>
      </c>
      <c r="E2177">
        <v>32115</v>
      </c>
      <c r="F2177" t="s">
        <v>903</v>
      </c>
      <c r="G2177">
        <v>321</v>
      </c>
      <c r="H2177" t="s">
        <v>70</v>
      </c>
      <c r="I2177">
        <v>3</v>
      </c>
      <c r="J2177" t="s">
        <v>50</v>
      </c>
    </row>
    <row r="2178" spans="1:10" x14ac:dyDescent="0.25">
      <c r="A2178" t="s">
        <v>7355</v>
      </c>
      <c r="B2178">
        <f>18266.9838573823*(1/100/100)</f>
        <v>1.8266983857382302</v>
      </c>
      <c r="C2178">
        <v>20012</v>
      </c>
      <c r="D2178" t="s">
        <v>4660</v>
      </c>
      <c r="E2178">
        <v>32114</v>
      </c>
      <c r="F2178" t="s">
        <v>902</v>
      </c>
      <c r="G2178">
        <v>321</v>
      </c>
      <c r="H2178" t="s">
        <v>70</v>
      </c>
      <c r="I2178">
        <v>3</v>
      </c>
      <c r="J2178" t="s">
        <v>50</v>
      </c>
    </row>
    <row r="2179" spans="1:10" x14ac:dyDescent="0.25">
      <c r="A2179" t="s">
        <v>7355</v>
      </c>
      <c r="B2179">
        <f>70809.7101597243*(1/100/100)</f>
        <v>7.0809710159724304</v>
      </c>
      <c r="C2179">
        <v>20013</v>
      </c>
      <c r="D2179" t="s">
        <v>4640</v>
      </c>
      <c r="E2179">
        <v>32106</v>
      </c>
      <c r="F2179" t="s">
        <v>897</v>
      </c>
      <c r="G2179">
        <v>321</v>
      </c>
      <c r="H2179" t="s">
        <v>70</v>
      </c>
      <c r="I2179">
        <v>3</v>
      </c>
      <c r="J2179" t="s">
        <v>50</v>
      </c>
    </row>
    <row r="2180" spans="1:10" x14ac:dyDescent="0.25">
      <c r="A2180" t="s">
        <v>7355</v>
      </c>
      <c r="B2180">
        <f>172566.718577528*(1/100/100)</f>
        <v>17.256671857752799</v>
      </c>
      <c r="C2180">
        <v>20014</v>
      </c>
      <c r="D2180" t="s">
        <v>898</v>
      </c>
      <c r="E2180">
        <v>32107</v>
      </c>
      <c r="F2180" t="s">
        <v>898</v>
      </c>
      <c r="G2180">
        <v>321</v>
      </c>
      <c r="H2180" t="s">
        <v>70</v>
      </c>
      <c r="I2180">
        <v>3</v>
      </c>
      <c r="J2180" t="s">
        <v>50</v>
      </c>
    </row>
    <row r="2181" spans="1:10" x14ac:dyDescent="0.25">
      <c r="A2181" t="s">
        <v>7355</v>
      </c>
      <c r="B2181">
        <f>38962.1192978394*(1/100/100)</f>
        <v>3.8962119297839406</v>
      </c>
      <c r="C2181">
        <v>20015</v>
      </c>
      <c r="D2181" t="s">
        <v>4668</v>
      </c>
      <c r="E2181">
        <v>32115</v>
      </c>
      <c r="F2181" t="s">
        <v>903</v>
      </c>
      <c r="G2181">
        <v>321</v>
      </c>
      <c r="H2181" t="s">
        <v>70</v>
      </c>
      <c r="I2181">
        <v>3</v>
      </c>
      <c r="J2181" t="s">
        <v>50</v>
      </c>
    </row>
    <row r="2182" spans="1:10" x14ac:dyDescent="0.25">
      <c r="A2182" t="s">
        <v>7355</v>
      </c>
      <c r="B2182">
        <f>60464.5741147778*(1/100/100)</f>
        <v>6.0464574114777809</v>
      </c>
      <c r="C2182">
        <v>20016</v>
      </c>
      <c r="D2182" t="s">
        <v>4644</v>
      </c>
      <c r="E2182">
        <v>32107</v>
      </c>
      <c r="F2182" t="s">
        <v>898</v>
      </c>
      <c r="G2182">
        <v>321</v>
      </c>
      <c r="H2182" t="s">
        <v>70</v>
      </c>
      <c r="I2182">
        <v>3</v>
      </c>
      <c r="J2182" t="s">
        <v>50</v>
      </c>
    </row>
    <row r="2183" spans="1:10" x14ac:dyDescent="0.25">
      <c r="A2183" t="s">
        <v>7355</v>
      </c>
      <c r="B2183">
        <f>21311.8483069311*(1/100/100)</f>
        <v>2.13118483069311</v>
      </c>
      <c r="C2183">
        <v>20017</v>
      </c>
      <c r="D2183" t="s">
        <v>2862</v>
      </c>
      <c r="E2183">
        <v>32107</v>
      </c>
      <c r="F2183" t="s">
        <v>898</v>
      </c>
      <c r="G2183">
        <v>321</v>
      </c>
      <c r="H2183" t="s">
        <v>70</v>
      </c>
      <c r="I2183">
        <v>3</v>
      </c>
      <c r="J2183" t="s">
        <v>50</v>
      </c>
    </row>
    <row r="2184" spans="1:10" x14ac:dyDescent="0.25">
      <c r="A2184" t="s">
        <v>7355</v>
      </c>
      <c r="B2184">
        <f>98857.8967285687*(1/100/100)</f>
        <v>9.8857896728568697</v>
      </c>
      <c r="C2184">
        <v>20018</v>
      </c>
      <c r="D2184" t="s">
        <v>902</v>
      </c>
      <c r="E2184">
        <v>32114</v>
      </c>
      <c r="F2184" t="s">
        <v>902</v>
      </c>
      <c r="G2184">
        <v>321</v>
      </c>
      <c r="H2184" t="s">
        <v>70</v>
      </c>
      <c r="I2184">
        <v>3</v>
      </c>
      <c r="J2184" t="s">
        <v>50</v>
      </c>
    </row>
    <row r="2185" spans="1:10" x14ac:dyDescent="0.25">
      <c r="A2185" t="s">
        <v>7355</v>
      </c>
      <c r="B2185">
        <f>70257.4801304204*(1/100/100)</f>
        <v>7.0257480130420404</v>
      </c>
      <c r="C2185">
        <v>20019</v>
      </c>
      <c r="D2185" t="s">
        <v>4661</v>
      </c>
      <c r="E2185">
        <v>32114</v>
      </c>
      <c r="F2185" t="s">
        <v>902</v>
      </c>
      <c r="G2185">
        <v>321</v>
      </c>
      <c r="H2185" t="s">
        <v>70</v>
      </c>
      <c r="I2185">
        <v>3</v>
      </c>
      <c r="J2185" t="s">
        <v>50</v>
      </c>
    </row>
    <row r="2186" spans="1:10" x14ac:dyDescent="0.25">
      <c r="A2186" t="s">
        <v>7355</v>
      </c>
      <c r="B2186">
        <f>81217.8750656707*(1/100/100)</f>
        <v>8.1217875065670704</v>
      </c>
      <c r="C2186">
        <v>20020</v>
      </c>
      <c r="D2186" t="s">
        <v>3608</v>
      </c>
      <c r="E2186">
        <v>32115</v>
      </c>
      <c r="F2186" t="s">
        <v>903</v>
      </c>
      <c r="G2186">
        <v>321</v>
      </c>
      <c r="H2186" t="s">
        <v>70</v>
      </c>
      <c r="I2186">
        <v>3</v>
      </c>
      <c r="J2186" t="s">
        <v>50</v>
      </c>
    </row>
    <row r="2187" spans="1:10" x14ac:dyDescent="0.25">
      <c r="A2187" t="s">
        <v>7355</v>
      </c>
      <c r="B2187">
        <f>26171.8288501374*(1/100/100)</f>
        <v>2.6171828850137402</v>
      </c>
      <c r="C2187">
        <v>20021</v>
      </c>
      <c r="D2187" t="s">
        <v>4662</v>
      </c>
      <c r="E2187">
        <v>32114</v>
      </c>
      <c r="F2187" t="s">
        <v>902</v>
      </c>
      <c r="G2187">
        <v>321</v>
      </c>
      <c r="H2187" t="s">
        <v>70</v>
      </c>
      <c r="I2187">
        <v>3</v>
      </c>
      <c r="J2187" t="s">
        <v>50</v>
      </c>
    </row>
    <row r="2188" spans="1:10" x14ac:dyDescent="0.25">
      <c r="A2188" t="s">
        <v>7355</v>
      </c>
      <c r="B2188">
        <f>44665.896003681*(1/100/100)</f>
        <v>4.4665896003681</v>
      </c>
      <c r="C2188">
        <v>20022</v>
      </c>
      <c r="D2188" t="s">
        <v>4647</v>
      </c>
      <c r="E2188">
        <v>32109</v>
      </c>
      <c r="F2188" t="s">
        <v>899</v>
      </c>
      <c r="G2188">
        <v>321</v>
      </c>
      <c r="H2188" t="s">
        <v>70</v>
      </c>
      <c r="I2188">
        <v>3</v>
      </c>
      <c r="J2188" t="s">
        <v>50</v>
      </c>
    </row>
    <row r="2189" spans="1:10" x14ac:dyDescent="0.25">
      <c r="A2189" t="s">
        <v>7355</v>
      </c>
      <c r="B2189">
        <f>79430.8319377482*(1/100/100)</f>
        <v>7.9430831937748199</v>
      </c>
      <c r="C2189">
        <v>20023</v>
      </c>
      <c r="D2189" t="s">
        <v>4663</v>
      </c>
      <c r="E2189">
        <v>32114</v>
      </c>
      <c r="F2189" t="s">
        <v>902</v>
      </c>
      <c r="G2189">
        <v>321</v>
      </c>
      <c r="H2189" t="s">
        <v>70</v>
      </c>
      <c r="I2189">
        <v>3</v>
      </c>
      <c r="J2189" t="s">
        <v>50</v>
      </c>
    </row>
    <row r="2190" spans="1:10" x14ac:dyDescent="0.25">
      <c r="A2190" t="s">
        <v>7355</v>
      </c>
      <c r="B2190">
        <f>71310.6498665366*(1/100/100)</f>
        <v>7.1310649866536595</v>
      </c>
      <c r="C2190">
        <v>20024</v>
      </c>
      <c r="D2190" t="s">
        <v>777</v>
      </c>
      <c r="E2190">
        <v>32109</v>
      </c>
      <c r="F2190" t="s">
        <v>899</v>
      </c>
      <c r="G2190">
        <v>321</v>
      </c>
      <c r="H2190" t="s">
        <v>70</v>
      </c>
      <c r="I2190">
        <v>3</v>
      </c>
      <c r="J2190" t="s">
        <v>50</v>
      </c>
    </row>
    <row r="2191" spans="1:10" x14ac:dyDescent="0.25">
      <c r="A2191" t="s">
        <v>7355</v>
      </c>
      <c r="B2191">
        <f>100158.402342904*(1/100/100)</f>
        <v>10.015840234290399</v>
      </c>
      <c r="C2191">
        <v>20025</v>
      </c>
      <c r="D2191" t="s">
        <v>899</v>
      </c>
      <c r="E2191">
        <v>32109</v>
      </c>
      <c r="F2191" t="s">
        <v>899</v>
      </c>
      <c r="G2191">
        <v>321</v>
      </c>
      <c r="H2191" t="s">
        <v>70</v>
      </c>
      <c r="I2191">
        <v>3</v>
      </c>
      <c r="J2191" t="s">
        <v>50</v>
      </c>
    </row>
    <row r="2192" spans="1:10" x14ac:dyDescent="0.25">
      <c r="A2192" t="s">
        <v>7355</v>
      </c>
      <c r="B2192">
        <f>82387.4774129752*(1/100/100)</f>
        <v>8.2387477412975212</v>
      </c>
      <c r="C2192">
        <v>20026</v>
      </c>
      <c r="D2192" t="s">
        <v>4650</v>
      </c>
      <c r="E2192">
        <v>32110</v>
      </c>
      <c r="F2192" t="s">
        <v>900</v>
      </c>
      <c r="G2192">
        <v>321</v>
      </c>
      <c r="H2192" t="s">
        <v>70</v>
      </c>
      <c r="I2192">
        <v>3</v>
      </c>
      <c r="J2192" t="s">
        <v>50</v>
      </c>
    </row>
    <row r="2193" spans="1:10" x14ac:dyDescent="0.25">
      <c r="A2193" t="s">
        <v>7355</v>
      </c>
      <c r="B2193">
        <f>74981.182581229*(1/100/100)</f>
        <v>7.4981182581229007</v>
      </c>
      <c r="C2193">
        <v>20027</v>
      </c>
      <c r="D2193" t="s">
        <v>4645</v>
      </c>
      <c r="E2193">
        <v>32107</v>
      </c>
      <c r="F2193" t="s">
        <v>898</v>
      </c>
      <c r="G2193">
        <v>321</v>
      </c>
      <c r="H2193" t="s">
        <v>70</v>
      </c>
      <c r="I2193">
        <v>3</v>
      </c>
      <c r="J2193" t="s">
        <v>50</v>
      </c>
    </row>
    <row r="2194" spans="1:10" x14ac:dyDescent="0.25">
      <c r="A2194" t="s">
        <v>7355</v>
      </c>
      <c r="B2194">
        <f>21703.5725626794*(1/100/100)</f>
        <v>2.1703572562679403</v>
      </c>
      <c r="C2194">
        <v>20029</v>
      </c>
      <c r="D2194" t="s">
        <v>4641</v>
      </c>
      <c r="E2194">
        <v>32106</v>
      </c>
      <c r="F2194" t="s">
        <v>897</v>
      </c>
      <c r="G2194">
        <v>321</v>
      </c>
      <c r="H2194" t="s">
        <v>70</v>
      </c>
      <c r="I2194">
        <v>3</v>
      </c>
      <c r="J2194" t="s">
        <v>50</v>
      </c>
    </row>
    <row r="2195" spans="1:10" x14ac:dyDescent="0.25">
      <c r="A2195" t="s">
        <v>7355</v>
      </c>
      <c r="B2195">
        <f>36971.2066337742*(1/100/100)</f>
        <v>3.6971206633774201</v>
      </c>
      <c r="C2195">
        <v>20030</v>
      </c>
      <c r="D2195" t="s">
        <v>4664</v>
      </c>
      <c r="E2195">
        <v>32114</v>
      </c>
      <c r="F2195" t="s">
        <v>902</v>
      </c>
      <c r="G2195">
        <v>321</v>
      </c>
      <c r="H2195" t="s">
        <v>70</v>
      </c>
      <c r="I2195">
        <v>3</v>
      </c>
      <c r="J2195" t="s">
        <v>50</v>
      </c>
    </row>
    <row r="2196" spans="1:10" x14ac:dyDescent="0.25">
      <c r="A2196" t="s">
        <v>7355</v>
      </c>
      <c r="B2196">
        <f>48534.112292195*(1/100/100)</f>
        <v>4.8534112292195006</v>
      </c>
      <c r="C2196">
        <v>20031</v>
      </c>
      <c r="D2196" t="s">
        <v>4665</v>
      </c>
      <c r="E2196">
        <v>32114</v>
      </c>
      <c r="F2196" t="s">
        <v>902</v>
      </c>
      <c r="G2196">
        <v>321</v>
      </c>
      <c r="H2196" t="s">
        <v>70</v>
      </c>
      <c r="I2196">
        <v>3</v>
      </c>
      <c r="J2196" t="s">
        <v>50</v>
      </c>
    </row>
    <row r="2197" spans="1:10" x14ac:dyDescent="0.25">
      <c r="A2197" t="s">
        <v>7355</v>
      </c>
      <c r="B2197">
        <f>49918.0224190027*(1/100/100)</f>
        <v>4.9918022419002703</v>
      </c>
      <c r="C2197">
        <v>20032</v>
      </c>
      <c r="D2197" t="s">
        <v>4666</v>
      </c>
      <c r="E2197">
        <v>32114</v>
      </c>
      <c r="F2197" t="s">
        <v>902</v>
      </c>
      <c r="G2197">
        <v>321</v>
      </c>
      <c r="H2197" t="s">
        <v>70</v>
      </c>
      <c r="I2197">
        <v>3</v>
      </c>
      <c r="J2197" t="s">
        <v>50</v>
      </c>
    </row>
    <row r="2198" spans="1:10" x14ac:dyDescent="0.25">
      <c r="A2198" t="s">
        <v>7355</v>
      </c>
      <c r="B2198">
        <f>31199.536345825*(1/100/100)</f>
        <v>3.1199536345825001</v>
      </c>
      <c r="C2198">
        <v>20033</v>
      </c>
      <c r="D2198" t="s">
        <v>4642</v>
      </c>
      <c r="E2198">
        <v>32106</v>
      </c>
      <c r="F2198" t="s">
        <v>897</v>
      </c>
      <c r="G2198">
        <v>321</v>
      </c>
      <c r="H2198" t="s">
        <v>70</v>
      </c>
      <c r="I2198">
        <v>3</v>
      </c>
      <c r="J2198" t="s">
        <v>50</v>
      </c>
    </row>
    <row r="2199" spans="1:10" x14ac:dyDescent="0.25">
      <c r="A2199" t="s">
        <v>7355</v>
      </c>
      <c r="B2199">
        <f>36711.9865282399*(1/100/100)</f>
        <v>3.6711986528239899</v>
      </c>
      <c r="C2199">
        <v>20034</v>
      </c>
      <c r="D2199" t="s">
        <v>4651</v>
      </c>
      <c r="E2199">
        <v>32110</v>
      </c>
      <c r="F2199" t="s">
        <v>900</v>
      </c>
      <c r="G2199">
        <v>321</v>
      </c>
      <c r="H2199" t="s">
        <v>70</v>
      </c>
      <c r="I2199">
        <v>3</v>
      </c>
      <c r="J2199" t="s">
        <v>50</v>
      </c>
    </row>
    <row r="2200" spans="1:10" x14ac:dyDescent="0.25">
      <c r="A2200" t="s">
        <v>7355</v>
      </c>
      <c r="B2200">
        <f>26974.0940179138*(1/100/100)</f>
        <v>2.6974094017913801</v>
      </c>
      <c r="C2200">
        <v>20035</v>
      </c>
      <c r="D2200" t="s">
        <v>4669</v>
      </c>
      <c r="E2200">
        <v>32115</v>
      </c>
      <c r="F2200" t="s">
        <v>903</v>
      </c>
      <c r="G2200">
        <v>321</v>
      </c>
      <c r="H2200" t="s">
        <v>70</v>
      </c>
      <c r="I2200">
        <v>3</v>
      </c>
      <c r="J2200" t="s">
        <v>50</v>
      </c>
    </row>
    <row r="2201" spans="1:10" x14ac:dyDescent="0.25">
      <c r="A2201" t="s">
        <v>7355</v>
      </c>
      <c r="B2201">
        <f>52033.5005195207*(1/100/100)</f>
        <v>5.2033500519520697</v>
      </c>
      <c r="C2201">
        <v>20036</v>
      </c>
      <c r="D2201" t="s">
        <v>4646</v>
      </c>
      <c r="E2201">
        <v>32107</v>
      </c>
      <c r="F2201" t="s">
        <v>898</v>
      </c>
      <c r="G2201">
        <v>321</v>
      </c>
      <c r="H2201" t="s">
        <v>70</v>
      </c>
      <c r="I2201">
        <v>3</v>
      </c>
      <c r="J2201" t="s">
        <v>50</v>
      </c>
    </row>
    <row r="2202" spans="1:10" x14ac:dyDescent="0.25">
      <c r="A2202" t="s">
        <v>7355</v>
      </c>
      <c r="B2202">
        <f>253484.646415*(1/100/100)</f>
        <v>25.348464641500001</v>
      </c>
      <c r="C2202">
        <v>20037</v>
      </c>
      <c r="D2202" t="s">
        <v>900</v>
      </c>
      <c r="E2202">
        <v>32110</v>
      </c>
      <c r="F2202" t="s">
        <v>900</v>
      </c>
      <c r="G2202">
        <v>321</v>
      </c>
      <c r="H2202" t="s">
        <v>70</v>
      </c>
      <c r="I2202">
        <v>3</v>
      </c>
      <c r="J2202" t="s">
        <v>50</v>
      </c>
    </row>
    <row r="2203" spans="1:10" x14ac:dyDescent="0.25">
      <c r="A2203" t="s">
        <v>7355</v>
      </c>
      <c r="B2203">
        <f>48470.2913763181*(1/100/100)</f>
        <v>4.84702913763181</v>
      </c>
      <c r="C2203">
        <v>20038</v>
      </c>
      <c r="D2203" t="s">
        <v>4652</v>
      </c>
      <c r="E2203">
        <v>32110</v>
      </c>
      <c r="F2203" t="s">
        <v>900</v>
      </c>
      <c r="G2203">
        <v>321</v>
      </c>
      <c r="H2203" t="s">
        <v>70</v>
      </c>
      <c r="I2203">
        <v>3</v>
      </c>
      <c r="J2203" t="s">
        <v>50</v>
      </c>
    </row>
    <row r="2204" spans="1:10" x14ac:dyDescent="0.25">
      <c r="A2204" t="s">
        <v>7355</v>
      </c>
      <c r="B2204">
        <f>42847.1343045708*(1/100/100)</f>
        <v>4.2847134304570798</v>
      </c>
      <c r="C2204">
        <v>20039</v>
      </c>
      <c r="D2204" t="s">
        <v>4653</v>
      </c>
      <c r="E2204">
        <v>32110</v>
      </c>
      <c r="F2204" t="s">
        <v>900</v>
      </c>
      <c r="G2204">
        <v>321</v>
      </c>
      <c r="H2204" t="s">
        <v>70</v>
      </c>
      <c r="I2204">
        <v>3</v>
      </c>
      <c r="J2204" t="s">
        <v>50</v>
      </c>
    </row>
    <row r="2205" spans="1:10" x14ac:dyDescent="0.25">
      <c r="A2205" t="s">
        <v>7355</v>
      </c>
      <c r="B2205">
        <f>37907.3950935743*(1/100/100)</f>
        <v>3.7907395093574299</v>
      </c>
      <c r="C2205">
        <v>20040</v>
      </c>
      <c r="D2205" t="s">
        <v>3568</v>
      </c>
      <c r="E2205">
        <v>32114</v>
      </c>
      <c r="F2205" t="s">
        <v>902</v>
      </c>
      <c r="G2205">
        <v>321</v>
      </c>
      <c r="H2205" t="s">
        <v>70</v>
      </c>
      <c r="I2205">
        <v>3</v>
      </c>
      <c r="J2205" t="s">
        <v>50</v>
      </c>
    </row>
    <row r="2206" spans="1:10" x14ac:dyDescent="0.25">
      <c r="A2206" t="s">
        <v>7355</v>
      </c>
      <c r="B2206">
        <f>16175.4044066276*(1/100/100)</f>
        <v>1.61754044066276</v>
      </c>
      <c r="C2206">
        <v>20041</v>
      </c>
      <c r="D2206" t="s">
        <v>4670</v>
      </c>
      <c r="E2206">
        <v>32115</v>
      </c>
      <c r="F2206" t="s">
        <v>903</v>
      </c>
      <c r="G2206">
        <v>321</v>
      </c>
      <c r="H2206" t="s">
        <v>70</v>
      </c>
      <c r="I2206">
        <v>3</v>
      </c>
      <c r="J2206" t="s">
        <v>50</v>
      </c>
    </row>
    <row r="2207" spans="1:10" x14ac:dyDescent="0.25">
      <c r="A2207" t="s">
        <v>7355</v>
      </c>
      <c r="B2207">
        <f>27585.1945174345*(1/100/100)</f>
        <v>2.7585194517434499</v>
      </c>
      <c r="C2207">
        <v>20101</v>
      </c>
      <c r="D2207" t="s">
        <v>4677</v>
      </c>
      <c r="E2207">
        <v>32131</v>
      </c>
      <c r="F2207" t="s">
        <v>907</v>
      </c>
      <c r="G2207">
        <v>321</v>
      </c>
      <c r="H2207" t="s">
        <v>70</v>
      </c>
      <c r="I2207">
        <v>3</v>
      </c>
      <c r="J2207" t="s">
        <v>50</v>
      </c>
    </row>
    <row r="2208" spans="1:10" x14ac:dyDescent="0.25">
      <c r="A2208" t="s">
        <v>7355</v>
      </c>
      <c r="B2208">
        <f>21194.8073638285*(1/100/100)</f>
        <v>2.1194807363828501</v>
      </c>
      <c r="C2208">
        <v>20102</v>
      </c>
      <c r="D2208" t="s">
        <v>4693</v>
      </c>
      <c r="E2208">
        <v>32132</v>
      </c>
      <c r="F2208" t="s">
        <v>908</v>
      </c>
      <c r="G2208">
        <v>321</v>
      </c>
      <c r="H2208" t="s">
        <v>70</v>
      </c>
      <c r="I2208">
        <v>3</v>
      </c>
      <c r="J2208" t="s">
        <v>50</v>
      </c>
    </row>
    <row r="2209" spans="1:10" x14ac:dyDescent="0.25">
      <c r="A2209" t="s">
        <v>7355</v>
      </c>
      <c r="B2209">
        <f>102103.760795062*(1/100/100)</f>
        <v>10.210376079506201</v>
      </c>
      <c r="C2209">
        <v>20103</v>
      </c>
      <c r="D2209" t="s">
        <v>4723</v>
      </c>
      <c r="E2209">
        <v>32142</v>
      </c>
      <c r="F2209" t="s">
        <v>4724</v>
      </c>
      <c r="G2209">
        <v>321</v>
      </c>
      <c r="H2209" t="s">
        <v>70</v>
      </c>
      <c r="I2209">
        <v>3</v>
      </c>
      <c r="J2209" t="s">
        <v>50</v>
      </c>
    </row>
    <row r="2210" spans="1:10" x14ac:dyDescent="0.25">
      <c r="A2210" t="s">
        <v>7355</v>
      </c>
      <c r="B2210">
        <f>133385.035369086*(1/100/100)</f>
        <v>13.3385035369086</v>
      </c>
      <c r="C2210">
        <v>20104</v>
      </c>
      <c r="D2210" t="s">
        <v>2193</v>
      </c>
      <c r="E2210">
        <v>32142</v>
      </c>
      <c r="F2210" t="s">
        <v>4724</v>
      </c>
      <c r="G2210">
        <v>321</v>
      </c>
      <c r="H2210" t="s">
        <v>70</v>
      </c>
      <c r="I2210">
        <v>3</v>
      </c>
      <c r="J2210" t="s">
        <v>50</v>
      </c>
    </row>
    <row r="2211" spans="1:10" x14ac:dyDescent="0.25">
      <c r="A2211" t="s">
        <v>7355</v>
      </c>
      <c r="B2211">
        <f>15172.6109594571*(1/100/100)</f>
        <v>1.5172610959457102</v>
      </c>
      <c r="C2211">
        <v>20105</v>
      </c>
      <c r="D2211" t="s">
        <v>4708</v>
      </c>
      <c r="E2211">
        <v>32139</v>
      </c>
      <c r="F2211" t="s">
        <v>911</v>
      </c>
      <c r="G2211">
        <v>321</v>
      </c>
      <c r="H2211" t="s">
        <v>70</v>
      </c>
      <c r="I2211">
        <v>3</v>
      </c>
      <c r="J2211" t="s">
        <v>50</v>
      </c>
    </row>
    <row r="2212" spans="1:10" x14ac:dyDescent="0.25">
      <c r="A2212" t="s">
        <v>7355</v>
      </c>
      <c r="B2212">
        <f>99010.5260923624*(1/100/100)</f>
        <v>9.9010526092362401</v>
      </c>
      <c r="C2212">
        <v>20106</v>
      </c>
      <c r="D2212" t="s">
        <v>4671</v>
      </c>
      <c r="E2212">
        <v>32119</v>
      </c>
      <c r="F2212" t="s">
        <v>905</v>
      </c>
      <c r="G2212">
        <v>321</v>
      </c>
      <c r="H2212" t="s">
        <v>70</v>
      </c>
      <c r="I2212">
        <v>3</v>
      </c>
      <c r="J2212" t="s">
        <v>50</v>
      </c>
    </row>
    <row r="2213" spans="1:10" x14ac:dyDescent="0.25">
      <c r="A2213" t="s">
        <v>7355</v>
      </c>
      <c r="B2213">
        <f>45045.6402262903*(1/100/100)</f>
        <v>4.5045640226290304</v>
      </c>
      <c r="C2213">
        <v>20107</v>
      </c>
      <c r="D2213" t="s">
        <v>3478</v>
      </c>
      <c r="E2213">
        <v>32120</v>
      </c>
      <c r="F2213" t="s">
        <v>906</v>
      </c>
      <c r="G2213">
        <v>321</v>
      </c>
      <c r="H2213" t="s">
        <v>70</v>
      </c>
      <c r="I2213">
        <v>3</v>
      </c>
      <c r="J2213" t="s">
        <v>50</v>
      </c>
    </row>
    <row r="2214" spans="1:10" x14ac:dyDescent="0.25">
      <c r="A2214" t="s">
        <v>7355</v>
      </c>
      <c r="B2214">
        <f>82697.9879130781*(1/100/100)</f>
        <v>8.2697987913078101</v>
      </c>
      <c r="C2214">
        <v>20108</v>
      </c>
      <c r="D2214" t="s">
        <v>896</v>
      </c>
      <c r="E2214">
        <v>32104</v>
      </c>
      <c r="F2214" t="s">
        <v>896</v>
      </c>
      <c r="G2214">
        <v>321</v>
      </c>
      <c r="H2214" t="s">
        <v>70</v>
      </c>
      <c r="I2214">
        <v>3</v>
      </c>
      <c r="J2214" t="s">
        <v>50</v>
      </c>
    </row>
    <row r="2215" spans="1:10" x14ac:dyDescent="0.25">
      <c r="A2215" t="s">
        <v>7355</v>
      </c>
      <c r="B2215">
        <f>27683.8550975694*(1/100/100)</f>
        <v>2.7683855097569401</v>
      </c>
      <c r="C2215">
        <v>20109</v>
      </c>
      <c r="D2215" t="s">
        <v>2418</v>
      </c>
      <c r="E2215">
        <v>32141</v>
      </c>
      <c r="F2215" t="s">
        <v>913</v>
      </c>
      <c r="G2215">
        <v>321</v>
      </c>
      <c r="H2215" t="s">
        <v>70</v>
      </c>
      <c r="I2215">
        <v>3</v>
      </c>
      <c r="J2215" t="s">
        <v>50</v>
      </c>
    </row>
    <row r="2216" spans="1:10" x14ac:dyDescent="0.25">
      <c r="A2216" t="s">
        <v>7355</v>
      </c>
      <c r="B2216">
        <f>93855.0686183538*(1/100/100)</f>
        <v>9.3855068618353812</v>
      </c>
      <c r="C2216">
        <v>20110</v>
      </c>
      <c r="D2216" t="s">
        <v>4654</v>
      </c>
      <c r="E2216">
        <v>32112</v>
      </c>
      <c r="F2216" t="s">
        <v>901</v>
      </c>
      <c r="G2216">
        <v>321</v>
      </c>
      <c r="H2216" t="s">
        <v>70</v>
      </c>
      <c r="I2216">
        <v>3</v>
      </c>
      <c r="J2216" t="s">
        <v>50</v>
      </c>
    </row>
    <row r="2217" spans="1:10" x14ac:dyDescent="0.25">
      <c r="A2217" t="s">
        <v>7355</v>
      </c>
      <c r="B2217">
        <f>19462.6819763178*(1/100/100)</f>
        <v>1.9462681976317799</v>
      </c>
      <c r="C2217">
        <v>20111</v>
      </c>
      <c r="D2217" t="s">
        <v>4694</v>
      </c>
      <c r="E2217">
        <v>32132</v>
      </c>
      <c r="F2217" t="s">
        <v>908</v>
      </c>
      <c r="G2217">
        <v>321</v>
      </c>
      <c r="H2217" t="s">
        <v>70</v>
      </c>
      <c r="I2217">
        <v>3</v>
      </c>
      <c r="J2217" t="s">
        <v>50</v>
      </c>
    </row>
    <row r="2218" spans="1:10" x14ac:dyDescent="0.25">
      <c r="A2218" t="s">
        <v>7355</v>
      </c>
      <c r="B2218">
        <f>32570.4935716397*(1/100/100)</f>
        <v>3.2570493571639703</v>
      </c>
      <c r="C2218">
        <v>20112</v>
      </c>
      <c r="D2218" t="s">
        <v>4698</v>
      </c>
      <c r="E2218">
        <v>32134</v>
      </c>
      <c r="F2218" t="s">
        <v>909</v>
      </c>
      <c r="G2218">
        <v>321</v>
      </c>
      <c r="H2218" t="s">
        <v>70</v>
      </c>
      <c r="I2218">
        <v>3</v>
      </c>
      <c r="J2218" t="s">
        <v>50</v>
      </c>
    </row>
    <row r="2219" spans="1:10" x14ac:dyDescent="0.25">
      <c r="A2219" t="s">
        <v>7355</v>
      </c>
      <c r="B2219">
        <f>38103.8448748515*(1/100/100)</f>
        <v>3.81038448748515</v>
      </c>
      <c r="C2219">
        <v>20113</v>
      </c>
      <c r="D2219" t="s">
        <v>3962</v>
      </c>
      <c r="E2219">
        <v>32139</v>
      </c>
      <c r="F2219" t="s">
        <v>911</v>
      </c>
      <c r="G2219">
        <v>321</v>
      </c>
      <c r="H2219" t="s">
        <v>70</v>
      </c>
      <c r="I2219">
        <v>3</v>
      </c>
      <c r="J2219" t="s">
        <v>50</v>
      </c>
    </row>
    <row r="2220" spans="1:10" x14ac:dyDescent="0.25">
      <c r="A2220" t="s">
        <v>7355</v>
      </c>
      <c r="B2220">
        <f>35377.5632260117*(1/100/100)</f>
        <v>3.5377563226011701</v>
      </c>
      <c r="C2220">
        <v>20114</v>
      </c>
      <c r="D2220" t="s">
        <v>3389</v>
      </c>
      <c r="E2220">
        <v>32131</v>
      </c>
      <c r="F2220" t="s">
        <v>907</v>
      </c>
      <c r="G2220">
        <v>321</v>
      </c>
      <c r="H2220" t="s">
        <v>70</v>
      </c>
      <c r="I2220">
        <v>3</v>
      </c>
      <c r="J2220" t="s">
        <v>50</v>
      </c>
    </row>
    <row r="2221" spans="1:10" x14ac:dyDescent="0.25">
      <c r="A2221" t="s">
        <v>7355</v>
      </c>
      <c r="B2221">
        <f>53734.9577079715*(1/100/100)</f>
        <v>5.3734957707971507</v>
      </c>
      <c r="C2221">
        <v>20115</v>
      </c>
      <c r="D2221" t="s">
        <v>4718</v>
      </c>
      <c r="E2221">
        <v>32141</v>
      </c>
      <c r="F2221" t="s">
        <v>913</v>
      </c>
      <c r="G2221">
        <v>321</v>
      </c>
      <c r="H2221" t="s">
        <v>70</v>
      </c>
      <c r="I2221">
        <v>3</v>
      </c>
      <c r="J2221" t="s">
        <v>50</v>
      </c>
    </row>
    <row r="2222" spans="1:10" x14ac:dyDescent="0.25">
      <c r="A2222" t="s">
        <v>7355</v>
      </c>
      <c r="B2222">
        <f>15274.6915013372*(1/100/100)</f>
        <v>1.5274691501337201</v>
      </c>
      <c r="C2222">
        <v>20116</v>
      </c>
      <c r="D2222" t="s">
        <v>1711</v>
      </c>
      <c r="E2222">
        <v>32104</v>
      </c>
      <c r="F2222" t="s">
        <v>896</v>
      </c>
      <c r="G2222">
        <v>321</v>
      </c>
      <c r="H2222" t="s">
        <v>70</v>
      </c>
      <c r="I2222">
        <v>3</v>
      </c>
      <c r="J2222" t="s">
        <v>50</v>
      </c>
    </row>
    <row r="2223" spans="1:10" x14ac:dyDescent="0.25">
      <c r="A2223" t="s">
        <v>7355</v>
      </c>
      <c r="B2223">
        <f>31819.3544074943*(1/100/100)</f>
        <v>3.18193544074943</v>
      </c>
      <c r="C2223">
        <v>20117</v>
      </c>
      <c r="D2223" t="s">
        <v>933</v>
      </c>
      <c r="E2223">
        <v>32132</v>
      </c>
      <c r="F2223" t="s">
        <v>908</v>
      </c>
      <c r="G2223">
        <v>321</v>
      </c>
      <c r="H2223" t="s">
        <v>70</v>
      </c>
      <c r="I2223">
        <v>3</v>
      </c>
      <c r="J2223" t="s">
        <v>50</v>
      </c>
    </row>
    <row r="2224" spans="1:10" x14ac:dyDescent="0.25">
      <c r="A2224" t="s">
        <v>7355</v>
      </c>
      <c r="B2224">
        <f>16116.8326952628*(1/100/100)</f>
        <v>1.6116832695262799</v>
      </c>
      <c r="C2224">
        <v>20118</v>
      </c>
      <c r="D2224" t="s">
        <v>2911</v>
      </c>
      <c r="E2224">
        <v>32139</v>
      </c>
      <c r="F2224" t="s">
        <v>911</v>
      </c>
      <c r="G2224">
        <v>321</v>
      </c>
      <c r="H2224" t="s">
        <v>70</v>
      </c>
      <c r="I2224">
        <v>3</v>
      </c>
      <c r="J2224" t="s">
        <v>50</v>
      </c>
    </row>
    <row r="2225" spans="1:10" x14ac:dyDescent="0.25">
      <c r="A2225" t="s">
        <v>7355</v>
      </c>
      <c r="B2225">
        <f>15202.0990688694*(1/100/100)</f>
        <v>1.5202099068869401</v>
      </c>
      <c r="C2225">
        <v>20119</v>
      </c>
      <c r="D2225" t="s">
        <v>4678</v>
      </c>
      <c r="E2225">
        <v>32131</v>
      </c>
      <c r="F2225" t="s">
        <v>907</v>
      </c>
      <c r="G2225">
        <v>321</v>
      </c>
      <c r="H2225" t="s">
        <v>70</v>
      </c>
      <c r="I2225">
        <v>3</v>
      </c>
      <c r="J2225" t="s">
        <v>50</v>
      </c>
    </row>
    <row r="2226" spans="1:10" x14ac:dyDescent="0.25">
      <c r="A2226" t="s">
        <v>7355</v>
      </c>
      <c r="B2226">
        <f>61962.8469428496*(1/100/100)</f>
        <v>6.1962846942849605</v>
      </c>
      <c r="C2226">
        <v>20120</v>
      </c>
      <c r="D2226" t="s">
        <v>4679</v>
      </c>
      <c r="E2226">
        <v>32131</v>
      </c>
      <c r="F2226" t="s">
        <v>907</v>
      </c>
      <c r="G2226">
        <v>321</v>
      </c>
      <c r="H2226" t="s">
        <v>70</v>
      </c>
      <c r="I2226">
        <v>3</v>
      </c>
      <c r="J2226" t="s">
        <v>50</v>
      </c>
    </row>
    <row r="2227" spans="1:10" x14ac:dyDescent="0.25">
      <c r="A2227" t="s">
        <v>7355</v>
      </c>
      <c r="B2227">
        <f>143856.004432259*(1/100/100)</f>
        <v>14.385600443225902</v>
      </c>
      <c r="C2227">
        <v>20121</v>
      </c>
      <c r="D2227" t="s">
        <v>4719</v>
      </c>
      <c r="E2227">
        <v>32141</v>
      </c>
      <c r="F2227" t="s">
        <v>913</v>
      </c>
      <c r="G2227">
        <v>321</v>
      </c>
      <c r="H2227" t="s">
        <v>70</v>
      </c>
      <c r="I2227">
        <v>3</v>
      </c>
      <c r="J2227" t="s">
        <v>50</v>
      </c>
    </row>
    <row r="2228" spans="1:10" x14ac:dyDescent="0.25">
      <c r="A2228" t="s">
        <v>7355</v>
      </c>
      <c r="B2228">
        <f>14781.6885260067*(1/100/100)</f>
        <v>1.47816885260067</v>
      </c>
      <c r="C2228">
        <v>20122</v>
      </c>
      <c r="D2228" t="s">
        <v>4680</v>
      </c>
      <c r="E2228">
        <v>32131</v>
      </c>
      <c r="F2228" t="s">
        <v>907</v>
      </c>
      <c r="G2228">
        <v>321</v>
      </c>
      <c r="H2228" t="s">
        <v>70</v>
      </c>
      <c r="I2228">
        <v>3</v>
      </c>
      <c r="J2228" t="s">
        <v>50</v>
      </c>
    </row>
    <row r="2229" spans="1:10" x14ac:dyDescent="0.25">
      <c r="A2229" t="s">
        <v>7355</v>
      </c>
      <c r="B2229">
        <f>20743.0966705766*(1/100/100)</f>
        <v>2.0743096670576602</v>
      </c>
      <c r="C2229">
        <v>20123</v>
      </c>
      <c r="D2229" t="s">
        <v>3580</v>
      </c>
      <c r="E2229">
        <v>32135</v>
      </c>
      <c r="F2229" t="s">
        <v>910</v>
      </c>
      <c r="G2229">
        <v>321</v>
      </c>
      <c r="H2229" t="s">
        <v>70</v>
      </c>
      <c r="I2229">
        <v>3</v>
      </c>
      <c r="J2229" t="s">
        <v>50</v>
      </c>
    </row>
    <row r="2230" spans="1:10" x14ac:dyDescent="0.25">
      <c r="A2230" t="s">
        <v>7355</v>
      </c>
      <c r="B2230">
        <f>59771.1518002501*(1/100/100)</f>
        <v>5.9771151800250104</v>
      </c>
      <c r="C2230">
        <v>20124</v>
      </c>
      <c r="D2230" t="s">
        <v>4655</v>
      </c>
      <c r="E2230">
        <v>32112</v>
      </c>
      <c r="F2230" t="s">
        <v>901</v>
      </c>
      <c r="G2230">
        <v>321</v>
      </c>
      <c r="H2230" t="s">
        <v>70</v>
      </c>
      <c r="I2230">
        <v>3</v>
      </c>
      <c r="J2230" t="s">
        <v>50</v>
      </c>
    </row>
    <row r="2231" spans="1:10" x14ac:dyDescent="0.25">
      <c r="A2231" t="s">
        <v>7355</v>
      </c>
      <c r="B2231">
        <f>15760.1581192173*(1/100/100)</f>
        <v>1.57601581192173</v>
      </c>
      <c r="C2231">
        <v>20125</v>
      </c>
      <c r="D2231" t="s">
        <v>842</v>
      </c>
      <c r="E2231">
        <v>32131</v>
      </c>
      <c r="F2231" t="s">
        <v>907</v>
      </c>
      <c r="G2231">
        <v>321</v>
      </c>
      <c r="H2231" t="s">
        <v>70</v>
      </c>
      <c r="I2231">
        <v>3</v>
      </c>
      <c r="J2231" t="s">
        <v>50</v>
      </c>
    </row>
    <row r="2232" spans="1:10" x14ac:dyDescent="0.25">
      <c r="A2232" t="s">
        <v>7355</v>
      </c>
      <c r="B2232">
        <f>22656.8716603536*(1/100/100)</f>
        <v>2.2656871660353604</v>
      </c>
      <c r="C2232">
        <v>20126</v>
      </c>
      <c r="D2232" t="s">
        <v>4681</v>
      </c>
      <c r="E2232">
        <v>32131</v>
      </c>
      <c r="F2232" t="s">
        <v>907</v>
      </c>
      <c r="G2232">
        <v>321</v>
      </c>
      <c r="H2232" t="s">
        <v>70</v>
      </c>
      <c r="I2232">
        <v>3</v>
      </c>
      <c r="J2232" t="s">
        <v>50</v>
      </c>
    </row>
    <row r="2233" spans="1:10" x14ac:dyDescent="0.25">
      <c r="A2233" t="s">
        <v>7355</v>
      </c>
      <c r="B2233">
        <f>18178.9917191112*(1/100/100)</f>
        <v>1.8178991719111202</v>
      </c>
      <c r="C2233">
        <v>20127</v>
      </c>
      <c r="D2233" t="s">
        <v>4725</v>
      </c>
      <c r="E2233">
        <v>32142</v>
      </c>
      <c r="F2233" t="s">
        <v>4724</v>
      </c>
      <c r="G2233">
        <v>321</v>
      </c>
      <c r="H2233" t="s">
        <v>70</v>
      </c>
      <c r="I2233">
        <v>3</v>
      </c>
      <c r="J2233" t="s">
        <v>50</v>
      </c>
    </row>
    <row r="2234" spans="1:10" x14ac:dyDescent="0.25">
      <c r="A2234" t="s">
        <v>7355</v>
      </c>
      <c r="B2234">
        <f>12721.4356837775*(1/100/100)</f>
        <v>1.27214356837775</v>
      </c>
      <c r="C2234">
        <v>20128</v>
      </c>
      <c r="D2234" t="s">
        <v>4709</v>
      </c>
      <c r="E2234">
        <v>32139</v>
      </c>
      <c r="F2234" t="s">
        <v>911</v>
      </c>
      <c r="G2234">
        <v>321</v>
      </c>
      <c r="H2234" t="s">
        <v>70</v>
      </c>
      <c r="I2234">
        <v>3</v>
      </c>
      <c r="J2234" t="s">
        <v>50</v>
      </c>
    </row>
    <row r="2235" spans="1:10" x14ac:dyDescent="0.25">
      <c r="A2235" t="s">
        <v>7355</v>
      </c>
      <c r="B2235">
        <f>29352.2491832813*(1/100/100)</f>
        <v>2.9352249183281303</v>
      </c>
      <c r="C2235">
        <v>20129</v>
      </c>
      <c r="D2235" t="s">
        <v>4726</v>
      </c>
      <c r="E2235">
        <v>32142</v>
      </c>
      <c r="F2235" t="s">
        <v>4724</v>
      </c>
      <c r="G2235">
        <v>321</v>
      </c>
      <c r="H2235" t="s">
        <v>70</v>
      </c>
      <c r="I2235">
        <v>3</v>
      </c>
      <c r="J2235" t="s">
        <v>50</v>
      </c>
    </row>
    <row r="2236" spans="1:10" x14ac:dyDescent="0.25">
      <c r="A2236" t="s">
        <v>7355</v>
      </c>
      <c r="B2236">
        <f>39251.4246739957*(1/100/100)</f>
        <v>3.9251424673995703</v>
      </c>
      <c r="C2236">
        <v>20130</v>
      </c>
      <c r="D2236" t="s">
        <v>4695</v>
      </c>
      <c r="E2236">
        <v>32132</v>
      </c>
      <c r="F2236" t="s">
        <v>908</v>
      </c>
      <c r="G2236">
        <v>321</v>
      </c>
      <c r="H2236" t="s">
        <v>70</v>
      </c>
      <c r="I2236">
        <v>3</v>
      </c>
      <c r="J2236" t="s">
        <v>50</v>
      </c>
    </row>
    <row r="2237" spans="1:10" x14ac:dyDescent="0.25">
      <c r="A2237" t="s">
        <v>7355</v>
      </c>
      <c r="B2237">
        <f>20979.1747344465*(1/100/100)</f>
        <v>2.09791747344465</v>
      </c>
      <c r="C2237">
        <v>20131</v>
      </c>
      <c r="D2237" t="s">
        <v>4682</v>
      </c>
      <c r="E2237">
        <v>32131</v>
      </c>
      <c r="F2237" t="s">
        <v>907</v>
      </c>
      <c r="G2237">
        <v>321</v>
      </c>
      <c r="H2237" t="s">
        <v>70</v>
      </c>
      <c r="I2237">
        <v>3</v>
      </c>
      <c r="J2237" t="s">
        <v>50</v>
      </c>
    </row>
    <row r="2238" spans="1:10" x14ac:dyDescent="0.25">
      <c r="A2238" t="s">
        <v>7355</v>
      </c>
      <c r="B2238">
        <f>68450.284324353*(1/100/100)</f>
        <v>6.8450284324352992</v>
      </c>
      <c r="C2238">
        <v>20132</v>
      </c>
      <c r="D2238" t="s">
        <v>4727</v>
      </c>
      <c r="E2238">
        <v>32142</v>
      </c>
      <c r="F2238" t="s">
        <v>4724</v>
      </c>
      <c r="G2238">
        <v>321</v>
      </c>
      <c r="H2238" t="s">
        <v>70</v>
      </c>
      <c r="I2238">
        <v>3</v>
      </c>
      <c r="J2238" t="s">
        <v>50</v>
      </c>
    </row>
    <row r="2239" spans="1:10" x14ac:dyDescent="0.25">
      <c r="A2239" t="s">
        <v>7355</v>
      </c>
      <c r="B2239">
        <f>11835.9445138956*(1/100/100)</f>
        <v>1.18359445138956</v>
      </c>
      <c r="C2239">
        <v>20133</v>
      </c>
      <c r="D2239" t="s">
        <v>2997</v>
      </c>
      <c r="E2239">
        <v>32139</v>
      </c>
      <c r="F2239" t="s">
        <v>911</v>
      </c>
      <c r="G2239">
        <v>321</v>
      </c>
      <c r="H2239" t="s">
        <v>70</v>
      </c>
      <c r="I2239">
        <v>3</v>
      </c>
      <c r="J2239" t="s">
        <v>50</v>
      </c>
    </row>
    <row r="2240" spans="1:10" x14ac:dyDescent="0.25">
      <c r="A2240" t="s">
        <v>7355</v>
      </c>
      <c r="B2240">
        <f>35360.2566332686*(1/100/100)</f>
        <v>3.5360256633268596</v>
      </c>
      <c r="C2240">
        <v>20134</v>
      </c>
      <c r="D2240" t="s">
        <v>4635</v>
      </c>
      <c r="E2240">
        <v>32104</v>
      </c>
      <c r="F2240" t="s">
        <v>896</v>
      </c>
      <c r="G2240">
        <v>321</v>
      </c>
      <c r="H2240" t="s">
        <v>70</v>
      </c>
      <c r="I2240">
        <v>3</v>
      </c>
      <c r="J2240" t="s">
        <v>50</v>
      </c>
    </row>
    <row r="2241" spans="1:10" x14ac:dyDescent="0.25">
      <c r="A2241" t="s">
        <v>7355</v>
      </c>
      <c r="B2241">
        <f>9824.10505811739*(1/100/100)</f>
        <v>0.98241050581173894</v>
      </c>
      <c r="C2241">
        <v>20135</v>
      </c>
      <c r="D2241" t="s">
        <v>4710</v>
      </c>
      <c r="E2241">
        <v>32139</v>
      </c>
      <c r="F2241" t="s">
        <v>911</v>
      </c>
      <c r="G2241">
        <v>321</v>
      </c>
      <c r="H2241" t="s">
        <v>70</v>
      </c>
      <c r="I2241">
        <v>3</v>
      </c>
      <c r="J2241" t="s">
        <v>50</v>
      </c>
    </row>
    <row r="2242" spans="1:10" x14ac:dyDescent="0.25">
      <c r="A2242" t="s">
        <v>7355</v>
      </c>
      <c r="B2242">
        <f>98622.434274644*(1/100/100)</f>
        <v>9.8622434274643993</v>
      </c>
      <c r="C2242">
        <v>20136</v>
      </c>
      <c r="D2242" t="s">
        <v>4656</v>
      </c>
      <c r="E2242">
        <v>32112</v>
      </c>
      <c r="F2242" t="s">
        <v>901</v>
      </c>
      <c r="G2242">
        <v>321</v>
      </c>
      <c r="H2242" t="s">
        <v>70</v>
      </c>
      <c r="I2242">
        <v>3</v>
      </c>
      <c r="J2242" t="s">
        <v>50</v>
      </c>
    </row>
    <row r="2243" spans="1:10" x14ac:dyDescent="0.25">
      <c r="A2243" t="s">
        <v>7355</v>
      </c>
      <c r="B2243">
        <f>32248.6687424453*(1/100/100)</f>
        <v>3.2248668742445301</v>
      </c>
      <c r="C2243">
        <v>20137</v>
      </c>
      <c r="D2243" t="s">
        <v>1736</v>
      </c>
      <c r="E2243">
        <v>32141</v>
      </c>
      <c r="F2243" t="s">
        <v>913</v>
      </c>
      <c r="G2243">
        <v>321</v>
      </c>
      <c r="H2243" t="s">
        <v>70</v>
      </c>
      <c r="I2243">
        <v>3</v>
      </c>
      <c r="J2243" t="s">
        <v>50</v>
      </c>
    </row>
    <row r="2244" spans="1:10" x14ac:dyDescent="0.25">
      <c r="A2244" t="s">
        <v>7355</v>
      </c>
      <c r="B2244">
        <f>67987.3579897567*(1/100/100)</f>
        <v>6.7987357989756703</v>
      </c>
      <c r="C2244">
        <v>20138</v>
      </c>
      <c r="D2244" t="s">
        <v>4699</v>
      </c>
      <c r="E2244">
        <v>32134</v>
      </c>
      <c r="F2244" t="s">
        <v>909</v>
      </c>
      <c r="G2244">
        <v>321</v>
      </c>
      <c r="H2244" t="s">
        <v>70</v>
      </c>
      <c r="I2244">
        <v>3</v>
      </c>
      <c r="J2244" t="s">
        <v>50</v>
      </c>
    </row>
    <row r="2245" spans="1:10" x14ac:dyDescent="0.25">
      <c r="A2245" t="s">
        <v>7355</v>
      </c>
      <c r="B2245">
        <f>36554.2882738026*(1/100/100)</f>
        <v>3.6554288273802604</v>
      </c>
      <c r="C2245">
        <v>20139</v>
      </c>
      <c r="D2245" t="s">
        <v>4700</v>
      </c>
      <c r="E2245">
        <v>32134</v>
      </c>
      <c r="F2245" t="s">
        <v>909</v>
      </c>
      <c r="G2245">
        <v>321</v>
      </c>
      <c r="H2245" t="s">
        <v>70</v>
      </c>
      <c r="I2245">
        <v>3</v>
      </c>
      <c r="J2245" t="s">
        <v>50</v>
      </c>
    </row>
    <row r="2246" spans="1:10" x14ac:dyDescent="0.25">
      <c r="A2246" t="s">
        <v>7355</v>
      </c>
      <c r="B2246">
        <f>84824.5590054003*(1/100/100)</f>
        <v>8.48245590054003</v>
      </c>
      <c r="C2246">
        <v>20140</v>
      </c>
      <c r="D2246" t="s">
        <v>345</v>
      </c>
      <c r="E2246">
        <v>32142</v>
      </c>
      <c r="F2246" t="s">
        <v>4724</v>
      </c>
      <c r="G2246">
        <v>321</v>
      </c>
      <c r="H2246" t="s">
        <v>70</v>
      </c>
      <c r="I2246">
        <v>3</v>
      </c>
      <c r="J2246" t="s">
        <v>50</v>
      </c>
    </row>
    <row r="2247" spans="1:10" x14ac:dyDescent="0.25">
      <c r="A2247" t="s">
        <v>7355</v>
      </c>
      <c r="B2247">
        <f>47649.6850159891*(1/100/100)</f>
        <v>4.7649685015989096</v>
      </c>
      <c r="C2247">
        <v>20141</v>
      </c>
      <c r="D2247" t="s">
        <v>2225</v>
      </c>
      <c r="E2247">
        <v>32131</v>
      </c>
      <c r="F2247" t="s">
        <v>907</v>
      </c>
      <c r="G2247">
        <v>321</v>
      </c>
      <c r="H2247" t="s">
        <v>70</v>
      </c>
      <c r="I2247">
        <v>3</v>
      </c>
      <c r="J2247" t="s">
        <v>50</v>
      </c>
    </row>
    <row r="2248" spans="1:10" x14ac:dyDescent="0.25">
      <c r="A2248" t="s">
        <v>7355</v>
      </c>
      <c r="B2248">
        <f>217526.602056842*(1/100/100)</f>
        <v>21.752660205684201</v>
      </c>
      <c r="C2248">
        <v>20142</v>
      </c>
      <c r="D2248" t="s">
        <v>904</v>
      </c>
      <c r="E2248">
        <v>32116</v>
      </c>
      <c r="F2248" t="s">
        <v>904</v>
      </c>
      <c r="G2248">
        <v>321</v>
      </c>
      <c r="H2248" t="s">
        <v>70</v>
      </c>
      <c r="I2248">
        <v>3</v>
      </c>
      <c r="J2248" t="s">
        <v>50</v>
      </c>
    </row>
    <row r="2249" spans="1:10" x14ac:dyDescent="0.25">
      <c r="A2249" t="s">
        <v>7355</v>
      </c>
      <c r="B2249">
        <f>5802.72732585468*(1/100/100)</f>
        <v>0.58027273258546808</v>
      </c>
      <c r="C2249">
        <v>20143</v>
      </c>
      <c r="D2249" t="s">
        <v>4683</v>
      </c>
      <c r="E2249">
        <v>32131</v>
      </c>
      <c r="F2249" t="s">
        <v>907</v>
      </c>
      <c r="G2249">
        <v>321</v>
      </c>
      <c r="H2249" t="s">
        <v>70</v>
      </c>
      <c r="I2249">
        <v>3</v>
      </c>
      <c r="J2249" t="s">
        <v>50</v>
      </c>
    </row>
    <row r="2250" spans="1:10" x14ac:dyDescent="0.25">
      <c r="A2250" t="s">
        <v>7355</v>
      </c>
      <c r="B2250">
        <f>7488.88357805933*(1/100/100)</f>
        <v>0.74888835780593299</v>
      </c>
      <c r="C2250">
        <v>20144</v>
      </c>
      <c r="D2250" t="s">
        <v>4672</v>
      </c>
      <c r="E2250">
        <v>32119</v>
      </c>
      <c r="F2250" t="s">
        <v>905</v>
      </c>
      <c r="G2250">
        <v>321</v>
      </c>
      <c r="H2250" t="s">
        <v>70</v>
      </c>
      <c r="I2250">
        <v>3</v>
      </c>
      <c r="J2250" t="s">
        <v>50</v>
      </c>
    </row>
    <row r="2251" spans="1:10" x14ac:dyDescent="0.25">
      <c r="A2251" t="s">
        <v>7355</v>
      </c>
      <c r="B2251">
        <f>19183.4032059823*(1/100/100)</f>
        <v>1.9183403205982301</v>
      </c>
      <c r="C2251">
        <v>20145</v>
      </c>
      <c r="D2251" t="s">
        <v>2369</v>
      </c>
      <c r="E2251">
        <v>32131</v>
      </c>
      <c r="F2251" t="s">
        <v>907</v>
      </c>
      <c r="G2251">
        <v>321</v>
      </c>
      <c r="H2251" t="s">
        <v>70</v>
      </c>
      <c r="I2251">
        <v>3</v>
      </c>
      <c r="J2251" t="s">
        <v>50</v>
      </c>
    </row>
    <row r="2252" spans="1:10" x14ac:dyDescent="0.25">
      <c r="A2252" t="s">
        <v>7355</v>
      </c>
      <c r="B2252">
        <f>135706.397459176*(1/100/100)</f>
        <v>13.5706397459176</v>
      </c>
      <c r="C2252">
        <v>20146</v>
      </c>
      <c r="D2252" t="s">
        <v>905</v>
      </c>
      <c r="E2252">
        <v>32119</v>
      </c>
      <c r="F2252" t="s">
        <v>905</v>
      </c>
      <c r="G2252">
        <v>321</v>
      </c>
      <c r="H2252" t="s">
        <v>70</v>
      </c>
      <c r="I2252">
        <v>3</v>
      </c>
      <c r="J2252" t="s">
        <v>50</v>
      </c>
    </row>
    <row r="2253" spans="1:10" x14ac:dyDescent="0.25">
      <c r="A2253" t="s">
        <v>7355</v>
      </c>
      <c r="B2253">
        <f>179019.976872655*(1/100/100)</f>
        <v>17.901997687265503</v>
      </c>
      <c r="C2253">
        <v>20147</v>
      </c>
      <c r="D2253" t="s">
        <v>4701</v>
      </c>
      <c r="E2253">
        <v>32135</v>
      </c>
      <c r="F2253" t="s">
        <v>910</v>
      </c>
      <c r="G2253">
        <v>321</v>
      </c>
      <c r="H2253" t="s">
        <v>70</v>
      </c>
      <c r="I2253">
        <v>3</v>
      </c>
      <c r="J2253" t="s">
        <v>50</v>
      </c>
    </row>
    <row r="2254" spans="1:10" x14ac:dyDescent="0.25">
      <c r="A2254" t="s">
        <v>7355</v>
      </c>
      <c r="B2254">
        <f>110066.474036283*(1/100/100)</f>
        <v>11.006647403628302</v>
      </c>
      <c r="C2254">
        <v>20148</v>
      </c>
      <c r="D2254" t="s">
        <v>4702</v>
      </c>
      <c r="E2254">
        <v>32135</v>
      </c>
      <c r="F2254" t="s">
        <v>910</v>
      </c>
      <c r="G2254">
        <v>321</v>
      </c>
      <c r="H2254" t="s">
        <v>70</v>
      </c>
      <c r="I2254">
        <v>3</v>
      </c>
      <c r="J2254" t="s">
        <v>50</v>
      </c>
    </row>
    <row r="2255" spans="1:10" x14ac:dyDescent="0.25">
      <c r="A2255" t="s">
        <v>7355</v>
      </c>
      <c r="B2255">
        <f>203003.04304809*(1/100/100)</f>
        <v>20.300304304809003</v>
      </c>
      <c r="C2255">
        <v>20149</v>
      </c>
      <c r="D2255" t="s">
        <v>906</v>
      </c>
      <c r="E2255">
        <v>32120</v>
      </c>
      <c r="F2255" t="s">
        <v>906</v>
      </c>
      <c r="G2255">
        <v>321</v>
      </c>
      <c r="H2255" t="s">
        <v>70</v>
      </c>
      <c r="I2255">
        <v>3</v>
      </c>
      <c r="J2255" t="s">
        <v>50</v>
      </c>
    </row>
    <row r="2256" spans="1:10" x14ac:dyDescent="0.25">
      <c r="A2256" t="s">
        <v>7355</v>
      </c>
      <c r="B2256">
        <f>52696.8264981342*(1/100/100)</f>
        <v>5.2696826498134204</v>
      </c>
      <c r="C2256">
        <v>20150</v>
      </c>
      <c r="D2256" t="s">
        <v>4674</v>
      </c>
      <c r="E2256">
        <v>32120</v>
      </c>
      <c r="F2256" t="s">
        <v>906</v>
      </c>
      <c r="G2256">
        <v>321</v>
      </c>
      <c r="H2256" t="s">
        <v>70</v>
      </c>
      <c r="I2256">
        <v>3</v>
      </c>
      <c r="J2256" t="s">
        <v>50</v>
      </c>
    </row>
    <row r="2257" spans="1:10" x14ac:dyDescent="0.25">
      <c r="A2257" t="s">
        <v>7355</v>
      </c>
      <c r="B2257">
        <f>29891.8182077269*(1/100/100)</f>
        <v>2.9891818207726901</v>
      </c>
      <c r="C2257">
        <v>20151</v>
      </c>
      <c r="D2257" t="s">
        <v>3121</v>
      </c>
      <c r="E2257">
        <v>32120</v>
      </c>
      <c r="F2257" t="s">
        <v>906</v>
      </c>
      <c r="G2257">
        <v>321</v>
      </c>
      <c r="H2257" t="s">
        <v>70</v>
      </c>
      <c r="I2257">
        <v>3</v>
      </c>
      <c r="J2257" t="s">
        <v>50</v>
      </c>
    </row>
    <row r="2258" spans="1:10" x14ac:dyDescent="0.25">
      <c r="A2258" t="s">
        <v>7355</v>
      </c>
      <c r="B2258">
        <f>32715.2378980074*(1/100/100)</f>
        <v>3.2715237898007401</v>
      </c>
      <c r="C2258">
        <v>20152</v>
      </c>
      <c r="D2258" t="s">
        <v>4703</v>
      </c>
      <c r="E2258">
        <v>32135</v>
      </c>
      <c r="F2258" t="s">
        <v>910</v>
      </c>
      <c r="G2258">
        <v>321</v>
      </c>
      <c r="H2258" t="s">
        <v>70</v>
      </c>
      <c r="I2258">
        <v>3</v>
      </c>
      <c r="J2258" t="s">
        <v>50</v>
      </c>
    </row>
    <row r="2259" spans="1:10" x14ac:dyDescent="0.25">
      <c r="A2259" t="s">
        <v>7355</v>
      </c>
      <c r="B2259">
        <f>6691.32322974121*(1/100/100)</f>
        <v>0.66913232297412095</v>
      </c>
      <c r="C2259">
        <v>20153</v>
      </c>
      <c r="D2259" t="s">
        <v>4711</v>
      </c>
      <c r="E2259">
        <v>32139</v>
      </c>
      <c r="F2259" t="s">
        <v>911</v>
      </c>
      <c r="G2259">
        <v>321</v>
      </c>
      <c r="H2259" t="s">
        <v>70</v>
      </c>
      <c r="I2259">
        <v>3</v>
      </c>
      <c r="J2259" t="s">
        <v>50</v>
      </c>
    </row>
    <row r="2260" spans="1:10" x14ac:dyDescent="0.25">
      <c r="A2260" t="s">
        <v>7355</v>
      </c>
      <c r="B2260">
        <f>5267.52219819132*(1/100/100)</f>
        <v>0.52675221981913201</v>
      </c>
      <c r="C2260">
        <v>20154</v>
      </c>
      <c r="D2260" t="s">
        <v>4712</v>
      </c>
      <c r="E2260">
        <v>32139</v>
      </c>
      <c r="F2260" t="s">
        <v>911</v>
      </c>
      <c r="G2260">
        <v>321</v>
      </c>
      <c r="H2260" t="s">
        <v>70</v>
      </c>
      <c r="I2260">
        <v>3</v>
      </c>
      <c r="J2260" t="s">
        <v>50</v>
      </c>
    </row>
    <row r="2261" spans="1:10" x14ac:dyDescent="0.25">
      <c r="A2261" t="s">
        <v>7355</v>
      </c>
      <c r="B2261">
        <f>133960.536451147*(1/100/100)</f>
        <v>13.3960536451147</v>
      </c>
      <c r="C2261">
        <v>20155</v>
      </c>
      <c r="D2261" t="s">
        <v>4636</v>
      </c>
      <c r="E2261">
        <v>32104</v>
      </c>
      <c r="F2261" t="s">
        <v>896</v>
      </c>
      <c r="G2261">
        <v>321</v>
      </c>
      <c r="H2261" t="s">
        <v>70</v>
      </c>
      <c r="I2261">
        <v>3</v>
      </c>
      <c r="J2261" t="s">
        <v>50</v>
      </c>
    </row>
    <row r="2262" spans="1:10" x14ac:dyDescent="0.25">
      <c r="A2262" t="s">
        <v>7355</v>
      </c>
      <c r="B2262">
        <f>96543.5719264538*(1/100/100)</f>
        <v>9.6543571926453815</v>
      </c>
      <c r="C2262">
        <v>20156</v>
      </c>
      <c r="D2262" t="s">
        <v>4039</v>
      </c>
      <c r="E2262">
        <v>32143</v>
      </c>
      <c r="F2262" t="s">
        <v>914</v>
      </c>
      <c r="G2262">
        <v>321</v>
      </c>
      <c r="H2262" t="s">
        <v>70</v>
      </c>
      <c r="I2262">
        <v>3</v>
      </c>
      <c r="J2262" t="s">
        <v>50</v>
      </c>
    </row>
    <row r="2263" spans="1:10" x14ac:dyDescent="0.25">
      <c r="A2263" t="s">
        <v>7355</v>
      </c>
      <c r="B2263">
        <f>69049.8622214167*(1/100/100)</f>
        <v>6.9049862221416705</v>
      </c>
      <c r="C2263">
        <v>20157</v>
      </c>
      <c r="D2263" t="s">
        <v>4704</v>
      </c>
      <c r="E2263">
        <v>32135</v>
      </c>
      <c r="F2263" t="s">
        <v>910</v>
      </c>
      <c r="G2263">
        <v>321</v>
      </c>
      <c r="H2263" t="s">
        <v>70</v>
      </c>
      <c r="I2263">
        <v>3</v>
      </c>
      <c r="J2263" t="s">
        <v>50</v>
      </c>
    </row>
    <row r="2264" spans="1:10" x14ac:dyDescent="0.25">
      <c r="A2264" t="s">
        <v>7355</v>
      </c>
      <c r="B2264">
        <f>29207.4938059579*(1/100/100)</f>
        <v>2.9207493805957903</v>
      </c>
      <c r="C2264">
        <v>20158</v>
      </c>
      <c r="D2264" t="s">
        <v>4462</v>
      </c>
      <c r="E2264">
        <v>32119</v>
      </c>
      <c r="F2264" t="s">
        <v>905</v>
      </c>
      <c r="G2264">
        <v>321</v>
      </c>
      <c r="H2264" t="s">
        <v>70</v>
      </c>
      <c r="I2264">
        <v>3</v>
      </c>
      <c r="J2264" t="s">
        <v>50</v>
      </c>
    </row>
    <row r="2265" spans="1:10" x14ac:dyDescent="0.25">
      <c r="A2265" t="s">
        <v>7355</v>
      </c>
      <c r="B2265">
        <f>59489.7537623437*(1/100/100)</f>
        <v>5.9489753762343707</v>
      </c>
      <c r="C2265">
        <v>20159</v>
      </c>
      <c r="D2265" t="s">
        <v>4705</v>
      </c>
      <c r="E2265">
        <v>32135</v>
      </c>
      <c r="F2265" t="s">
        <v>910</v>
      </c>
      <c r="G2265">
        <v>321</v>
      </c>
      <c r="H2265" t="s">
        <v>70</v>
      </c>
      <c r="I2265">
        <v>3</v>
      </c>
      <c r="J2265" t="s">
        <v>50</v>
      </c>
    </row>
    <row r="2266" spans="1:10" x14ac:dyDescent="0.25">
      <c r="A2266" t="s">
        <v>7355</v>
      </c>
      <c r="B2266">
        <f>141797.82556657*(1/100/100)</f>
        <v>14.179782556657003</v>
      </c>
      <c r="C2266">
        <v>20160</v>
      </c>
      <c r="D2266" t="s">
        <v>4684</v>
      </c>
      <c r="E2266">
        <v>32131</v>
      </c>
      <c r="F2266" t="s">
        <v>907</v>
      </c>
      <c r="G2266">
        <v>321</v>
      </c>
      <c r="H2266" t="s">
        <v>70</v>
      </c>
      <c r="I2266">
        <v>3</v>
      </c>
      <c r="J2266" t="s">
        <v>50</v>
      </c>
    </row>
    <row r="2267" spans="1:10" x14ac:dyDescent="0.25">
      <c r="A2267" t="s">
        <v>7355</v>
      </c>
      <c r="B2267">
        <f>10237.4120550447*(1/100/100)</f>
        <v>1.0237412055044701</v>
      </c>
      <c r="C2267">
        <v>20161</v>
      </c>
      <c r="D2267" t="s">
        <v>1227</v>
      </c>
      <c r="E2267">
        <v>32131</v>
      </c>
      <c r="F2267" t="s">
        <v>907</v>
      </c>
      <c r="G2267">
        <v>321</v>
      </c>
      <c r="H2267" t="s">
        <v>70</v>
      </c>
      <c r="I2267">
        <v>3</v>
      </c>
      <c r="J2267" t="s">
        <v>50</v>
      </c>
    </row>
    <row r="2268" spans="1:10" x14ac:dyDescent="0.25">
      <c r="A2268" t="s">
        <v>7355</v>
      </c>
      <c r="B2268">
        <f>6894.14154385562*(1/100/100)</f>
        <v>0.68941415438556197</v>
      </c>
      <c r="C2268">
        <v>20162</v>
      </c>
      <c r="D2268" t="s">
        <v>4685</v>
      </c>
      <c r="E2268">
        <v>32131</v>
      </c>
      <c r="F2268" t="s">
        <v>907</v>
      </c>
      <c r="G2268">
        <v>321</v>
      </c>
      <c r="H2268" t="s">
        <v>70</v>
      </c>
      <c r="I2268">
        <v>3</v>
      </c>
      <c r="J2268" t="s">
        <v>50</v>
      </c>
    </row>
    <row r="2269" spans="1:10" x14ac:dyDescent="0.25">
      <c r="A2269" t="s">
        <v>7355</v>
      </c>
      <c r="B2269">
        <f>111370.065245148*(1/100/100)</f>
        <v>11.137006524514801</v>
      </c>
      <c r="C2269">
        <v>20163</v>
      </c>
      <c r="D2269" t="s">
        <v>3143</v>
      </c>
      <c r="E2269">
        <v>32141</v>
      </c>
      <c r="F2269" t="s">
        <v>913</v>
      </c>
      <c r="G2269">
        <v>321</v>
      </c>
      <c r="H2269" t="s">
        <v>70</v>
      </c>
      <c r="I2269">
        <v>3</v>
      </c>
      <c r="J2269" t="s">
        <v>50</v>
      </c>
    </row>
    <row r="2270" spans="1:10" x14ac:dyDescent="0.25">
      <c r="A2270" t="s">
        <v>7355</v>
      </c>
      <c r="B2270">
        <f>58301.5430053748*(1/100/100)</f>
        <v>5.8301543005374805</v>
      </c>
      <c r="C2270">
        <v>20164</v>
      </c>
      <c r="D2270" t="s">
        <v>4675</v>
      </c>
      <c r="E2270">
        <v>32120</v>
      </c>
      <c r="F2270" t="s">
        <v>906</v>
      </c>
      <c r="G2270">
        <v>321</v>
      </c>
      <c r="H2270" t="s">
        <v>70</v>
      </c>
      <c r="I2270">
        <v>3</v>
      </c>
      <c r="J2270" t="s">
        <v>50</v>
      </c>
    </row>
    <row r="2271" spans="1:10" x14ac:dyDescent="0.25">
      <c r="A2271" t="s">
        <v>7355</v>
      </c>
      <c r="B2271">
        <f>47346.1292021571*(1/100/100)</f>
        <v>4.7346129202157101</v>
      </c>
      <c r="C2271">
        <v>20165</v>
      </c>
      <c r="D2271" t="s">
        <v>4686</v>
      </c>
      <c r="E2271">
        <v>32131</v>
      </c>
      <c r="F2271" t="s">
        <v>907</v>
      </c>
      <c r="G2271">
        <v>321</v>
      </c>
      <c r="H2271" t="s">
        <v>70</v>
      </c>
      <c r="I2271">
        <v>3</v>
      </c>
      <c r="J2271" t="s">
        <v>50</v>
      </c>
    </row>
    <row r="2272" spans="1:10" x14ac:dyDescent="0.25">
      <c r="A2272" t="s">
        <v>7355</v>
      </c>
      <c r="B2272">
        <f>7349.33235736296*(1/100/100)</f>
        <v>0.73493323573629599</v>
      </c>
      <c r="C2272">
        <v>20166</v>
      </c>
      <c r="D2272" t="s">
        <v>4713</v>
      </c>
      <c r="E2272">
        <v>32139</v>
      </c>
      <c r="F2272" t="s">
        <v>911</v>
      </c>
      <c r="G2272">
        <v>321</v>
      </c>
      <c r="H2272" t="s">
        <v>70</v>
      </c>
      <c r="I2272">
        <v>3</v>
      </c>
      <c r="J2272" t="s">
        <v>50</v>
      </c>
    </row>
    <row r="2273" spans="1:10" x14ac:dyDescent="0.25">
      <c r="A2273" t="s">
        <v>7355</v>
      </c>
      <c r="B2273">
        <f>61117.3456082122*(1/100/100)</f>
        <v>6.1117345608212199</v>
      </c>
      <c r="C2273">
        <v>20167</v>
      </c>
      <c r="D2273" t="s">
        <v>4720</v>
      </c>
      <c r="E2273">
        <v>32141</v>
      </c>
      <c r="F2273" t="s">
        <v>913</v>
      </c>
      <c r="G2273">
        <v>321</v>
      </c>
      <c r="H2273" t="s">
        <v>70</v>
      </c>
      <c r="I2273">
        <v>3</v>
      </c>
      <c r="J2273" t="s">
        <v>50</v>
      </c>
    </row>
    <row r="2274" spans="1:10" x14ac:dyDescent="0.25">
      <c r="A2274" t="s">
        <v>7355</v>
      </c>
      <c r="B2274">
        <f>21462.3577728982*(1/100/100)</f>
        <v>2.1462357772898204</v>
      </c>
      <c r="C2274">
        <v>20168</v>
      </c>
      <c r="D2274" t="s">
        <v>4721</v>
      </c>
      <c r="E2274">
        <v>32141</v>
      </c>
      <c r="F2274" t="s">
        <v>913</v>
      </c>
      <c r="G2274">
        <v>321</v>
      </c>
      <c r="H2274" t="s">
        <v>70</v>
      </c>
      <c r="I2274">
        <v>3</v>
      </c>
      <c r="J2274" t="s">
        <v>50</v>
      </c>
    </row>
    <row r="2275" spans="1:10" x14ac:dyDescent="0.25">
      <c r="A2275" t="s">
        <v>7355</v>
      </c>
      <c r="B2275">
        <f>18486.2907098371*(1/100/100)</f>
        <v>1.8486290709837101</v>
      </c>
      <c r="C2275">
        <v>20169</v>
      </c>
      <c r="D2275" t="s">
        <v>4687</v>
      </c>
      <c r="E2275">
        <v>32131</v>
      </c>
      <c r="F2275" t="s">
        <v>907</v>
      </c>
      <c r="G2275">
        <v>321</v>
      </c>
      <c r="H2275" t="s">
        <v>70</v>
      </c>
      <c r="I2275">
        <v>3</v>
      </c>
      <c r="J2275" t="s">
        <v>50</v>
      </c>
    </row>
    <row r="2276" spans="1:10" x14ac:dyDescent="0.25">
      <c r="A2276" t="s">
        <v>7355</v>
      </c>
      <c r="B2276">
        <f>60509.7568243909*(1/100/100)</f>
        <v>6.0509756824390903</v>
      </c>
      <c r="C2276">
        <v>20170</v>
      </c>
      <c r="D2276" t="s">
        <v>4688</v>
      </c>
      <c r="E2276">
        <v>32131</v>
      </c>
      <c r="F2276" t="s">
        <v>907</v>
      </c>
      <c r="G2276">
        <v>321</v>
      </c>
      <c r="H2276" t="s">
        <v>70</v>
      </c>
      <c r="I2276">
        <v>3</v>
      </c>
      <c r="J2276" t="s">
        <v>50</v>
      </c>
    </row>
    <row r="2277" spans="1:10" x14ac:dyDescent="0.25">
      <c r="A2277" t="s">
        <v>7355</v>
      </c>
      <c r="B2277">
        <f>116959.338845824*(1/100/100)</f>
        <v>11.6959338845824</v>
      </c>
      <c r="C2277">
        <v>20171</v>
      </c>
      <c r="D2277" t="s">
        <v>4696</v>
      </c>
      <c r="E2277">
        <v>32132</v>
      </c>
      <c r="F2277" t="s">
        <v>908</v>
      </c>
      <c r="G2277">
        <v>321</v>
      </c>
      <c r="H2277" t="s">
        <v>70</v>
      </c>
      <c r="I2277">
        <v>3</v>
      </c>
      <c r="J2277" t="s">
        <v>50</v>
      </c>
    </row>
    <row r="2278" spans="1:10" x14ac:dyDescent="0.25">
      <c r="A2278" t="s">
        <v>7355</v>
      </c>
      <c r="B2278">
        <f>15205.6385086333*(1/100/100)</f>
        <v>1.5205638508633299</v>
      </c>
      <c r="C2278">
        <v>20172</v>
      </c>
      <c r="D2278" t="s">
        <v>1198</v>
      </c>
      <c r="E2278">
        <v>32131</v>
      </c>
      <c r="F2278" t="s">
        <v>907</v>
      </c>
      <c r="G2278">
        <v>321</v>
      </c>
      <c r="H2278" t="s">
        <v>70</v>
      </c>
      <c r="I2278">
        <v>3</v>
      </c>
      <c r="J2278" t="s">
        <v>50</v>
      </c>
    </row>
    <row r="2279" spans="1:10" x14ac:dyDescent="0.25">
      <c r="A2279" t="s">
        <v>7355</v>
      </c>
      <c r="B2279">
        <f>49029.0366020041*(1/100/100)</f>
        <v>4.9029036602004101</v>
      </c>
      <c r="C2279">
        <v>20173</v>
      </c>
      <c r="D2279" t="s">
        <v>4689</v>
      </c>
      <c r="E2279">
        <v>32131</v>
      </c>
      <c r="F2279" t="s">
        <v>907</v>
      </c>
      <c r="G2279">
        <v>321</v>
      </c>
      <c r="H2279" t="s">
        <v>70</v>
      </c>
      <c r="I2279">
        <v>3</v>
      </c>
      <c r="J2279" t="s">
        <v>50</v>
      </c>
    </row>
    <row r="2280" spans="1:10" x14ac:dyDescent="0.25">
      <c r="A2280" t="s">
        <v>7355</v>
      </c>
      <c r="B2280">
        <f>36996.7443698065*(1/100/100)</f>
        <v>3.6996744369806507</v>
      </c>
      <c r="C2280">
        <v>20174</v>
      </c>
      <c r="D2280" t="s">
        <v>644</v>
      </c>
      <c r="E2280">
        <v>32131</v>
      </c>
      <c r="F2280" t="s">
        <v>907</v>
      </c>
      <c r="G2280">
        <v>321</v>
      </c>
      <c r="H2280" t="s">
        <v>70</v>
      </c>
      <c r="I2280">
        <v>3</v>
      </c>
      <c r="J2280" t="s">
        <v>50</v>
      </c>
    </row>
    <row r="2281" spans="1:10" x14ac:dyDescent="0.25">
      <c r="A2281" t="s">
        <v>7355</v>
      </c>
      <c r="B2281">
        <f>94142.7285342395*(1/100/100)</f>
        <v>9.4142728534239506</v>
      </c>
      <c r="C2281">
        <v>20175</v>
      </c>
      <c r="D2281" t="s">
        <v>177</v>
      </c>
      <c r="E2281">
        <v>32120</v>
      </c>
      <c r="F2281" t="s">
        <v>906</v>
      </c>
      <c r="G2281">
        <v>321</v>
      </c>
      <c r="H2281" t="s">
        <v>70</v>
      </c>
      <c r="I2281">
        <v>3</v>
      </c>
      <c r="J2281" t="s">
        <v>50</v>
      </c>
    </row>
    <row r="2282" spans="1:10" x14ac:dyDescent="0.25">
      <c r="A2282" t="s">
        <v>7355</v>
      </c>
      <c r="B2282">
        <f>21499.2232135928*(1/100/100)</f>
        <v>2.1499223213592802</v>
      </c>
      <c r="C2282">
        <v>20176</v>
      </c>
      <c r="D2282" t="s">
        <v>4714</v>
      </c>
      <c r="E2282">
        <v>32139</v>
      </c>
      <c r="F2282" t="s">
        <v>911</v>
      </c>
      <c r="G2282">
        <v>321</v>
      </c>
      <c r="H2282" t="s">
        <v>70</v>
      </c>
      <c r="I2282">
        <v>3</v>
      </c>
      <c r="J2282" t="s">
        <v>50</v>
      </c>
    </row>
    <row r="2283" spans="1:10" x14ac:dyDescent="0.25">
      <c r="A2283" t="s">
        <v>7355</v>
      </c>
      <c r="B2283">
        <f>61062.3578687858*(1/100/100)</f>
        <v>6.1062357868785808</v>
      </c>
      <c r="C2283">
        <v>20177</v>
      </c>
      <c r="D2283" t="s">
        <v>4673</v>
      </c>
      <c r="E2283">
        <v>32119</v>
      </c>
      <c r="F2283" t="s">
        <v>905</v>
      </c>
      <c r="G2283">
        <v>321</v>
      </c>
      <c r="H2283" t="s">
        <v>70</v>
      </c>
      <c r="I2283">
        <v>3</v>
      </c>
      <c r="J2283" t="s">
        <v>50</v>
      </c>
    </row>
    <row r="2284" spans="1:10" x14ac:dyDescent="0.25">
      <c r="A2284" t="s">
        <v>7355</v>
      </c>
      <c r="B2284">
        <f>27327.1149516477*(1/100/100)</f>
        <v>2.7327114951647702</v>
      </c>
      <c r="C2284">
        <v>20178</v>
      </c>
      <c r="D2284" t="s">
        <v>4722</v>
      </c>
      <c r="E2284">
        <v>32141</v>
      </c>
      <c r="F2284" t="s">
        <v>913</v>
      </c>
      <c r="G2284">
        <v>321</v>
      </c>
      <c r="H2284" t="s">
        <v>70</v>
      </c>
      <c r="I2284">
        <v>3</v>
      </c>
      <c r="J2284" t="s">
        <v>50</v>
      </c>
    </row>
    <row r="2285" spans="1:10" x14ac:dyDescent="0.25">
      <c r="A2285" t="s">
        <v>7355</v>
      </c>
      <c r="B2285">
        <f>182547.57102147*(1/100/100)</f>
        <v>18.254757102147003</v>
      </c>
      <c r="C2285">
        <v>20179</v>
      </c>
      <c r="D2285" t="s">
        <v>907</v>
      </c>
      <c r="E2285">
        <v>32131</v>
      </c>
      <c r="F2285" t="s">
        <v>907</v>
      </c>
      <c r="G2285">
        <v>321</v>
      </c>
      <c r="H2285" t="s">
        <v>70</v>
      </c>
      <c r="I2285">
        <v>3</v>
      </c>
      <c r="J2285" t="s">
        <v>50</v>
      </c>
    </row>
    <row r="2286" spans="1:10" x14ac:dyDescent="0.25">
      <c r="A2286" t="s">
        <v>7355</v>
      </c>
      <c r="B2286">
        <f>59793.0502037051*(1/100/100)</f>
        <v>5.9793050203705098</v>
      </c>
      <c r="C2286">
        <v>20180</v>
      </c>
      <c r="D2286" t="s">
        <v>4697</v>
      </c>
      <c r="E2286">
        <v>32132</v>
      </c>
      <c r="F2286" t="s">
        <v>908</v>
      </c>
      <c r="G2286">
        <v>321</v>
      </c>
      <c r="H2286" t="s">
        <v>70</v>
      </c>
      <c r="I2286">
        <v>3</v>
      </c>
      <c r="J2286" t="s">
        <v>50</v>
      </c>
    </row>
    <row r="2287" spans="1:10" x14ac:dyDescent="0.25">
      <c r="A2287" t="s">
        <v>7355</v>
      </c>
      <c r="B2287">
        <f>25855.1451438176*(1/100/100)</f>
        <v>2.5855145143817602</v>
      </c>
      <c r="C2287">
        <v>20181</v>
      </c>
      <c r="D2287" t="s">
        <v>3339</v>
      </c>
      <c r="E2287">
        <v>32120</v>
      </c>
      <c r="F2287" t="s">
        <v>906</v>
      </c>
      <c r="G2287">
        <v>321</v>
      </c>
      <c r="H2287" t="s">
        <v>70</v>
      </c>
      <c r="I2287">
        <v>3</v>
      </c>
      <c r="J2287" t="s">
        <v>50</v>
      </c>
    </row>
    <row r="2288" spans="1:10" x14ac:dyDescent="0.25">
      <c r="A2288" t="s">
        <v>7355</v>
      </c>
      <c r="B2288">
        <f>75726.0094922956*(1/100/100)</f>
        <v>7.5726009492295612</v>
      </c>
      <c r="C2288">
        <v>20182</v>
      </c>
      <c r="D2288" t="s">
        <v>4706</v>
      </c>
      <c r="E2288">
        <v>32135</v>
      </c>
      <c r="F2288" t="s">
        <v>910</v>
      </c>
      <c r="G2288">
        <v>321</v>
      </c>
      <c r="H2288" t="s">
        <v>70</v>
      </c>
      <c r="I2288">
        <v>3</v>
      </c>
      <c r="J2288" t="s">
        <v>50</v>
      </c>
    </row>
    <row r="2289" spans="1:10" x14ac:dyDescent="0.25">
      <c r="A2289" t="s">
        <v>7355</v>
      </c>
      <c r="B2289">
        <f>27727.6335699266*(1/100/100)</f>
        <v>2.7727633569926597</v>
      </c>
      <c r="C2289">
        <v>20183</v>
      </c>
      <c r="D2289" t="s">
        <v>4676</v>
      </c>
      <c r="E2289">
        <v>32120</v>
      </c>
      <c r="F2289" t="s">
        <v>906</v>
      </c>
      <c r="G2289">
        <v>321</v>
      </c>
      <c r="H2289" t="s">
        <v>70</v>
      </c>
      <c r="I2289">
        <v>3</v>
      </c>
      <c r="J2289" t="s">
        <v>50</v>
      </c>
    </row>
    <row r="2290" spans="1:10" x14ac:dyDescent="0.25">
      <c r="A2290" t="s">
        <v>7355</v>
      </c>
      <c r="B2290">
        <f>18385.5481402303*(1/100/100)</f>
        <v>1.8385548140230301</v>
      </c>
      <c r="C2290">
        <v>20184</v>
      </c>
      <c r="D2290" t="s">
        <v>4637</v>
      </c>
      <c r="E2290">
        <v>32104</v>
      </c>
      <c r="F2290" t="s">
        <v>896</v>
      </c>
      <c r="G2290">
        <v>321</v>
      </c>
      <c r="H2290" t="s">
        <v>70</v>
      </c>
      <c r="I2290">
        <v>3</v>
      </c>
      <c r="J2290" t="s">
        <v>50</v>
      </c>
    </row>
    <row r="2291" spans="1:10" x14ac:dyDescent="0.25">
      <c r="A2291" t="s">
        <v>7355</v>
      </c>
      <c r="B2291">
        <f>26759.8410356195*(1/100/100)</f>
        <v>2.6759841035619503</v>
      </c>
      <c r="C2291">
        <v>20185</v>
      </c>
      <c r="D2291" t="s">
        <v>2919</v>
      </c>
      <c r="E2291">
        <v>32132</v>
      </c>
      <c r="F2291" t="s">
        <v>908</v>
      </c>
      <c r="G2291">
        <v>321</v>
      </c>
      <c r="H2291" t="s">
        <v>70</v>
      </c>
      <c r="I2291">
        <v>3</v>
      </c>
      <c r="J2291" t="s">
        <v>50</v>
      </c>
    </row>
    <row r="2292" spans="1:10" x14ac:dyDescent="0.25">
      <c r="A2292" t="s">
        <v>7355</v>
      </c>
      <c r="B2292">
        <f>141908.901157193*(1/100/100)</f>
        <v>14.1908901157193</v>
      </c>
      <c r="C2292">
        <v>20186</v>
      </c>
      <c r="D2292" t="s">
        <v>4638</v>
      </c>
      <c r="E2292">
        <v>32104</v>
      </c>
      <c r="F2292" t="s">
        <v>896</v>
      </c>
      <c r="G2292">
        <v>321</v>
      </c>
      <c r="H2292" t="s">
        <v>70</v>
      </c>
      <c r="I2292">
        <v>3</v>
      </c>
      <c r="J2292" t="s">
        <v>50</v>
      </c>
    </row>
    <row r="2293" spans="1:10" x14ac:dyDescent="0.25">
      <c r="A2293" t="s">
        <v>7355</v>
      </c>
      <c r="B2293">
        <f>23218.7252015278*(1/100/100)</f>
        <v>2.3218725201527799</v>
      </c>
      <c r="C2293">
        <v>20187</v>
      </c>
      <c r="D2293" t="s">
        <v>4707</v>
      </c>
      <c r="E2293">
        <v>32135</v>
      </c>
      <c r="F2293" t="s">
        <v>910</v>
      </c>
      <c r="G2293">
        <v>321</v>
      </c>
      <c r="H2293" t="s">
        <v>70</v>
      </c>
      <c r="I2293">
        <v>3</v>
      </c>
      <c r="J2293" t="s">
        <v>50</v>
      </c>
    </row>
    <row r="2294" spans="1:10" x14ac:dyDescent="0.25">
      <c r="A2294" t="s">
        <v>7355</v>
      </c>
      <c r="B2294">
        <f>169644.822877393*(1/100/100)</f>
        <v>16.964482287739301</v>
      </c>
      <c r="C2294">
        <v>20188</v>
      </c>
      <c r="D2294" t="s">
        <v>909</v>
      </c>
      <c r="E2294">
        <v>32134</v>
      </c>
      <c r="F2294" t="s">
        <v>909</v>
      </c>
      <c r="G2294">
        <v>321</v>
      </c>
      <c r="H2294" t="s">
        <v>70</v>
      </c>
      <c r="I2294">
        <v>3</v>
      </c>
      <c r="J2294" t="s">
        <v>50</v>
      </c>
    </row>
    <row r="2295" spans="1:10" x14ac:dyDescent="0.25">
      <c r="A2295" t="s">
        <v>7355</v>
      </c>
      <c r="B2295">
        <f>1018826.15330553*(1/100/100)</f>
        <v>101.88261533055301</v>
      </c>
      <c r="C2295">
        <v>20189</v>
      </c>
      <c r="D2295" t="s">
        <v>70</v>
      </c>
      <c r="E2295">
        <v>32135</v>
      </c>
      <c r="F2295" t="s">
        <v>910</v>
      </c>
      <c r="G2295">
        <v>321</v>
      </c>
      <c r="H2295" t="s">
        <v>70</v>
      </c>
      <c r="I2295">
        <v>3</v>
      </c>
      <c r="J2295" t="s">
        <v>50</v>
      </c>
    </row>
    <row r="2296" spans="1:10" x14ac:dyDescent="0.25">
      <c r="A2296" t="s">
        <v>7355</v>
      </c>
      <c r="B2296">
        <f>9784.75504240482*(1/100/100)</f>
        <v>0.97847550424048213</v>
      </c>
      <c r="C2296">
        <v>20190</v>
      </c>
      <c r="D2296" t="s">
        <v>4690</v>
      </c>
      <c r="E2296">
        <v>32131</v>
      </c>
      <c r="F2296" t="s">
        <v>907</v>
      </c>
      <c r="G2296">
        <v>321</v>
      </c>
      <c r="H2296" t="s">
        <v>70</v>
      </c>
      <c r="I2296">
        <v>3</v>
      </c>
      <c r="J2296" t="s">
        <v>50</v>
      </c>
    </row>
    <row r="2297" spans="1:10" x14ac:dyDescent="0.25">
      <c r="A2297" t="s">
        <v>7355</v>
      </c>
      <c r="B2297">
        <f>17478.2004015439*(1/100/100)</f>
        <v>1.7478200401543902</v>
      </c>
      <c r="C2297">
        <v>20191</v>
      </c>
      <c r="D2297" t="s">
        <v>2320</v>
      </c>
      <c r="E2297">
        <v>32139</v>
      </c>
      <c r="F2297" t="s">
        <v>911</v>
      </c>
      <c r="G2297">
        <v>321</v>
      </c>
      <c r="H2297" t="s">
        <v>70</v>
      </c>
      <c r="I2297">
        <v>3</v>
      </c>
      <c r="J2297" t="s">
        <v>50</v>
      </c>
    </row>
    <row r="2298" spans="1:10" x14ac:dyDescent="0.25">
      <c r="A2298" t="s">
        <v>7355</v>
      </c>
      <c r="B2298">
        <f>26738.6049144412*(1/100/100)</f>
        <v>2.67386049144412</v>
      </c>
      <c r="C2298">
        <v>20192</v>
      </c>
      <c r="D2298" t="s">
        <v>4639</v>
      </c>
      <c r="E2298">
        <v>32104</v>
      </c>
      <c r="F2298" t="s">
        <v>896</v>
      </c>
      <c r="G2298">
        <v>321</v>
      </c>
      <c r="H2298" t="s">
        <v>70</v>
      </c>
      <c r="I2298">
        <v>3</v>
      </c>
      <c r="J2298" t="s">
        <v>50</v>
      </c>
    </row>
    <row r="2299" spans="1:10" x14ac:dyDescent="0.25">
      <c r="A2299" t="s">
        <v>7355</v>
      </c>
      <c r="B2299">
        <f>19312.9956335456*(1/100/100)</f>
        <v>1.9312995633545602</v>
      </c>
      <c r="C2299">
        <v>20193</v>
      </c>
      <c r="D2299" t="s">
        <v>4691</v>
      </c>
      <c r="E2299">
        <v>32131</v>
      </c>
      <c r="F2299" t="s">
        <v>907</v>
      </c>
      <c r="G2299">
        <v>321</v>
      </c>
      <c r="H2299" t="s">
        <v>70</v>
      </c>
      <c r="I2299">
        <v>3</v>
      </c>
      <c r="J2299" t="s">
        <v>50</v>
      </c>
    </row>
    <row r="2300" spans="1:10" x14ac:dyDescent="0.25">
      <c r="A2300" t="s">
        <v>7355</v>
      </c>
      <c r="B2300">
        <f>81912.5318329121*(1/100/100)</f>
        <v>8.1912531832912094</v>
      </c>
      <c r="C2300">
        <v>20194</v>
      </c>
      <c r="D2300" t="s">
        <v>775</v>
      </c>
      <c r="E2300">
        <v>32134</v>
      </c>
      <c r="F2300" t="s">
        <v>909</v>
      </c>
      <c r="G2300">
        <v>321</v>
      </c>
      <c r="H2300" t="s">
        <v>70</v>
      </c>
      <c r="I2300">
        <v>3</v>
      </c>
      <c r="J2300" t="s">
        <v>50</v>
      </c>
    </row>
    <row r="2301" spans="1:10" x14ac:dyDescent="0.25">
      <c r="A2301" t="s">
        <v>7355</v>
      </c>
      <c r="B2301">
        <f>37475.3136748405*(1/100/100)</f>
        <v>3.7475313674840502</v>
      </c>
      <c r="C2301">
        <v>20195</v>
      </c>
      <c r="D2301" t="s">
        <v>4729</v>
      </c>
      <c r="E2301">
        <v>32143</v>
      </c>
      <c r="F2301" t="s">
        <v>914</v>
      </c>
      <c r="G2301">
        <v>321</v>
      </c>
      <c r="H2301" t="s">
        <v>70</v>
      </c>
      <c r="I2301">
        <v>3</v>
      </c>
      <c r="J2301" t="s">
        <v>50</v>
      </c>
    </row>
    <row r="2302" spans="1:10" x14ac:dyDescent="0.25">
      <c r="A2302" t="s">
        <v>7355</v>
      </c>
      <c r="B2302">
        <f>77189.5516059232*(1/100/100)</f>
        <v>7.718955160592321</v>
      </c>
      <c r="C2302">
        <v>20196</v>
      </c>
      <c r="D2302" t="s">
        <v>894</v>
      </c>
      <c r="E2302">
        <v>32140</v>
      </c>
      <c r="F2302" t="s">
        <v>912</v>
      </c>
      <c r="G2302">
        <v>321</v>
      </c>
      <c r="H2302" t="s">
        <v>70</v>
      </c>
      <c r="I2302">
        <v>3</v>
      </c>
      <c r="J2302" t="s">
        <v>50</v>
      </c>
    </row>
    <row r="2303" spans="1:10" x14ac:dyDescent="0.25">
      <c r="A2303" t="s">
        <v>7355</v>
      </c>
      <c r="B2303">
        <f>247036.944168282*(1/100/100)</f>
        <v>24.703694416828203</v>
      </c>
      <c r="C2303">
        <v>20197</v>
      </c>
      <c r="D2303" t="s">
        <v>4728</v>
      </c>
      <c r="E2303">
        <v>32142</v>
      </c>
      <c r="F2303" t="s">
        <v>4724</v>
      </c>
      <c r="G2303">
        <v>321</v>
      </c>
      <c r="H2303" t="s">
        <v>70</v>
      </c>
      <c r="I2303">
        <v>3</v>
      </c>
      <c r="J2303" t="s">
        <v>50</v>
      </c>
    </row>
    <row r="2304" spans="1:10" x14ac:dyDescent="0.25">
      <c r="A2304" t="s">
        <v>7355</v>
      </c>
      <c r="B2304">
        <f>69975.7212353609*(1/100/100)</f>
        <v>6.9975721235360906</v>
      </c>
      <c r="C2304">
        <v>20198</v>
      </c>
      <c r="D2304" t="s">
        <v>911</v>
      </c>
      <c r="E2304">
        <v>32139</v>
      </c>
      <c r="F2304" t="s">
        <v>911</v>
      </c>
      <c r="G2304">
        <v>321</v>
      </c>
      <c r="H2304" t="s">
        <v>70</v>
      </c>
      <c r="I2304">
        <v>3</v>
      </c>
      <c r="J2304" t="s">
        <v>50</v>
      </c>
    </row>
    <row r="2305" spans="1:10" x14ac:dyDescent="0.25">
      <c r="A2305" t="s">
        <v>7355</v>
      </c>
      <c r="B2305">
        <f>145513.388147351*(1/100/100)</f>
        <v>14.551338814735102</v>
      </c>
      <c r="C2305">
        <v>20199</v>
      </c>
      <c r="D2305" t="s">
        <v>4717</v>
      </c>
      <c r="E2305">
        <v>32140</v>
      </c>
      <c r="F2305" t="s">
        <v>912</v>
      </c>
      <c r="G2305">
        <v>321</v>
      </c>
      <c r="H2305" t="s">
        <v>70</v>
      </c>
      <c r="I2305">
        <v>3</v>
      </c>
      <c r="J2305" t="s">
        <v>50</v>
      </c>
    </row>
    <row r="2306" spans="1:10" x14ac:dyDescent="0.25">
      <c r="A2306" t="s">
        <v>7355</v>
      </c>
      <c r="B2306">
        <f>31312.4276487994*(1/100/100)</f>
        <v>3.1312427648799401</v>
      </c>
      <c r="C2306">
        <v>20200</v>
      </c>
      <c r="D2306" t="s">
        <v>4657</v>
      </c>
      <c r="E2306">
        <v>32112</v>
      </c>
      <c r="F2306" t="s">
        <v>901</v>
      </c>
      <c r="G2306">
        <v>321</v>
      </c>
      <c r="H2306" t="s">
        <v>70</v>
      </c>
      <c r="I2306">
        <v>3</v>
      </c>
      <c r="J2306" t="s">
        <v>50</v>
      </c>
    </row>
    <row r="2307" spans="1:10" x14ac:dyDescent="0.25">
      <c r="A2307" t="s">
        <v>7355</v>
      </c>
      <c r="B2307">
        <f>131967.455875171*(1/100/100)</f>
        <v>13.1967455875171</v>
      </c>
      <c r="C2307">
        <v>20201</v>
      </c>
      <c r="D2307" t="s">
        <v>4146</v>
      </c>
      <c r="E2307">
        <v>32141</v>
      </c>
      <c r="F2307" t="s">
        <v>913</v>
      </c>
      <c r="G2307">
        <v>321</v>
      </c>
      <c r="H2307" t="s">
        <v>70</v>
      </c>
      <c r="I2307">
        <v>3</v>
      </c>
      <c r="J2307" t="s">
        <v>50</v>
      </c>
    </row>
    <row r="2308" spans="1:10" x14ac:dyDescent="0.25">
      <c r="A2308" t="s">
        <v>7355</v>
      </c>
      <c r="B2308">
        <f>2670.06497140774*(1/100/100)</f>
        <v>0.26700649714077401</v>
      </c>
      <c r="C2308">
        <v>20202</v>
      </c>
      <c r="D2308" t="s">
        <v>4715</v>
      </c>
      <c r="E2308">
        <v>32139</v>
      </c>
      <c r="F2308" t="s">
        <v>911</v>
      </c>
      <c r="G2308">
        <v>321</v>
      </c>
      <c r="H2308" t="s">
        <v>70</v>
      </c>
      <c r="I2308">
        <v>3</v>
      </c>
      <c r="J2308" t="s">
        <v>50</v>
      </c>
    </row>
    <row r="2309" spans="1:10" x14ac:dyDescent="0.25">
      <c r="A2309" t="s">
        <v>7355</v>
      </c>
      <c r="B2309">
        <f>13682.651628162*(1/100/100)</f>
        <v>1.3682651628162001</v>
      </c>
      <c r="C2309">
        <v>20203</v>
      </c>
      <c r="D2309" t="s">
        <v>4716</v>
      </c>
      <c r="E2309">
        <v>32139</v>
      </c>
      <c r="F2309" t="s">
        <v>911</v>
      </c>
      <c r="G2309">
        <v>321</v>
      </c>
      <c r="H2309" t="s">
        <v>70</v>
      </c>
      <c r="I2309">
        <v>3</v>
      </c>
      <c r="J2309" t="s">
        <v>50</v>
      </c>
    </row>
    <row r="2310" spans="1:10" x14ac:dyDescent="0.25">
      <c r="A2310" t="s">
        <v>7355</v>
      </c>
      <c r="B2310">
        <f>2620.45475706071*(1/100/100)</f>
        <v>0.26204547570607101</v>
      </c>
      <c r="C2310">
        <v>20204</v>
      </c>
      <c r="D2310" t="s">
        <v>4692</v>
      </c>
      <c r="E2310">
        <v>32131</v>
      </c>
      <c r="F2310" t="s">
        <v>907</v>
      </c>
      <c r="G2310">
        <v>321</v>
      </c>
      <c r="H2310" t="s">
        <v>70</v>
      </c>
      <c r="I2310">
        <v>3</v>
      </c>
      <c r="J2310" t="s">
        <v>50</v>
      </c>
    </row>
    <row r="2311" spans="1:10" x14ac:dyDescent="0.25">
      <c r="A2311" t="s">
        <v>7355</v>
      </c>
      <c r="B2311">
        <f>21019.8391739275*(1/100/100)</f>
        <v>2.1019839173927499</v>
      </c>
      <c r="C2311">
        <v>21001</v>
      </c>
      <c r="D2311" t="s">
        <v>3700</v>
      </c>
      <c r="E2311">
        <v>32212</v>
      </c>
      <c r="F2311" t="s">
        <v>922</v>
      </c>
      <c r="G2311">
        <v>322</v>
      </c>
      <c r="H2311" t="s">
        <v>71</v>
      </c>
      <c r="I2311">
        <v>3</v>
      </c>
      <c r="J2311" t="s">
        <v>50</v>
      </c>
    </row>
    <row r="2312" spans="1:10" x14ac:dyDescent="0.25">
      <c r="A2312" t="s">
        <v>7355</v>
      </c>
      <c r="B2312">
        <f>23727.1655613287*(1/100/100)</f>
        <v>2.37271655613287</v>
      </c>
      <c r="C2312">
        <v>21002</v>
      </c>
      <c r="D2312" t="s">
        <v>3345</v>
      </c>
      <c r="E2312">
        <v>32216</v>
      </c>
      <c r="F2312" t="s">
        <v>924</v>
      </c>
      <c r="G2312">
        <v>322</v>
      </c>
      <c r="H2312" t="s">
        <v>71</v>
      </c>
      <c r="I2312">
        <v>3</v>
      </c>
      <c r="J2312" t="s">
        <v>50</v>
      </c>
    </row>
    <row r="2313" spans="1:10" x14ac:dyDescent="0.25">
      <c r="A2313" t="s">
        <v>7355</v>
      </c>
      <c r="B2313">
        <f>37784.2370101324*(1/100/100)</f>
        <v>3.77842370101324</v>
      </c>
      <c r="C2313">
        <v>21003</v>
      </c>
      <c r="D2313" t="s">
        <v>4775</v>
      </c>
      <c r="E2313">
        <v>32212</v>
      </c>
      <c r="F2313" t="s">
        <v>922</v>
      </c>
      <c r="G2313">
        <v>322</v>
      </c>
      <c r="H2313" t="s">
        <v>71</v>
      </c>
      <c r="I2313">
        <v>3</v>
      </c>
      <c r="J2313" t="s">
        <v>50</v>
      </c>
    </row>
    <row r="2314" spans="1:10" x14ac:dyDescent="0.25">
      <c r="A2314" t="s">
        <v>7355</v>
      </c>
      <c r="B2314">
        <f>18492.705451355*(1/100/100)</f>
        <v>1.8492705451355</v>
      </c>
      <c r="C2314">
        <v>21004</v>
      </c>
      <c r="D2314" t="s">
        <v>4776</v>
      </c>
      <c r="E2314">
        <v>32212</v>
      </c>
      <c r="F2314" t="s">
        <v>922</v>
      </c>
      <c r="G2314">
        <v>322</v>
      </c>
      <c r="H2314" t="s">
        <v>71</v>
      </c>
      <c r="I2314">
        <v>3</v>
      </c>
      <c r="J2314" t="s">
        <v>50</v>
      </c>
    </row>
    <row r="2315" spans="1:10" x14ac:dyDescent="0.25">
      <c r="A2315" t="s">
        <v>7355</v>
      </c>
      <c r="B2315">
        <f>122278.283408525*(1/100/100)</f>
        <v>12.227828340852501</v>
      </c>
      <c r="C2315">
        <v>21005</v>
      </c>
      <c r="D2315" t="s">
        <v>916</v>
      </c>
      <c r="E2315">
        <v>32202</v>
      </c>
      <c r="F2315" t="s">
        <v>916</v>
      </c>
      <c r="G2315">
        <v>322</v>
      </c>
      <c r="H2315" t="s">
        <v>71</v>
      </c>
      <c r="I2315">
        <v>3</v>
      </c>
      <c r="J2315" t="s">
        <v>50</v>
      </c>
    </row>
    <row r="2316" spans="1:10" x14ac:dyDescent="0.25">
      <c r="A2316" t="s">
        <v>7355</v>
      </c>
      <c r="B2316">
        <f>24159.7080455558*(1/100/100)</f>
        <v>2.4159708045555801</v>
      </c>
      <c r="C2316">
        <v>21006</v>
      </c>
      <c r="D2316" t="s">
        <v>4777</v>
      </c>
      <c r="E2316">
        <v>32212</v>
      </c>
      <c r="F2316" t="s">
        <v>922</v>
      </c>
      <c r="G2316">
        <v>322</v>
      </c>
      <c r="H2316" t="s">
        <v>71</v>
      </c>
      <c r="I2316">
        <v>3</v>
      </c>
      <c r="J2316" t="s">
        <v>50</v>
      </c>
    </row>
    <row r="2317" spans="1:10" x14ac:dyDescent="0.25">
      <c r="A2317" t="s">
        <v>7355</v>
      </c>
      <c r="B2317">
        <f>17627.8269198674*(1/100/100)</f>
        <v>1.76278269198674</v>
      </c>
      <c r="C2317">
        <v>21007</v>
      </c>
      <c r="D2317" t="s">
        <v>4172</v>
      </c>
      <c r="E2317">
        <v>32209</v>
      </c>
      <c r="F2317" t="s">
        <v>920</v>
      </c>
      <c r="G2317">
        <v>322</v>
      </c>
      <c r="H2317" t="s">
        <v>71</v>
      </c>
      <c r="I2317">
        <v>3</v>
      </c>
      <c r="J2317" t="s">
        <v>50</v>
      </c>
    </row>
    <row r="2318" spans="1:10" x14ac:dyDescent="0.25">
      <c r="A2318" t="s">
        <v>7355</v>
      </c>
      <c r="B2318">
        <f>15387.1121940761*(1/100/100)</f>
        <v>1.53871121940761</v>
      </c>
      <c r="C2318">
        <v>21008</v>
      </c>
      <c r="D2318" t="s">
        <v>3254</v>
      </c>
      <c r="E2318">
        <v>32216</v>
      </c>
      <c r="F2318" t="s">
        <v>924</v>
      </c>
      <c r="G2318">
        <v>322</v>
      </c>
      <c r="H2318" t="s">
        <v>71</v>
      </c>
      <c r="I2318">
        <v>3</v>
      </c>
      <c r="J2318" t="s">
        <v>50</v>
      </c>
    </row>
    <row r="2319" spans="1:10" x14ac:dyDescent="0.25">
      <c r="A2319" t="s">
        <v>7355</v>
      </c>
      <c r="B2319">
        <f>33637.4374800167*(1/100/100)</f>
        <v>3.3637437480016699</v>
      </c>
      <c r="C2319">
        <v>21009</v>
      </c>
      <c r="D2319" t="s">
        <v>4752</v>
      </c>
      <c r="E2319">
        <v>32207</v>
      </c>
      <c r="F2319" t="s">
        <v>919</v>
      </c>
      <c r="G2319">
        <v>322</v>
      </c>
      <c r="H2319" t="s">
        <v>71</v>
      </c>
      <c r="I2319">
        <v>3</v>
      </c>
      <c r="J2319" t="s">
        <v>50</v>
      </c>
    </row>
    <row r="2320" spans="1:10" x14ac:dyDescent="0.25">
      <c r="A2320" t="s">
        <v>7355</v>
      </c>
      <c r="B2320">
        <f>28841.0781913082*(1/100/100)</f>
        <v>2.8841078191308203</v>
      </c>
      <c r="C2320">
        <v>21010</v>
      </c>
      <c r="D2320" t="s">
        <v>4753</v>
      </c>
      <c r="E2320">
        <v>32207</v>
      </c>
      <c r="F2320" t="s">
        <v>919</v>
      </c>
      <c r="G2320">
        <v>322</v>
      </c>
      <c r="H2320" t="s">
        <v>71</v>
      </c>
      <c r="I2320">
        <v>3</v>
      </c>
      <c r="J2320" t="s">
        <v>50</v>
      </c>
    </row>
    <row r="2321" spans="1:10" x14ac:dyDescent="0.25">
      <c r="A2321" t="s">
        <v>7355</v>
      </c>
      <c r="B2321">
        <f>12064.8656474249*(1/100/100)</f>
        <v>1.2064865647424901</v>
      </c>
      <c r="C2321">
        <v>21011</v>
      </c>
      <c r="D2321" t="s">
        <v>4736</v>
      </c>
      <c r="E2321">
        <v>32209</v>
      </c>
      <c r="F2321" t="s">
        <v>920</v>
      </c>
      <c r="G2321">
        <v>322</v>
      </c>
      <c r="H2321" t="s">
        <v>71</v>
      </c>
      <c r="I2321">
        <v>3</v>
      </c>
      <c r="J2321" t="s">
        <v>50</v>
      </c>
    </row>
    <row r="2322" spans="1:10" x14ac:dyDescent="0.25">
      <c r="A2322" t="s">
        <v>7355</v>
      </c>
      <c r="B2322">
        <f>46791.1103496593*(1/100/100)</f>
        <v>4.6791110349659304</v>
      </c>
      <c r="C2322">
        <v>21012</v>
      </c>
      <c r="D2322" t="s">
        <v>3095</v>
      </c>
      <c r="E2322">
        <v>32216</v>
      </c>
      <c r="F2322" t="s">
        <v>924</v>
      </c>
      <c r="G2322">
        <v>322</v>
      </c>
      <c r="H2322" t="s">
        <v>71</v>
      </c>
      <c r="I2322">
        <v>3</v>
      </c>
      <c r="J2322" t="s">
        <v>50</v>
      </c>
    </row>
    <row r="2323" spans="1:10" x14ac:dyDescent="0.25">
      <c r="A2323" t="s">
        <v>7355</v>
      </c>
      <c r="B2323">
        <f>279397.780555203*(1/100/100)</f>
        <v>27.9397780555203</v>
      </c>
      <c r="C2323">
        <v>21013</v>
      </c>
      <c r="D2323" t="s">
        <v>4754</v>
      </c>
      <c r="E2323">
        <v>32207</v>
      </c>
      <c r="F2323" t="s">
        <v>919</v>
      </c>
      <c r="G2323">
        <v>322</v>
      </c>
      <c r="H2323" t="s">
        <v>71</v>
      </c>
      <c r="I2323">
        <v>3</v>
      </c>
      <c r="J2323" t="s">
        <v>50</v>
      </c>
    </row>
    <row r="2324" spans="1:10" x14ac:dyDescent="0.25">
      <c r="A2324" t="s">
        <v>7355</v>
      </c>
      <c r="B2324">
        <f>98000.3225526736*(1/100/100)</f>
        <v>9.8000322552673609</v>
      </c>
      <c r="C2324">
        <v>21014</v>
      </c>
      <c r="D2324" t="s">
        <v>4760</v>
      </c>
      <c r="E2324">
        <v>32209</v>
      </c>
      <c r="F2324" t="s">
        <v>920</v>
      </c>
      <c r="G2324">
        <v>322</v>
      </c>
      <c r="H2324" t="s">
        <v>71</v>
      </c>
      <c r="I2324">
        <v>3</v>
      </c>
      <c r="J2324" t="s">
        <v>50</v>
      </c>
    </row>
    <row r="2325" spans="1:10" x14ac:dyDescent="0.25">
      <c r="A2325" t="s">
        <v>7355</v>
      </c>
      <c r="B2325">
        <f>10719.9122013742*(1/100/100)</f>
        <v>1.07199122013742</v>
      </c>
      <c r="C2325">
        <v>21016</v>
      </c>
      <c r="D2325" t="s">
        <v>4792</v>
      </c>
      <c r="E2325">
        <v>32216</v>
      </c>
      <c r="F2325" t="s">
        <v>924</v>
      </c>
      <c r="G2325">
        <v>322</v>
      </c>
      <c r="H2325" t="s">
        <v>71</v>
      </c>
      <c r="I2325">
        <v>3</v>
      </c>
      <c r="J2325" t="s">
        <v>50</v>
      </c>
    </row>
    <row r="2326" spans="1:10" x14ac:dyDescent="0.25">
      <c r="A2326" t="s">
        <v>7355</v>
      </c>
      <c r="B2326">
        <f>16188.1965532892*(1/100/100)</f>
        <v>1.6188196553289202</v>
      </c>
      <c r="C2326">
        <v>21017</v>
      </c>
      <c r="D2326" t="s">
        <v>4793</v>
      </c>
      <c r="E2326">
        <v>32216</v>
      </c>
      <c r="F2326" t="s">
        <v>924</v>
      </c>
      <c r="G2326">
        <v>322</v>
      </c>
      <c r="H2326" t="s">
        <v>71</v>
      </c>
      <c r="I2326">
        <v>3</v>
      </c>
      <c r="J2326" t="s">
        <v>50</v>
      </c>
    </row>
    <row r="2327" spans="1:10" x14ac:dyDescent="0.25">
      <c r="A2327" t="s">
        <v>7355</v>
      </c>
      <c r="B2327">
        <f>5498.9278879092*(1/100/100)</f>
        <v>0.54989278879091996</v>
      </c>
      <c r="C2327">
        <v>21018</v>
      </c>
      <c r="D2327" t="s">
        <v>4778</v>
      </c>
      <c r="E2327">
        <v>32212</v>
      </c>
      <c r="F2327" t="s">
        <v>922</v>
      </c>
      <c r="G2327">
        <v>322</v>
      </c>
      <c r="H2327" t="s">
        <v>71</v>
      </c>
      <c r="I2327">
        <v>3</v>
      </c>
      <c r="J2327" t="s">
        <v>50</v>
      </c>
    </row>
    <row r="2328" spans="1:10" x14ac:dyDescent="0.25">
      <c r="A2328" t="s">
        <v>7355</v>
      </c>
      <c r="B2328">
        <f>11373.7133746414*(1/100/100)</f>
        <v>1.1373713374641401</v>
      </c>
      <c r="C2328">
        <v>21019</v>
      </c>
      <c r="D2328" t="s">
        <v>4779</v>
      </c>
      <c r="E2328">
        <v>32212</v>
      </c>
      <c r="F2328" t="s">
        <v>922</v>
      </c>
      <c r="G2328">
        <v>322</v>
      </c>
      <c r="H2328" t="s">
        <v>71</v>
      </c>
      <c r="I2328">
        <v>3</v>
      </c>
      <c r="J2328" t="s">
        <v>50</v>
      </c>
    </row>
    <row r="2329" spans="1:10" x14ac:dyDescent="0.25">
      <c r="A2329" t="s">
        <v>7355</v>
      </c>
      <c r="B2329">
        <f>22755.3757911246*(1/100/100)</f>
        <v>2.2755375791124601</v>
      </c>
      <c r="C2329">
        <v>21020</v>
      </c>
      <c r="D2329" t="s">
        <v>4794</v>
      </c>
      <c r="E2329">
        <v>32216</v>
      </c>
      <c r="F2329" t="s">
        <v>924</v>
      </c>
      <c r="G2329">
        <v>322</v>
      </c>
      <c r="H2329" t="s">
        <v>71</v>
      </c>
      <c r="I2329">
        <v>3</v>
      </c>
      <c r="J2329" t="s">
        <v>50</v>
      </c>
    </row>
    <row r="2330" spans="1:10" x14ac:dyDescent="0.25">
      <c r="A2330" t="s">
        <v>7355</v>
      </c>
      <c r="B2330">
        <f>20646.9650709861*(1/100/100)</f>
        <v>2.0646965070986103</v>
      </c>
      <c r="C2330">
        <v>21021</v>
      </c>
      <c r="D2330" t="s">
        <v>4795</v>
      </c>
      <c r="E2330">
        <v>32216</v>
      </c>
      <c r="F2330" t="s">
        <v>924</v>
      </c>
      <c r="G2330">
        <v>322</v>
      </c>
      <c r="H2330" t="s">
        <v>71</v>
      </c>
      <c r="I2330">
        <v>3</v>
      </c>
      <c r="J2330" t="s">
        <v>50</v>
      </c>
    </row>
    <row r="2331" spans="1:10" x14ac:dyDescent="0.25">
      <c r="A2331" t="s">
        <v>7355</v>
      </c>
      <c r="B2331">
        <f>23150.1622457945*(1/100/100)</f>
        <v>2.3150162245794501</v>
      </c>
      <c r="C2331">
        <v>21022</v>
      </c>
      <c r="D2331" t="s">
        <v>4755</v>
      </c>
      <c r="E2331">
        <v>32207</v>
      </c>
      <c r="F2331" t="s">
        <v>919</v>
      </c>
      <c r="G2331">
        <v>322</v>
      </c>
      <c r="H2331" t="s">
        <v>71</v>
      </c>
      <c r="I2331">
        <v>3</v>
      </c>
      <c r="J2331" t="s">
        <v>50</v>
      </c>
    </row>
    <row r="2332" spans="1:10" x14ac:dyDescent="0.25">
      <c r="A2332" t="s">
        <v>7355</v>
      </c>
      <c r="B2332">
        <f>31243.2027612217*(1/100/100)</f>
        <v>3.12432027612217</v>
      </c>
      <c r="C2332">
        <v>21023</v>
      </c>
      <c r="D2332" t="s">
        <v>4796</v>
      </c>
      <c r="E2332">
        <v>32216</v>
      </c>
      <c r="F2332" t="s">
        <v>924</v>
      </c>
      <c r="G2332">
        <v>322</v>
      </c>
      <c r="H2332" t="s">
        <v>71</v>
      </c>
      <c r="I2332">
        <v>3</v>
      </c>
      <c r="J2332" t="s">
        <v>50</v>
      </c>
    </row>
    <row r="2333" spans="1:10" x14ac:dyDescent="0.25">
      <c r="A2333" t="s">
        <v>7355</v>
      </c>
      <c r="B2333">
        <f>36970.5034311168*(1/100/100)</f>
        <v>3.6970503431116799</v>
      </c>
      <c r="C2333">
        <v>21024</v>
      </c>
      <c r="D2333" t="s">
        <v>4780</v>
      </c>
      <c r="E2333">
        <v>32212</v>
      </c>
      <c r="F2333" t="s">
        <v>922</v>
      </c>
      <c r="G2333">
        <v>322</v>
      </c>
      <c r="H2333" t="s">
        <v>71</v>
      </c>
      <c r="I2333">
        <v>3</v>
      </c>
      <c r="J2333" t="s">
        <v>50</v>
      </c>
    </row>
    <row r="2334" spans="1:10" x14ac:dyDescent="0.25">
      <c r="A2334" t="s">
        <v>7355</v>
      </c>
      <c r="B2334">
        <f>32630.0226034285*(1/100/100)</f>
        <v>3.2630022603428501</v>
      </c>
      <c r="C2334">
        <v>21025</v>
      </c>
      <c r="D2334" t="s">
        <v>4797</v>
      </c>
      <c r="E2334">
        <v>32216</v>
      </c>
      <c r="F2334" t="s">
        <v>924</v>
      </c>
      <c r="G2334">
        <v>322</v>
      </c>
      <c r="H2334" t="s">
        <v>71</v>
      </c>
      <c r="I2334">
        <v>3</v>
      </c>
      <c r="J2334" t="s">
        <v>50</v>
      </c>
    </row>
    <row r="2335" spans="1:10" x14ac:dyDescent="0.25">
      <c r="A2335" t="s">
        <v>7355</v>
      </c>
      <c r="B2335">
        <f>29273.8913471984*(1/100/100)</f>
        <v>2.9273891347198404</v>
      </c>
      <c r="C2335">
        <v>21026</v>
      </c>
      <c r="D2335" t="s">
        <v>4798</v>
      </c>
      <c r="E2335">
        <v>32216</v>
      </c>
      <c r="F2335" t="s">
        <v>924</v>
      </c>
      <c r="G2335">
        <v>322</v>
      </c>
      <c r="H2335" t="s">
        <v>71</v>
      </c>
      <c r="I2335">
        <v>3</v>
      </c>
      <c r="J2335" t="s">
        <v>50</v>
      </c>
    </row>
    <row r="2336" spans="1:10" x14ac:dyDescent="0.25">
      <c r="A2336" t="s">
        <v>7355</v>
      </c>
      <c r="B2336">
        <f>30005.8405503946*(1/100/100)</f>
        <v>3.0005840550394605</v>
      </c>
      <c r="C2336">
        <v>21027</v>
      </c>
      <c r="D2336" t="s">
        <v>4799</v>
      </c>
      <c r="E2336">
        <v>32216</v>
      </c>
      <c r="F2336" t="s">
        <v>924</v>
      </c>
      <c r="G2336">
        <v>322</v>
      </c>
      <c r="H2336" t="s">
        <v>71</v>
      </c>
      <c r="I2336">
        <v>3</v>
      </c>
      <c r="J2336" t="s">
        <v>50</v>
      </c>
    </row>
    <row r="2337" spans="1:10" x14ac:dyDescent="0.25">
      <c r="A2337" t="s">
        <v>7355</v>
      </c>
      <c r="B2337">
        <f>29422.9027964731*(1/100/100)</f>
        <v>2.94229027964731</v>
      </c>
      <c r="C2337">
        <v>21028</v>
      </c>
      <c r="D2337" t="s">
        <v>4800</v>
      </c>
      <c r="E2337">
        <v>32216</v>
      </c>
      <c r="F2337" t="s">
        <v>924</v>
      </c>
      <c r="G2337">
        <v>322</v>
      </c>
      <c r="H2337" t="s">
        <v>71</v>
      </c>
      <c r="I2337">
        <v>3</v>
      </c>
      <c r="J2337" t="s">
        <v>50</v>
      </c>
    </row>
    <row r="2338" spans="1:10" x14ac:dyDescent="0.25">
      <c r="A2338" t="s">
        <v>7355</v>
      </c>
      <c r="B2338">
        <f>48375.8949596941*(1/100/100)</f>
        <v>4.8375894959694108</v>
      </c>
      <c r="C2338">
        <v>21029</v>
      </c>
      <c r="D2338" t="s">
        <v>3748</v>
      </c>
      <c r="E2338">
        <v>32209</v>
      </c>
      <c r="F2338" t="s">
        <v>920</v>
      </c>
      <c r="G2338">
        <v>322</v>
      </c>
      <c r="H2338" t="s">
        <v>71</v>
      </c>
      <c r="I2338">
        <v>3</v>
      </c>
      <c r="J2338" t="s">
        <v>50</v>
      </c>
    </row>
    <row r="2339" spans="1:10" x14ac:dyDescent="0.25">
      <c r="A2339" t="s">
        <v>7355</v>
      </c>
      <c r="B2339">
        <f>52598.3095351514*(1/100/100)</f>
        <v>5.2598309535151397</v>
      </c>
      <c r="C2339">
        <v>21030</v>
      </c>
      <c r="D2339" t="s">
        <v>4801</v>
      </c>
      <c r="E2339">
        <v>32216</v>
      </c>
      <c r="F2339" t="s">
        <v>924</v>
      </c>
      <c r="G2339">
        <v>322</v>
      </c>
      <c r="H2339" t="s">
        <v>71</v>
      </c>
      <c r="I2339">
        <v>3</v>
      </c>
      <c r="J2339" t="s">
        <v>50</v>
      </c>
    </row>
    <row r="2340" spans="1:10" x14ac:dyDescent="0.25">
      <c r="A2340" t="s">
        <v>7355</v>
      </c>
      <c r="B2340">
        <f>34082.2377986794*(1/100/100)</f>
        <v>3.4082237798679405</v>
      </c>
      <c r="C2340">
        <v>21031</v>
      </c>
      <c r="D2340" t="s">
        <v>4802</v>
      </c>
      <c r="E2340">
        <v>32216</v>
      </c>
      <c r="F2340" t="s">
        <v>924</v>
      </c>
      <c r="G2340">
        <v>322</v>
      </c>
      <c r="H2340" t="s">
        <v>71</v>
      </c>
      <c r="I2340">
        <v>3</v>
      </c>
      <c r="J2340" t="s">
        <v>50</v>
      </c>
    </row>
    <row r="2341" spans="1:10" x14ac:dyDescent="0.25">
      <c r="A2341" t="s">
        <v>7355</v>
      </c>
      <c r="B2341">
        <f>10316.7264972016*(1/100/100)</f>
        <v>1.03167264972016</v>
      </c>
      <c r="C2341">
        <v>21032</v>
      </c>
      <c r="D2341" t="s">
        <v>4803</v>
      </c>
      <c r="E2341">
        <v>32216</v>
      </c>
      <c r="F2341" t="s">
        <v>924</v>
      </c>
      <c r="G2341">
        <v>322</v>
      </c>
      <c r="H2341" t="s">
        <v>71</v>
      </c>
      <c r="I2341">
        <v>3</v>
      </c>
      <c r="J2341" t="s">
        <v>50</v>
      </c>
    </row>
    <row r="2342" spans="1:10" x14ac:dyDescent="0.25">
      <c r="A2342" t="s">
        <v>7355</v>
      </c>
      <c r="B2342">
        <f>17358.2091610504*(1/100/100)</f>
        <v>1.73582091610504</v>
      </c>
      <c r="C2342">
        <v>21033</v>
      </c>
      <c r="D2342" t="s">
        <v>4804</v>
      </c>
      <c r="E2342">
        <v>32216</v>
      </c>
      <c r="F2342" t="s">
        <v>924</v>
      </c>
      <c r="G2342">
        <v>322</v>
      </c>
      <c r="H2342" t="s">
        <v>71</v>
      </c>
      <c r="I2342">
        <v>3</v>
      </c>
      <c r="J2342" t="s">
        <v>50</v>
      </c>
    </row>
    <row r="2343" spans="1:10" x14ac:dyDescent="0.25">
      <c r="A2343" t="s">
        <v>7355</v>
      </c>
      <c r="B2343">
        <f>41633.1243857736*(1/100/100)</f>
        <v>4.1633124385773597</v>
      </c>
      <c r="C2343">
        <v>21034</v>
      </c>
      <c r="D2343" t="s">
        <v>4781</v>
      </c>
      <c r="E2343">
        <v>32212</v>
      </c>
      <c r="F2343" t="s">
        <v>922</v>
      </c>
      <c r="G2343">
        <v>322</v>
      </c>
      <c r="H2343" t="s">
        <v>71</v>
      </c>
      <c r="I2343">
        <v>3</v>
      </c>
      <c r="J2343" t="s">
        <v>50</v>
      </c>
    </row>
    <row r="2344" spans="1:10" x14ac:dyDescent="0.25">
      <c r="A2344" t="s">
        <v>7355</v>
      </c>
      <c r="B2344">
        <f>16227.3606381884*(1/100/100)</f>
        <v>1.6227360638188402</v>
      </c>
      <c r="C2344">
        <v>21035</v>
      </c>
      <c r="D2344" t="s">
        <v>4782</v>
      </c>
      <c r="E2344">
        <v>32212</v>
      </c>
      <c r="F2344" t="s">
        <v>922</v>
      </c>
      <c r="G2344">
        <v>322</v>
      </c>
      <c r="H2344" t="s">
        <v>71</v>
      </c>
      <c r="I2344">
        <v>3</v>
      </c>
      <c r="J2344" t="s">
        <v>50</v>
      </c>
    </row>
    <row r="2345" spans="1:10" x14ac:dyDescent="0.25">
      <c r="A2345" t="s">
        <v>7355</v>
      </c>
      <c r="B2345">
        <f>28337.5321381777*(1/100/100)</f>
        <v>2.8337532138177699</v>
      </c>
      <c r="C2345">
        <v>21036</v>
      </c>
      <c r="D2345" t="s">
        <v>4805</v>
      </c>
      <c r="E2345">
        <v>32216</v>
      </c>
      <c r="F2345" t="s">
        <v>924</v>
      </c>
      <c r="G2345">
        <v>322</v>
      </c>
      <c r="H2345" t="s">
        <v>71</v>
      </c>
      <c r="I2345">
        <v>3</v>
      </c>
      <c r="J2345" t="s">
        <v>50</v>
      </c>
    </row>
    <row r="2346" spans="1:10" x14ac:dyDescent="0.25">
      <c r="A2346" t="s">
        <v>7355</v>
      </c>
      <c r="B2346">
        <f>6200.39410396739*(1/100/100)</f>
        <v>0.62003941039673904</v>
      </c>
      <c r="C2346">
        <v>21037</v>
      </c>
      <c r="D2346" t="s">
        <v>4806</v>
      </c>
      <c r="E2346">
        <v>32216</v>
      </c>
      <c r="F2346" t="s">
        <v>924</v>
      </c>
      <c r="G2346">
        <v>322</v>
      </c>
      <c r="H2346" t="s">
        <v>71</v>
      </c>
      <c r="I2346">
        <v>3</v>
      </c>
      <c r="J2346" t="s">
        <v>50</v>
      </c>
    </row>
    <row r="2347" spans="1:10" x14ac:dyDescent="0.25">
      <c r="A2347" t="s">
        <v>7355</v>
      </c>
      <c r="B2347">
        <f>133547.856946852*(1/100/100)</f>
        <v>13.354785694685201</v>
      </c>
      <c r="C2347">
        <v>21038</v>
      </c>
      <c r="D2347" t="s">
        <v>924</v>
      </c>
      <c r="E2347">
        <v>32216</v>
      </c>
      <c r="F2347" t="s">
        <v>924</v>
      </c>
      <c r="G2347">
        <v>322</v>
      </c>
      <c r="H2347" t="s">
        <v>71</v>
      </c>
      <c r="I2347">
        <v>3</v>
      </c>
      <c r="J2347" t="s">
        <v>50</v>
      </c>
    </row>
    <row r="2348" spans="1:10" x14ac:dyDescent="0.25">
      <c r="A2348" t="s">
        <v>7355</v>
      </c>
      <c r="B2348">
        <f>39713.4142028394*(1/100/100)</f>
        <v>3.9713414202839399</v>
      </c>
      <c r="C2348">
        <v>21039</v>
      </c>
      <c r="D2348" t="s">
        <v>4807</v>
      </c>
      <c r="E2348">
        <v>32216</v>
      </c>
      <c r="F2348" t="s">
        <v>924</v>
      </c>
      <c r="G2348">
        <v>322</v>
      </c>
      <c r="H2348" t="s">
        <v>71</v>
      </c>
      <c r="I2348">
        <v>3</v>
      </c>
      <c r="J2348" t="s">
        <v>50</v>
      </c>
    </row>
    <row r="2349" spans="1:10" x14ac:dyDescent="0.25">
      <c r="A2349" t="s">
        <v>7355</v>
      </c>
      <c r="B2349">
        <f>9552.62983544151*(1/100/100)</f>
        <v>0.95526298354415107</v>
      </c>
      <c r="C2349">
        <v>21040</v>
      </c>
      <c r="D2349" t="s">
        <v>4783</v>
      </c>
      <c r="E2349">
        <v>32212</v>
      </c>
      <c r="F2349" t="s">
        <v>922</v>
      </c>
      <c r="G2349">
        <v>322</v>
      </c>
      <c r="H2349" t="s">
        <v>71</v>
      </c>
      <c r="I2349">
        <v>3</v>
      </c>
      <c r="J2349" t="s">
        <v>50</v>
      </c>
    </row>
    <row r="2350" spans="1:10" x14ac:dyDescent="0.25">
      <c r="A2350" t="s">
        <v>7355</v>
      </c>
      <c r="B2350">
        <f>26366.6966936722*(1/100/100)</f>
        <v>2.6366696693672198</v>
      </c>
      <c r="C2350">
        <v>21041</v>
      </c>
      <c r="D2350" t="s">
        <v>2612</v>
      </c>
      <c r="E2350">
        <v>32212</v>
      </c>
      <c r="F2350" t="s">
        <v>922</v>
      </c>
      <c r="G2350">
        <v>322</v>
      </c>
      <c r="H2350" t="s">
        <v>71</v>
      </c>
      <c r="I2350">
        <v>3</v>
      </c>
      <c r="J2350" t="s">
        <v>50</v>
      </c>
    </row>
    <row r="2351" spans="1:10" x14ac:dyDescent="0.25">
      <c r="A2351" t="s">
        <v>7355</v>
      </c>
      <c r="B2351">
        <f>31858.7567477086*(1/100/100)</f>
        <v>3.1858756747708603</v>
      </c>
      <c r="C2351">
        <v>21042</v>
      </c>
      <c r="D2351" t="s">
        <v>4808</v>
      </c>
      <c r="E2351">
        <v>32216</v>
      </c>
      <c r="F2351" t="s">
        <v>924</v>
      </c>
      <c r="G2351">
        <v>322</v>
      </c>
      <c r="H2351" t="s">
        <v>71</v>
      </c>
      <c r="I2351">
        <v>3</v>
      </c>
      <c r="J2351" t="s">
        <v>50</v>
      </c>
    </row>
    <row r="2352" spans="1:10" x14ac:dyDescent="0.25">
      <c r="A2352" t="s">
        <v>7355</v>
      </c>
      <c r="B2352">
        <f>9714.54609799483*(1/100/100)</f>
        <v>0.97145460979948295</v>
      </c>
      <c r="C2352">
        <v>21044</v>
      </c>
      <c r="D2352" t="s">
        <v>4784</v>
      </c>
      <c r="E2352">
        <v>32212</v>
      </c>
      <c r="F2352" t="s">
        <v>922</v>
      </c>
      <c r="G2352">
        <v>322</v>
      </c>
      <c r="H2352" t="s">
        <v>71</v>
      </c>
      <c r="I2352">
        <v>3</v>
      </c>
      <c r="J2352" t="s">
        <v>50</v>
      </c>
    </row>
    <row r="2353" spans="1:10" x14ac:dyDescent="0.25">
      <c r="A2353" t="s">
        <v>7355</v>
      </c>
      <c r="B2353">
        <f>29094.5370205674*(1/100/100)</f>
        <v>2.9094537020567404</v>
      </c>
      <c r="C2353">
        <v>21045</v>
      </c>
      <c r="D2353" t="s">
        <v>4809</v>
      </c>
      <c r="E2353">
        <v>32216</v>
      </c>
      <c r="F2353" t="s">
        <v>924</v>
      </c>
      <c r="G2353">
        <v>322</v>
      </c>
      <c r="H2353" t="s">
        <v>71</v>
      </c>
      <c r="I2353">
        <v>3</v>
      </c>
      <c r="J2353" t="s">
        <v>50</v>
      </c>
    </row>
    <row r="2354" spans="1:10" x14ac:dyDescent="0.25">
      <c r="A2354" t="s">
        <v>7355</v>
      </c>
      <c r="B2354">
        <f>29604.7240501082*(1/100/100)</f>
        <v>2.9604724050108202</v>
      </c>
      <c r="C2354">
        <v>21046</v>
      </c>
      <c r="D2354" t="s">
        <v>4761</v>
      </c>
      <c r="E2354">
        <v>32209</v>
      </c>
      <c r="F2354" t="s">
        <v>920</v>
      </c>
      <c r="G2354">
        <v>322</v>
      </c>
      <c r="H2354" t="s">
        <v>71</v>
      </c>
      <c r="I2354">
        <v>3</v>
      </c>
      <c r="J2354" t="s">
        <v>50</v>
      </c>
    </row>
    <row r="2355" spans="1:10" x14ac:dyDescent="0.25">
      <c r="A2355" t="s">
        <v>7355</v>
      </c>
      <c r="B2355">
        <f>29509.4627227767*(1/100/100)</f>
        <v>2.9509462722776703</v>
      </c>
      <c r="C2355">
        <v>21048</v>
      </c>
      <c r="D2355" t="s">
        <v>4785</v>
      </c>
      <c r="E2355">
        <v>32212</v>
      </c>
      <c r="F2355" t="s">
        <v>922</v>
      </c>
      <c r="G2355">
        <v>322</v>
      </c>
      <c r="H2355" t="s">
        <v>71</v>
      </c>
      <c r="I2355">
        <v>3</v>
      </c>
      <c r="J2355" t="s">
        <v>50</v>
      </c>
    </row>
    <row r="2356" spans="1:10" x14ac:dyDescent="0.25">
      <c r="A2356" t="s">
        <v>7355</v>
      </c>
      <c r="B2356">
        <f>20213.0541530763*(1/100/100)</f>
        <v>2.02130541530763</v>
      </c>
      <c r="C2356">
        <v>21049</v>
      </c>
      <c r="D2356" t="s">
        <v>4756</v>
      </c>
      <c r="E2356">
        <v>32207</v>
      </c>
      <c r="F2356" t="s">
        <v>919</v>
      </c>
      <c r="G2356">
        <v>322</v>
      </c>
      <c r="H2356" t="s">
        <v>71</v>
      </c>
      <c r="I2356">
        <v>3</v>
      </c>
      <c r="J2356" t="s">
        <v>50</v>
      </c>
    </row>
    <row r="2357" spans="1:10" x14ac:dyDescent="0.25">
      <c r="A2357" t="s">
        <v>7355</v>
      </c>
      <c r="B2357">
        <f>34677.1190404154*(1/100/100)</f>
        <v>3.4677119040415398</v>
      </c>
      <c r="C2357">
        <v>21050</v>
      </c>
      <c r="D2357" t="s">
        <v>4810</v>
      </c>
      <c r="E2357">
        <v>32216</v>
      </c>
      <c r="F2357" t="s">
        <v>924</v>
      </c>
      <c r="G2357">
        <v>322</v>
      </c>
      <c r="H2357" t="s">
        <v>71</v>
      </c>
      <c r="I2357">
        <v>3</v>
      </c>
      <c r="J2357" t="s">
        <v>50</v>
      </c>
    </row>
    <row r="2358" spans="1:10" x14ac:dyDescent="0.25">
      <c r="A2358" t="s">
        <v>7355</v>
      </c>
      <c r="B2358">
        <f>27390.0649761101*(1/100/100)</f>
        <v>2.7390064976110104</v>
      </c>
      <c r="C2358">
        <v>21051</v>
      </c>
      <c r="D2358" t="s">
        <v>3301</v>
      </c>
      <c r="E2358">
        <v>32216</v>
      </c>
      <c r="F2358" t="s">
        <v>924</v>
      </c>
      <c r="G2358">
        <v>322</v>
      </c>
      <c r="H2358" t="s">
        <v>71</v>
      </c>
      <c r="I2358">
        <v>3</v>
      </c>
      <c r="J2358" t="s">
        <v>50</v>
      </c>
    </row>
    <row r="2359" spans="1:10" x14ac:dyDescent="0.25">
      <c r="A2359" t="s">
        <v>7355</v>
      </c>
      <c r="B2359">
        <f>45721.9773972226*(1/100/100)</f>
        <v>4.5721977397222604</v>
      </c>
      <c r="C2359">
        <v>21052</v>
      </c>
      <c r="D2359" t="s">
        <v>4762</v>
      </c>
      <c r="E2359">
        <v>32209</v>
      </c>
      <c r="F2359" t="s">
        <v>920</v>
      </c>
      <c r="G2359">
        <v>322</v>
      </c>
      <c r="H2359" t="s">
        <v>71</v>
      </c>
      <c r="I2359">
        <v>3</v>
      </c>
      <c r="J2359" t="s">
        <v>50</v>
      </c>
    </row>
    <row r="2360" spans="1:10" x14ac:dyDescent="0.25">
      <c r="A2360" t="s">
        <v>7355</v>
      </c>
      <c r="B2360">
        <f>24104.340785707*(1/100/100)</f>
        <v>2.4104340785707001</v>
      </c>
      <c r="C2360">
        <v>21053</v>
      </c>
      <c r="D2360" t="s">
        <v>4763</v>
      </c>
      <c r="E2360">
        <v>32209</v>
      </c>
      <c r="F2360" t="s">
        <v>920</v>
      </c>
      <c r="G2360">
        <v>322</v>
      </c>
      <c r="H2360" t="s">
        <v>71</v>
      </c>
      <c r="I2360">
        <v>3</v>
      </c>
      <c r="J2360" t="s">
        <v>50</v>
      </c>
    </row>
    <row r="2361" spans="1:10" x14ac:dyDescent="0.25">
      <c r="A2361" t="s">
        <v>7355</v>
      </c>
      <c r="B2361">
        <f>4631.86406953393*(1/100/100)</f>
        <v>0.46318640695339303</v>
      </c>
      <c r="C2361">
        <v>21054</v>
      </c>
      <c r="D2361" t="s">
        <v>4811</v>
      </c>
      <c r="E2361">
        <v>32216</v>
      </c>
      <c r="F2361" t="s">
        <v>924</v>
      </c>
      <c r="G2361">
        <v>322</v>
      </c>
      <c r="H2361" t="s">
        <v>71</v>
      </c>
      <c r="I2361">
        <v>3</v>
      </c>
      <c r="J2361" t="s">
        <v>50</v>
      </c>
    </row>
    <row r="2362" spans="1:10" x14ac:dyDescent="0.25">
      <c r="A2362" t="s">
        <v>7355</v>
      </c>
      <c r="B2362">
        <f>16596.845300905*(1/100/100)</f>
        <v>1.6596845300904999</v>
      </c>
      <c r="C2362">
        <v>21055</v>
      </c>
      <c r="D2362" t="s">
        <v>4786</v>
      </c>
      <c r="E2362">
        <v>32212</v>
      </c>
      <c r="F2362" t="s">
        <v>922</v>
      </c>
      <c r="G2362">
        <v>322</v>
      </c>
      <c r="H2362" t="s">
        <v>71</v>
      </c>
      <c r="I2362">
        <v>3</v>
      </c>
      <c r="J2362" t="s">
        <v>50</v>
      </c>
    </row>
    <row r="2363" spans="1:10" x14ac:dyDescent="0.25">
      <c r="A2363" t="s">
        <v>7355</v>
      </c>
      <c r="B2363">
        <f>40178.4920888403*(1/100/100)</f>
        <v>4.0178492088840301</v>
      </c>
      <c r="C2363">
        <v>21056</v>
      </c>
      <c r="D2363" t="s">
        <v>4812</v>
      </c>
      <c r="E2363">
        <v>32216</v>
      </c>
      <c r="F2363" t="s">
        <v>924</v>
      </c>
      <c r="G2363">
        <v>322</v>
      </c>
      <c r="H2363" t="s">
        <v>71</v>
      </c>
      <c r="I2363">
        <v>3</v>
      </c>
      <c r="J2363" t="s">
        <v>50</v>
      </c>
    </row>
    <row r="2364" spans="1:10" x14ac:dyDescent="0.25">
      <c r="A2364" t="s">
        <v>7355</v>
      </c>
      <c r="B2364">
        <f>26040.2213426769*(1/100/100)</f>
        <v>2.6040221342676904</v>
      </c>
      <c r="C2364">
        <v>21057</v>
      </c>
      <c r="D2364" t="s">
        <v>4813</v>
      </c>
      <c r="E2364">
        <v>32216</v>
      </c>
      <c r="F2364" t="s">
        <v>924</v>
      </c>
      <c r="G2364">
        <v>322</v>
      </c>
      <c r="H2364" t="s">
        <v>71</v>
      </c>
      <c r="I2364">
        <v>3</v>
      </c>
      <c r="J2364" t="s">
        <v>50</v>
      </c>
    </row>
    <row r="2365" spans="1:10" x14ac:dyDescent="0.25">
      <c r="A2365" t="s">
        <v>7355</v>
      </c>
      <c r="B2365">
        <f>32355.7464490788*(1/100/100)</f>
        <v>3.2355746449078802</v>
      </c>
      <c r="C2365">
        <v>21058</v>
      </c>
      <c r="D2365" t="s">
        <v>4757</v>
      </c>
      <c r="E2365">
        <v>32207</v>
      </c>
      <c r="F2365" t="s">
        <v>919</v>
      </c>
      <c r="G2365">
        <v>322</v>
      </c>
      <c r="H2365" t="s">
        <v>71</v>
      </c>
      <c r="I2365">
        <v>3</v>
      </c>
      <c r="J2365" t="s">
        <v>50</v>
      </c>
    </row>
    <row r="2366" spans="1:10" x14ac:dyDescent="0.25">
      <c r="A2366" t="s">
        <v>7355</v>
      </c>
      <c r="B2366">
        <f>42693.1850434751*(1/100/100)</f>
        <v>4.2693185043475106</v>
      </c>
      <c r="C2366">
        <v>21059</v>
      </c>
      <c r="D2366" t="s">
        <v>3269</v>
      </c>
      <c r="E2366">
        <v>32216</v>
      </c>
      <c r="F2366" t="s">
        <v>924</v>
      </c>
      <c r="G2366">
        <v>322</v>
      </c>
      <c r="H2366" t="s">
        <v>71</v>
      </c>
      <c r="I2366">
        <v>3</v>
      </c>
      <c r="J2366" t="s">
        <v>50</v>
      </c>
    </row>
    <row r="2367" spans="1:10" x14ac:dyDescent="0.25">
      <c r="A2367" t="s">
        <v>7355</v>
      </c>
      <c r="B2367">
        <f>32840.9494565494*(1/100/100)</f>
        <v>3.2840949456549402</v>
      </c>
      <c r="C2367">
        <v>21060</v>
      </c>
      <c r="D2367" t="s">
        <v>4758</v>
      </c>
      <c r="E2367">
        <v>32207</v>
      </c>
      <c r="F2367" t="s">
        <v>919</v>
      </c>
      <c r="G2367">
        <v>322</v>
      </c>
      <c r="H2367" t="s">
        <v>71</v>
      </c>
      <c r="I2367">
        <v>3</v>
      </c>
      <c r="J2367" t="s">
        <v>50</v>
      </c>
    </row>
    <row r="2368" spans="1:10" x14ac:dyDescent="0.25">
      <c r="A2368" t="s">
        <v>7355</v>
      </c>
      <c r="B2368">
        <f>14173.2519340467*(1/100/100)</f>
        <v>1.4173251934046702</v>
      </c>
      <c r="C2368">
        <v>21062</v>
      </c>
      <c r="D2368" t="s">
        <v>3341</v>
      </c>
      <c r="E2368">
        <v>32216</v>
      </c>
      <c r="F2368" t="s">
        <v>924</v>
      </c>
      <c r="G2368">
        <v>322</v>
      </c>
      <c r="H2368" t="s">
        <v>71</v>
      </c>
      <c r="I2368">
        <v>3</v>
      </c>
      <c r="J2368" t="s">
        <v>50</v>
      </c>
    </row>
    <row r="2369" spans="1:10" x14ac:dyDescent="0.25">
      <c r="A2369" t="s">
        <v>7355</v>
      </c>
      <c r="B2369">
        <f>28863.8810335504*(1/100/100)</f>
        <v>2.8863881033550398</v>
      </c>
      <c r="C2369">
        <v>21063</v>
      </c>
      <c r="D2369" t="s">
        <v>4759</v>
      </c>
      <c r="E2369">
        <v>32207</v>
      </c>
      <c r="F2369" t="s">
        <v>919</v>
      </c>
      <c r="G2369">
        <v>322</v>
      </c>
      <c r="H2369" t="s">
        <v>71</v>
      </c>
      <c r="I2369">
        <v>3</v>
      </c>
      <c r="J2369" t="s">
        <v>50</v>
      </c>
    </row>
    <row r="2370" spans="1:10" x14ac:dyDescent="0.25">
      <c r="A2370" t="s">
        <v>7355</v>
      </c>
      <c r="B2370">
        <f>2618.47421276726*(1/100/100)</f>
        <v>0.261847421276726</v>
      </c>
      <c r="C2370">
        <v>21064</v>
      </c>
      <c r="D2370" t="s">
        <v>4814</v>
      </c>
      <c r="E2370">
        <v>32216</v>
      </c>
      <c r="F2370" t="s">
        <v>924</v>
      </c>
      <c r="G2370">
        <v>322</v>
      </c>
      <c r="H2370" t="s">
        <v>71</v>
      </c>
      <c r="I2370">
        <v>3</v>
      </c>
      <c r="J2370" t="s">
        <v>50</v>
      </c>
    </row>
    <row r="2371" spans="1:10" x14ac:dyDescent="0.25">
      <c r="A2371" t="s">
        <v>7355</v>
      </c>
      <c r="B2371">
        <f>14952.6261930776*(1/100/100)</f>
        <v>1.4952626193077601</v>
      </c>
      <c r="C2371">
        <v>21065</v>
      </c>
      <c r="D2371" t="s">
        <v>4815</v>
      </c>
      <c r="E2371">
        <v>32216</v>
      </c>
      <c r="F2371" t="s">
        <v>924</v>
      </c>
      <c r="G2371">
        <v>322</v>
      </c>
      <c r="H2371" t="s">
        <v>71</v>
      </c>
      <c r="I2371">
        <v>3</v>
      </c>
      <c r="J2371" t="s">
        <v>50</v>
      </c>
    </row>
    <row r="2372" spans="1:10" x14ac:dyDescent="0.25">
      <c r="A2372" t="s">
        <v>7355</v>
      </c>
      <c r="B2372">
        <f>23156.4151944578*(1/100/100)</f>
        <v>2.31564151944578</v>
      </c>
      <c r="C2372">
        <v>21066</v>
      </c>
      <c r="D2372" t="s">
        <v>4816</v>
      </c>
      <c r="E2372">
        <v>32216</v>
      </c>
      <c r="F2372" t="s">
        <v>924</v>
      </c>
      <c r="G2372">
        <v>322</v>
      </c>
      <c r="H2372" t="s">
        <v>71</v>
      </c>
      <c r="I2372">
        <v>3</v>
      </c>
      <c r="J2372" t="s">
        <v>50</v>
      </c>
    </row>
    <row r="2373" spans="1:10" x14ac:dyDescent="0.25">
      <c r="A2373" t="s">
        <v>7355</v>
      </c>
      <c r="B2373">
        <f>27940.0167664857*(1/100/100)</f>
        <v>2.7940016766485702</v>
      </c>
      <c r="C2373">
        <v>21067</v>
      </c>
      <c r="D2373" t="s">
        <v>4817</v>
      </c>
      <c r="E2373">
        <v>32216</v>
      </c>
      <c r="F2373" t="s">
        <v>924</v>
      </c>
      <c r="G2373">
        <v>322</v>
      </c>
      <c r="H2373" t="s">
        <v>71</v>
      </c>
      <c r="I2373">
        <v>3</v>
      </c>
      <c r="J2373" t="s">
        <v>50</v>
      </c>
    </row>
    <row r="2374" spans="1:10" x14ac:dyDescent="0.25">
      <c r="A2374" t="s">
        <v>7355</v>
      </c>
      <c r="B2374">
        <f>22096.7990052429*(1/100/100)</f>
        <v>2.2096799005242902</v>
      </c>
      <c r="C2374">
        <v>21068</v>
      </c>
      <c r="D2374" t="s">
        <v>3381</v>
      </c>
      <c r="E2374">
        <v>32209</v>
      </c>
      <c r="F2374" t="s">
        <v>920</v>
      </c>
      <c r="G2374">
        <v>322</v>
      </c>
      <c r="H2374" t="s">
        <v>71</v>
      </c>
      <c r="I2374">
        <v>3</v>
      </c>
      <c r="J2374" t="s">
        <v>50</v>
      </c>
    </row>
    <row r="2375" spans="1:10" x14ac:dyDescent="0.25">
      <c r="A2375" t="s">
        <v>7355</v>
      </c>
      <c r="B2375">
        <f>44946.4131740733*(1/100/100)</f>
        <v>4.4946413174073303</v>
      </c>
      <c r="C2375">
        <v>21069</v>
      </c>
      <c r="D2375" t="s">
        <v>4764</v>
      </c>
      <c r="E2375">
        <v>32209</v>
      </c>
      <c r="F2375" t="s">
        <v>920</v>
      </c>
      <c r="G2375">
        <v>322</v>
      </c>
      <c r="H2375" t="s">
        <v>71</v>
      </c>
      <c r="I2375">
        <v>3</v>
      </c>
      <c r="J2375" t="s">
        <v>50</v>
      </c>
    </row>
    <row r="2376" spans="1:10" x14ac:dyDescent="0.25">
      <c r="A2376" t="s">
        <v>7355</v>
      </c>
      <c r="B2376">
        <f>42844.7071521996*(1/100/100)</f>
        <v>4.2844707152199595</v>
      </c>
      <c r="C2376">
        <v>21070</v>
      </c>
      <c r="D2376" t="s">
        <v>4765</v>
      </c>
      <c r="E2376">
        <v>32209</v>
      </c>
      <c r="F2376" t="s">
        <v>920</v>
      </c>
      <c r="G2376">
        <v>322</v>
      </c>
      <c r="H2376" t="s">
        <v>71</v>
      </c>
      <c r="I2376">
        <v>3</v>
      </c>
      <c r="J2376" t="s">
        <v>50</v>
      </c>
    </row>
    <row r="2377" spans="1:10" x14ac:dyDescent="0.25">
      <c r="A2377" t="s">
        <v>7355</v>
      </c>
      <c r="B2377">
        <f>25159.8718906598*(1/100/100)</f>
        <v>2.5159871890659802</v>
      </c>
      <c r="C2377">
        <v>21071</v>
      </c>
      <c r="D2377" t="s">
        <v>4766</v>
      </c>
      <c r="E2377">
        <v>32209</v>
      </c>
      <c r="F2377" t="s">
        <v>920</v>
      </c>
      <c r="G2377">
        <v>322</v>
      </c>
      <c r="H2377" t="s">
        <v>71</v>
      </c>
      <c r="I2377">
        <v>3</v>
      </c>
      <c r="J2377" t="s">
        <v>50</v>
      </c>
    </row>
    <row r="2378" spans="1:10" x14ac:dyDescent="0.25">
      <c r="A2378" t="s">
        <v>7355</v>
      </c>
      <c r="B2378">
        <f>33838.1995726726*(1/100/100)</f>
        <v>3.3838199572672605</v>
      </c>
      <c r="C2378">
        <v>21101</v>
      </c>
      <c r="D2378" t="s">
        <v>4834</v>
      </c>
      <c r="E2378">
        <v>32220</v>
      </c>
      <c r="F2378" t="s">
        <v>71</v>
      </c>
      <c r="G2378">
        <v>322</v>
      </c>
      <c r="H2378" t="s">
        <v>71</v>
      </c>
      <c r="I2378">
        <v>3</v>
      </c>
      <c r="J2378" t="s">
        <v>50</v>
      </c>
    </row>
    <row r="2379" spans="1:10" x14ac:dyDescent="0.25">
      <c r="A2379" t="s">
        <v>7355</v>
      </c>
      <c r="B2379">
        <f>26324.9857646649*(1/100/100)</f>
        <v>2.6324985764664901</v>
      </c>
      <c r="C2379">
        <v>21103</v>
      </c>
      <c r="D2379" t="s">
        <v>4787</v>
      </c>
      <c r="E2379">
        <v>32214</v>
      </c>
      <c r="F2379" t="s">
        <v>923</v>
      </c>
      <c r="G2379">
        <v>322</v>
      </c>
      <c r="H2379" t="s">
        <v>71</v>
      </c>
      <c r="I2379">
        <v>3</v>
      </c>
      <c r="J2379" t="s">
        <v>50</v>
      </c>
    </row>
    <row r="2380" spans="1:10" x14ac:dyDescent="0.25">
      <c r="A2380" t="s">
        <v>7355</v>
      </c>
      <c r="B2380">
        <f>20846.507798288*(1/100/100)</f>
        <v>2.0846507798288001</v>
      </c>
      <c r="C2380">
        <v>21104</v>
      </c>
      <c r="D2380" t="s">
        <v>4788</v>
      </c>
      <c r="E2380">
        <v>32214</v>
      </c>
      <c r="F2380" t="s">
        <v>923</v>
      </c>
      <c r="G2380">
        <v>322</v>
      </c>
      <c r="H2380" t="s">
        <v>71</v>
      </c>
      <c r="I2380">
        <v>3</v>
      </c>
      <c r="J2380" t="s">
        <v>50</v>
      </c>
    </row>
    <row r="2381" spans="1:10" x14ac:dyDescent="0.25">
      <c r="A2381" t="s">
        <v>7355</v>
      </c>
      <c r="B2381">
        <f>16220.5414308303*(1/100/100)</f>
        <v>1.6220541430830302</v>
      </c>
      <c r="C2381">
        <v>21105</v>
      </c>
      <c r="D2381" t="s">
        <v>4735</v>
      </c>
      <c r="E2381">
        <v>32203</v>
      </c>
      <c r="F2381" t="s">
        <v>917</v>
      </c>
      <c r="G2381">
        <v>322</v>
      </c>
      <c r="H2381" t="s">
        <v>71</v>
      </c>
      <c r="I2381">
        <v>3</v>
      </c>
      <c r="J2381" t="s">
        <v>50</v>
      </c>
    </row>
    <row r="2382" spans="1:10" x14ac:dyDescent="0.25">
      <c r="A2382" t="s">
        <v>7355</v>
      </c>
      <c r="B2382">
        <f>40260.0620192991*(1/100/100)</f>
        <v>4.0260062019299099</v>
      </c>
      <c r="C2382">
        <v>21106</v>
      </c>
      <c r="D2382" t="s">
        <v>4842</v>
      </c>
      <c r="E2382">
        <v>32221</v>
      </c>
      <c r="F2382" t="s">
        <v>927</v>
      </c>
      <c r="G2382">
        <v>322</v>
      </c>
      <c r="H2382" t="s">
        <v>71</v>
      </c>
      <c r="I2382">
        <v>3</v>
      </c>
      <c r="J2382" t="s">
        <v>50</v>
      </c>
    </row>
    <row r="2383" spans="1:10" x14ac:dyDescent="0.25">
      <c r="A2383" t="s">
        <v>7355</v>
      </c>
      <c r="B2383">
        <f>36315.1199132004*(1/100/100)</f>
        <v>3.63151199132004</v>
      </c>
      <c r="C2383">
        <v>21107</v>
      </c>
      <c r="D2383" t="s">
        <v>801</v>
      </c>
      <c r="E2383">
        <v>32221</v>
      </c>
      <c r="F2383" t="s">
        <v>927</v>
      </c>
      <c r="G2383">
        <v>322</v>
      </c>
      <c r="H2383" t="s">
        <v>71</v>
      </c>
      <c r="I2383">
        <v>3</v>
      </c>
      <c r="J2383" t="s">
        <v>50</v>
      </c>
    </row>
    <row r="2384" spans="1:10" x14ac:dyDescent="0.25">
      <c r="A2384" t="s">
        <v>7355</v>
      </c>
      <c r="B2384">
        <f>129032.274763038*(1/100/100)</f>
        <v>12.903227476303801</v>
      </c>
      <c r="C2384">
        <v>21108</v>
      </c>
      <c r="D2384" t="s">
        <v>917</v>
      </c>
      <c r="E2384">
        <v>32203</v>
      </c>
      <c r="F2384" t="s">
        <v>917</v>
      </c>
      <c r="G2384">
        <v>322</v>
      </c>
      <c r="H2384" t="s">
        <v>71</v>
      </c>
      <c r="I2384">
        <v>3</v>
      </c>
      <c r="J2384" t="s">
        <v>50</v>
      </c>
    </row>
    <row r="2385" spans="1:10" x14ac:dyDescent="0.25">
      <c r="A2385" t="s">
        <v>7355</v>
      </c>
      <c r="B2385">
        <f>26639.1019824921*(1/100/100)</f>
        <v>2.6639101982492099</v>
      </c>
      <c r="C2385">
        <v>21109</v>
      </c>
      <c r="D2385" t="s">
        <v>4843</v>
      </c>
      <c r="E2385">
        <v>32221</v>
      </c>
      <c r="F2385" t="s">
        <v>927</v>
      </c>
      <c r="G2385">
        <v>322</v>
      </c>
      <c r="H2385" t="s">
        <v>71</v>
      </c>
      <c r="I2385">
        <v>3</v>
      </c>
      <c r="J2385" t="s">
        <v>50</v>
      </c>
    </row>
    <row r="2386" spans="1:10" x14ac:dyDescent="0.25">
      <c r="A2386" t="s">
        <v>7355</v>
      </c>
      <c r="B2386">
        <f>8116.626392031*(1/100/100)</f>
        <v>0.81166263920310011</v>
      </c>
      <c r="C2386">
        <v>21110</v>
      </c>
      <c r="D2386" t="s">
        <v>4858</v>
      </c>
      <c r="E2386">
        <v>32223</v>
      </c>
      <c r="F2386" t="s">
        <v>929</v>
      </c>
      <c r="G2386">
        <v>322</v>
      </c>
      <c r="H2386" t="s">
        <v>71</v>
      </c>
      <c r="I2386">
        <v>3</v>
      </c>
      <c r="J2386" t="s">
        <v>50</v>
      </c>
    </row>
    <row r="2387" spans="1:10" x14ac:dyDescent="0.25">
      <c r="A2387" t="s">
        <v>7355</v>
      </c>
      <c r="B2387">
        <f>19477.7573284558*(1/100/100)</f>
        <v>1.94777573284558</v>
      </c>
      <c r="C2387">
        <v>21111</v>
      </c>
      <c r="D2387" t="s">
        <v>4818</v>
      </c>
      <c r="E2387">
        <v>32217</v>
      </c>
      <c r="F2387" t="s">
        <v>925</v>
      </c>
      <c r="G2387">
        <v>322</v>
      </c>
      <c r="H2387" t="s">
        <v>71</v>
      </c>
      <c r="I2387">
        <v>3</v>
      </c>
      <c r="J2387" t="s">
        <v>50</v>
      </c>
    </row>
    <row r="2388" spans="1:10" x14ac:dyDescent="0.25">
      <c r="A2388" t="s">
        <v>7355</v>
      </c>
      <c r="B2388">
        <f>12711.5374071893*(1/100/100)</f>
        <v>1.2711537407189302</v>
      </c>
      <c r="C2388">
        <v>21112</v>
      </c>
      <c r="D2388" t="s">
        <v>4789</v>
      </c>
      <c r="E2388">
        <v>32214</v>
      </c>
      <c r="F2388" t="s">
        <v>923</v>
      </c>
      <c r="G2388">
        <v>322</v>
      </c>
      <c r="H2388" t="s">
        <v>71</v>
      </c>
      <c r="I2388">
        <v>3</v>
      </c>
      <c r="J2388" t="s">
        <v>50</v>
      </c>
    </row>
    <row r="2389" spans="1:10" x14ac:dyDescent="0.25">
      <c r="A2389" t="s">
        <v>7355</v>
      </c>
      <c r="B2389">
        <f>34732.6589826499*(1/100/100)</f>
        <v>3.47326589826499</v>
      </c>
      <c r="C2389">
        <v>21113</v>
      </c>
      <c r="D2389" t="s">
        <v>4767</v>
      </c>
      <c r="E2389">
        <v>32210</v>
      </c>
      <c r="F2389" t="s">
        <v>921</v>
      </c>
      <c r="G2389">
        <v>322</v>
      </c>
      <c r="H2389" t="s">
        <v>71</v>
      </c>
      <c r="I2389">
        <v>3</v>
      </c>
      <c r="J2389" t="s">
        <v>50</v>
      </c>
    </row>
    <row r="2390" spans="1:10" x14ac:dyDescent="0.25">
      <c r="A2390" t="s">
        <v>7355</v>
      </c>
      <c r="B2390">
        <f>26871.9929819927*(1/100/100)</f>
        <v>2.6871992981992698</v>
      </c>
      <c r="C2390">
        <v>21114</v>
      </c>
      <c r="D2390" t="s">
        <v>698</v>
      </c>
      <c r="E2390">
        <v>32219</v>
      </c>
      <c r="F2390" t="s">
        <v>926</v>
      </c>
      <c r="G2390">
        <v>322</v>
      </c>
      <c r="H2390" t="s">
        <v>71</v>
      </c>
      <c r="I2390">
        <v>3</v>
      </c>
      <c r="J2390" t="s">
        <v>50</v>
      </c>
    </row>
    <row r="2391" spans="1:10" x14ac:dyDescent="0.25">
      <c r="A2391" t="s">
        <v>7355</v>
      </c>
      <c r="B2391">
        <f>17973.15421262*(1/100/100)</f>
        <v>1.7973154212620002</v>
      </c>
      <c r="C2391">
        <v>21115</v>
      </c>
      <c r="D2391" t="s">
        <v>4852</v>
      </c>
      <c r="E2391">
        <v>32222</v>
      </c>
      <c r="F2391" t="s">
        <v>928</v>
      </c>
      <c r="G2391">
        <v>322</v>
      </c>
      <c r="H2391" t="s">
        <v>71</v>
      </c>
      <c r="I2391">
        <v>3</v>
      </c>
      <c r="J2391" t="s">
        <v>50</v>
      </c>
    </row>
    <row r="2392" spans="1:10" x14ac:dyDescent="0.25">
      <c r="A2392" t="s">
        <v>7355</v>
      </c>
      <c r="B2392">
        <f>37897.5960151308*(1/100/100)</f>
        <v>3.7897596015130803</v>
      </c>
      <c r="C2392">
        <v>21116</v>
      </c>
      <c r="D2392" t="s">
        <v>4744</v>
      </c>
      <c r="E2392">
        <v>32206</v>
      </c>
      <c r="F2392" t="s">
        <v>918</v>
      </c>
      <c r="G2392">
        <v>322</v>
      </c>
      <c r="H2392" t="s">
        <v>71</v>
      </c>
      <c r="I2392">
        <v>3</v>
      </c>
      <c r="J2392" t="s">
        <v>50</v>
      </c>
    </row>
    <row r="2393" spans="1:10" x14ac:dyDescent="0.25">
      <c r="A2393" t="s">
        <v>7355</v>
      </c>
      <c r="B2393">
        <f>29181.9580117579*(1/100/100)</f>
        <v>2.91819580117579</v>
      </c>
      <c r="C2393">
        <v>21117</v>
      </c>
      <c r="D2393" t="s">
        <v>4745</v>
      </c>
      <c r="E2393">
        <v>32206</v>
      </c>
      <c r="F2393" t="s">
        <v>918</v>
      </c>
      <c r="G2393">
        <v>322</v>
      </c>
      <c r="H2393" t="s">
        <v>71</v>
      </c>
      <c r="I2393">
        <v>3</v>
      </c>
      <c r="J2393" t="s">
        <v>50</v>
      </c>
    </row>
    <row r="2394" spans="1:10" x14ac:dyDescent="0.25">
      <c r="A2394" t="s">
        <v>7355</v>
      </c>
      <c r="B2394">
        <f>65410.6615439618*(1/100/100)</f>
        <v>6.541066154396181</v>
      </c>
      <c r="C2394">
        <v>21118</v>
      </c>
      <c r="D2394" t="s">
        <v>918</v>
      </c>
      <c r="E2394">
        <v>32206</v>
      </c>
      <c r="F2394" t="s">
        <v>918</v>
      </c>
      <c r="G2394">
        <v>322</v>
      </c>
      <c r="H2394" t="s">
        <v>71</v>
      </c>
      <c r="I2394">
        <v>3</v>
      </c>
      <c r="J2394" t="s">
        <v>50</v>
      </c>
    </row>
    <row r="2395" spans="1:10" x14ac:dyDescent="0.25">
      <c r="A2395" t="s">
        <v>7355</v>
      </c>
      <c r="B2395">
        <f>7634.75911343809*(1/100/100)</f>
        <v>0.76347591134380899</v>
      </c>
      <c r="C2395">
        <v>21119</v>
      </c>
      <c r="D2395" t="s">
        <v>4853</v>
      </c>
      <c r="E2395">
        <v>32222</v>
      </c>
      <c r="F2395" t="s">
        <v>928</v>
      </c>
      <c r="G2395">
        <v>322</v>
      </c>
      <c r="H2395" t="s">
        <v>71</v>
      </c>
      <c r="I2395">
        <v>3</v>
      </c>
      <c r="J2395" t="s">
        <v>50</v>
      </c>
    </row>
    <row r="2396" spans="1:10" x14ac:dyDescent="0.25">
      <c r="A2396" t="s">
        <v>7355</v>
      </c>
      <c r="B2396">
        <f>26792.3060848292*(1/100/100)</f>
        <v>2.6792306084829201</v>
      </c>
      <c r="C2396">
        <v>21121</v>
      </c>
      <c r="D2396" t="s">
        <v>4736</v>
      </c>
      <c r="E2396">
        <v>32203</v>
      </c>
      <c r="F2396" t="s">
        <v>917</v>
      </c>
      <c r="G2396">
        <v>322</v>
      </c>
      <c r="H2396" t="s">
        <v>71</v>
      </c>
      <c r="I2396">
        <v>3</v>
      </c>
      <c r="J2396" t="s">
        <v>50</v>
      </c>
    </row>
    <row r="2397" spans="1:10" x14ac:dyDescent="0.25">
      <c r="A2397" t="s">
        <v>7355</v>
      </c>
      <c r="B2397">
        <f>19312.7507464976*(1/100/100)</f>
        <v>1.9312750746497602</v>
      </c>
      <c r="C2397">
        <v>21122</v>
      </c>
      <c r="D2397" t="s">
        <v>4835</v>
      </c>
      <c r="E2397">
        <v>32220</v>
      </c>
      <c r="F2397" t="s">
        <v>71</v>
      </c>
      <c r="G2397">
        <v>322</v>
      </c>
      <c r="H2397" t="s">
        <v>71</v>
      </c>
      <c r="I2397">
        <v>3</v>
      </c>
      <c r="J2397" t="s">
        <v>50</v>
      </c>
    </row>
    <row r="2398" spans="1:10" x14ac:dyDescent="0.25">
      <c r="A2398" t="s">
        <v>7355</v>
      </c>
      <c r="B2398">
        <f>24219.4274632369*(1/100/100)</f>
        <v>2.4219427463236904</v>
      </c>
      <c r="C2398">
        <v>21123</v>
      </c>
      <c r="D2398" t="s">
        <v>4844</v>
      </c>
      <c r="E2398">
        <v>32221</v>
      </c>
      <c r="F2398" t="s">
        <v>927</v>
      </c>
      <c r="G2398">
        <v>322</v>
      </c>
      <c r="H2398" t="s">
        <v>71</v>
      </c>
      <c r="I2398">
        <v>3</v>
      </c>
      <c r="J2398" t="s">
        <v>50</v>
      </c>
    </row>
    <row r="2399" spans="1:10" x14ac:dyDescent="0.25">
      <c r="A2399" t="s">
        <v>7355</v>
      </c>
      <c r="B2399">
        <f>30186.506342211*(1/100/100)</f>
        <v>3.0186506342211001</v>
      </c>
      <c r="C2399">
        <v>21124</v>
      </c>
      <c r="D2399" t="s">
        <v>970</v>
      </c>
      <c r="E2399">
        <v>32219</v>
      </c>
      <c r="F2399" t="s">
        <v>926</v>
      </c>
      <c r="G2399">
        <v>322</v>
      </c>
      <c r="H2399" t="s">
        <v>71</v>
      </c>
      <c r="I2399">
        <v>3</v>
      </c>
      <c r="J2399" t="s">
        <v>50</v>
      </c>
    </row>
    <row r="2400" spans="1:10" x14ac:dyDescent="0.25">
      <c r="A2400" t="s">
        <v>7355</v>
      </c>
      <c r="B2400">
        <f>7160.49412688099*(1/100/100)</f>
        <v>0.71604941268809896</v>
      </c>
      <c r="C2400">
        <v>21126</v>
      </c>
      <c r="D2400" t="s">
        <v>4845</v>
      </c>
      <c r="E2400">
        <v>32221</v>
      </c>
      <c r="F2400" t="s">
        <v>927</v>
      </c>
      <c r="G2400">
        <v>322</v>
      </c>
      <c r="H2400" t="s">
        <v>71</v>
      </c>
      <c r="I2400">
        <v>3</v>
      </c>
      <c r="J2400" t="s">
        <v>50</v>
      </c>
    </row>
    <row r="2401" spans="1:10" x14ac:dyDescent="0.25">
      <c r="A2401" t="s">
        <v>7355</v>
      </c>
      <c r="B2401">
        <f>26023.6323578863*(1/100/100)</f>
        <v>2.6023632357886304</v>
      </c>
      <c r="C2401">
        <v>21127</v>
      </c>
      <c r="D2401" t="s">
        <v>4790</v>
      </c>
      <c r="E2401">
        <v>32214</v>
      </c>
      <c r="F2401" t="s">
        <v>923</v>
      </c>
      <c r="G2401">
        <v>322</v>
      </c>
      <c r="H2401" t="s">
        <v>71</v>
      </c>
      <c r="I2401">
        <v>3</v>
      </c>
      <c r="J2401" t="s">
        <v>50</v>
      </c>
    </row>
    <row r="2402" spans="1:10" x14ac:dyDescent="0.25">
      <c r="A2402" t="s">
        <v>7355</v>
      </c>
      <c r="B2402">
        <f>40351.252417037*(1/100/100)</f>
        <v>4.0351252417037005</v>
      </c>
      <c r="C2402">
        <v>21128</v>
      </c>
      <c r="D2402" t="s">
        <v>4819</v>
      </c>
      <c r="E2402">
        <v>32217</v>
      </c>
      <c r="F2402" t="s">
        <v>925</v>
      </c>
      <c r="G2402">
        <v>322</v>
      </c>
      <c r="H2402" t="s">
        <v>71</v>
      </c>
      <c r="I2402">
        <v>3</v>
      </c>
      <c r="J2402" t="s">
        <v>50</v>
      </c>
    </row>
    <row r="2403" spans="1:10" x14ac:dyDescent="0.25">
      <c r="A2403" t="s">
        <v>7355</v>
      </c>
      <c r="B2403">
        <f>19038.273584932*(1/100/100)</f>
        <v>1.9038273584932002</v>
      </c>
      <c r="C2403">
        <v>21129</v>
      </c>
      <c r="D2403" t="s">
        <v>4737</v>
      </c>
      <c r="E2403">
        <v>32203</v>
      </c>
      <c r="F2403" t="s">
        <v>917</v>
      </c>
      <c r="G2403">
        <v>322</v>
      </c>
      <c r="H2403" t="s">
        <v>71</v>
      </c>
      <c r="I2403">
        <v>3</v>
      </c>
      <c r="J2403" t="s">
        <v>50</v>
      </c>
    </row>
    <row r="2404" spans="1:10" x14ac:dyDescent="0.25">
      <c r="A2404" t="s">
        <v>7355</v>
      </c>
      <c r="B2404">
        <f>28951.6336475931*(1/100/100)</f>
        <v>2.89516336475931</v>
      </c>
      <c r="C2404">
        <v>21130</v>
      </c>
      <c r="D2404" t="s">
        <v>4768</v>
      </c>
      <c r="E2404">
        <v>32210</v>
      </c>
      <c r="F2404" t="s">
        <v>921</v>
      </c>
      <c r="G2404">
        <v>322</v>
      </c>
      <c r="H2404" t="s">
        <v>71</v>
      </c>
      <c r="I2404">
        <v>3</v>
      </c>
      <c r="J2404" t="s">
        <v>50</v>
      </c>
    </row>
    <row r="2405" spans="1:10" x14ac:dyDescent="0.25">
      <c r="A2405" t="s">
        <v>7355</v>
      </c>
      <c r="B2405">
        <f>7078.73755544932*(1/100/100)</f>
        <v>0.70787375554493204</v>
      </c>
      <c r="C2405">
        <v>21131</v>
      </c>
      <c r="D2405" t="s">
        <v>4361</v>
      </c>
      <c r="E2405">
        <v>32223</v>
      </c>
      <c r="F2405" t="s">
        <v>929</v>
      </c>
      <c r="G2405">
        <v>322</v>
      </c>
      <c r="H2405" t="s">
        <v>71</v>
      </c>
      <c r="I2405">
        <v>3</v>
      </c>
      <c r="J2405" t="s">
        <v>50</v>
      </c>
    </row>
    <row r="2406" spans="1:10" x14ac:dyDescent="0.25">
      <c r="A2406" t="s">
        <v>7355</v>
      </c>
      <c r="B2406">
        <f>30380.232937154*(1/100/100)</f>
        <v>3.0380232937153999</v>
      </c>
      <c r="C2406">
        <v>21132</v>
      </c>
      <c r="D2406" t="s">
        <v>3207</v>
      </c>
      <c r="E2406">
        <v>32203</v>
      </c>
      <c r="F2406" t="s">
        <v>917</v>
      </c>
      <c r="G2406">
        <v>322</v>
      </c>
      <c r="H2406" t="s">
        <v>71</v>
      </c>
      <c r="I2406">
        <v>3</v>
      </c>
      <c r="J2406" t="s">
        <v>50</v>
      </c>
    </row>
    <row r="2407" spans="1:10" x14ac:dyDescent="0.25">
      <c r="A2407" t="s">
        <v>7355</v>
      </c>
      <c r="B2407">
        <f>60546.4476579543*(1/100/100)</f>
        <v>6.0546447657954303</v>
      </c>
      <c r="C2407">
        <v>21134</v>
      </c>
      <c r="D2407" t="s">
        <v>4836</v>
      </c>
      <c r="E2407">
        <v>32220</v>
      </c>
      <c r="F2407" t="s">
        <v>71</v>
      </c>
      <c r="G2407">
        <v>322</v>
      </c>
      <c r="H2407" t="s">
        <v>71</v>
      </c>
      <c r="I2407">
        <v>3</v>
      </c>
      <c r="J2407" t="s">
        <v>50</v>
      </c>
    </row>
    <row r="2408" spans="1:10" x14ac:dyDescent="0.25">
      <c r="A2408" t="s">
        <v>7355</v>
      </c>
      <c r="B2408">
        <f>65825.7499569268*(1/100/100)</f>
        <v>6.5825749956926796</v>
      </c>
      <c r="C2408">
        <v>21135</v>
      </c>
      <c r="D2408" t="s">
        <v>4769</v>
      </c>
      <c r="E2408">
        <v>32210</v>
      </c>
      <c r="F2408" t="s">
        <v>921</v>
      </c>
      <c r="G2408">
        <v>322</v>
      </c>
      <c r="H2408" t="s">
        <v>71</v>
      </c>
      <c r="I2408">
        <v>3</v>
      </c>
      <c r="J2408" t="s">
        <v>50</v>
      </c>
    </row>
    <row r="2409" spans="1:10" x14ac:dyDescent="0.25">
      <c r="A2409" t="s">
        <v>7355</v>
      </c>
      <c r="B2409">
        <f>16023.6623289887*(1/100/100)</f>
        <v>1.6023662328988699</v>
      </c>
      <c r="C2409">
        <v>21136</v>
      </c>
      <c r="D2409" t="s">
        <v>4746</v>
      </c>
      <c r="E2409">
        <v>32206</v>
      </c>
      <c r="F2409" t="s">
        <v>918</v>
      </c>
      <c r="G2409">
        <v>322</v>
      </c>
      <c r="H2409" t="s">
        <v>71</v>
      </c>
      <c r="I2409">
        <v>3</v>
      </c>
      <c r="J2409" t="s">
        <v>50</v>
      </c>
    </row>
    <row r="2410" spans="1:10" x14ac:dyDescent="0.25">
      <c r="A2410" t="s">
        <v>7355</v>
      </c>
      <c r="B2410">
        <f>27556.2920808776*(1/100/100)</f>
        <v>2.7556292080877602</v>
      </c>
      <c r="C2410">
        <v>21137</v>
      </c>
      <c r="D2410" t="s">
        <v>4820</v>
      </c>
      <c r="E2410">
        <v>32217</v>
      </c>
      <c r="F2410" t="s">
        <v>925</v>
      </c>
      <c r="G2410">
        <v>322</v>
      </c>
      <c r="H2410" t="s">
        <v>71</v>
      </c>
      <c r="I2410">
        <v>3</v>
      </c>
      <c r="J2410" t="s">
        <v>50</v>
      </c>
    </row>
    <row r="2411" spans="1:10" x14ac:dyDescent="0.25">
      <c r="A2411" t="s">
        <v>7355</v>
      </c>
      <c r="B2411">
        <f>33005.2243594989*(1/100/100)</f>
        <v>3.3005224359498899</v>
      </c>
      <c r="C2411">
        <v>21138</v>
      </c>
      <c r="D2411" t="s">
        <v>4825</v>
      </c>
      <c r="E2411">
        <v>32219</v>
      </c>
      <c r="F2411" t="s">
        <v>926</v>
      </c>
      <c r="G2411">
        <v>322</v>
      </c>
      <c r="H2411" t="s">
        <v>71</v>
      </c>
      <c r="I2411">
        <v>3</v>
      </c>
      <c r="J2411" t="s">
        <v>50</v>
      </c>
    </row>
    <row r="2412" spans="1:10" x14ac:dyDescent="0.25">
      <c r="A2412" t="s">
        <v>7355</v>
      </c>
      <c r="B2412">
        <f>34146.724314674*(1/100/100)</f>
        <v>3.4146724314674004</v>
      </c>
      <c r="C2412">
        <v>21139</v>
      </c>
      <c r="D2412" t="s">
        <v>4826</v>
      </c>
      <c r="E2412">
        <v>32219</v>
      </c>
      <c r="F2412" t="s">
        <v>926</v>
      </c>
      <c r="G2412">
        <v>322</v>
      </c>
      <c r="H2412" t="s">
        <v>71</v>
      </c>
      <c r="I2412">
        <v>3</v>
      </c>
      <c r="J2412" t="s">
        <v>50</v>
      </c>
    </row>
    <row r="2413" spans="1:10" x14ac:dyDescent="0.25">
      <c r="A2413" t="s">
        <v>7355</v>
      </c>
      <c r="B2413">
        <f>32605.5978045991*(1/100/100)</f>
        <v>3.2605597804599102</v>
      </c>
      <c r="C2413">
        <v>21141</v>
      </c>
      <c r="D2413" t="s">
        <v>4846</v>
      </c>
      <c r="E2413">
        <v>32221</v>
      </c>
      <c r="F2413" t="s">
        <v>927</v>
      </c>
      <c r="G2413">
        <v>322</v>
      </c>
      <c r="H2413" t="s">
        <v>71</v>
      </c>
      <c r="I2413">
        <v>3</v>
      </c>
      <c r="J2413" t="s">
        <v>50</v>
      </c>
    </row>
    <row r="2414" spans="1:10" x14ac:dyDescent="0.25">
      <c r="A2414" t="s">
        <v>7355</v>
      </c>
      <c r="B2414">
        <f>35261.4647123774*(1/100/100)</f>
        <v>3.5261464712377397</v>
      </c>
      <c r="C2414">
        <v>21142</v>
      </c>
      <c r="D2414" t="s">
        <v>2007</v>
      </c>
      <c r="E2414">
        <v>32219</v>
      </c>
      <c r="F2414" t="s">
        <v>926</v>
      </c>
      <c r="G2414">
        <v>322</v>
      </c>
      <c r="H2414" t="s">
        <v>71</v>
      </c>
      <c r="I2414">
        <v>3</v>
      </c>
      <c r="J2414" t="s">
        <v>50</v>
      </c>
    </row>
    <row r="2415" spans="1:10" x14ac:dyDescent="0.25">
      <c r="A2415" t="s">
        <v>7355</v>
      </c>
      <c r="B2415">
        <f>57827.2929230411*(1/100/100)</f>
        <v>5.7827292923041105</v>
      </c>
      <c r="C2415">
        <v>21143</v>
      </c>
      <c r="D2415" t="s">
        <v>921</v>
      </c>
      <c r="E2415">
        <v>32210</v>
      </c>
      <c r="F2415" t="s">
        <v>921</v>
      </c>
      <c r="G2415">
        <v>322</v>
      </c>
      <c r="H2415" t="s">
        <v>71</v>
      </c>
      <c r="I2415">
        <v>3</v>
      </c>
      <c r="J2415" t="s">
        <v>50</v>
      </c>
    </row>
    <row r="2416" spans="1:10" x14ac:dyDescent="0.25">
      <c r="A2416" t="s">
        <v>7355</v>
      </c>
      <c r="B2416">
        <f>17246.9156611381*(1/100/100)</f>
        <v>1.72469156611381</v>
      </c>
      <c r="C2416">
        <v>21144</v>
      </c>
      <c r="D2416" t="s">
        <v>4837</v>
      </c>
      <c r="E2416">
        <v>32220</v>
      </c>
      <c r="F2416" t="s">
        <v>71</v>
      </c>
      <c r="G2416">
        <v>322</v>
      </c>
      <c r="H2416" t="s">
        <v>71</v>
      </c>
      <c r="I2416">
        <v>3</v>
      </c>
      <c r="J2416" t="s">
        <v>50</v>
      </c>
    </row>
    <row r="2417" spans="1:10" x14ac:dyDescent="0.25">
      <c r="A2417" t="s">
        <v>7355</v>
      </c>
      <c r="B2417">
        <f>13389.0102781441*(1/100/100)</f>
        <v>1.33890102781441</v>
      </c>
      <c r="C2417">
        <v>21145</v>
      </c>
      <c r="D2417" t="s">
        <v>4770</v>
      </c>
      <c r="E2417">
        <v>32210</v>
      </c>
      <c r="F2417" t="s">
        <v>921</v>
      </c>
      <c r="G2417">
        <v>322</v>
      </c>
      <c r="H2417" t="s">
        <v>71</v>
      </c>
      <c r="I2417">
        <v>3</v>
      </c>
      <c r="J2417" t="s">
        <v>50</v>
      </c>
    </row>
    <row r="2418" spans="1:10" x14ac:dyDescent="0.25">
      <c r="A2418" t="s">
        <v>7355</v>
      </c>
      <c r="B2418">
        <f>42360.9260775716*(1/100/100)</f>
        <v>4.2360926077571603</v>
      </c>
      <c r="C2418">
        <v>21146</v>
      </c>
      <c r="D2418" t="s">
        <v>4791</v>
      </c>
      <c r="E2418">
        <v>32214</v>
      </c>
      <c r="F2418" t="s">
        <v>923</v>
      </c>
      <c r="G2418">
        <v>322</v>
      </c>
      <c r="H2418" t="s">
        <v>71</v>
      </c>
      <c r="I2418">
        <v>3</v>
      </c>
      <c r="J2418" t="s">
        <v>50</v>
      </c>
    </row>
    <row r="2419" spans="1:10" x14ac:dyDescent="0.25">
      <c r="A2419" t="s">
        <v>7355</v>
      </c>
      <c r="B2419">
        <f>13983.7352435251*(1/100/100)</f>
        <v>1.3983735243525099</v>
      </c>
      <c r="C2419">
        <v>21147</v>
      </c>
      <c r="D2419" t="s">
        <v>4738</v>
      </c>
      <c r="E2419">
        <v>32203</v>
      </c>
      <c r="F2419" t="s">
        <v>917</v>
      </c>
      <c r="G2419">
        <v>322</v>
      </c>
      <c r="H2419" t="s">
        <v>71</v>
      </c>
      <c r="I2419">
        <v>3</v>
      </c>
      <c r="J2419" t="s">
        <v>50</v>
      </c>
    </row>
    <row r="2420" spans="1:10" x14ac:dyDescent="0.25">
      <c r="A2420" t="s">
        <v>7355</v>
      </c>
      <c r="B2420">
        <f>33081.6495009734*(1/100/100)</f>
        <v>3.30816495009734</v>
      </c>
      <c r="C2420">
        <v>21148</v>
      </c>
      <c r="D2420" t="s">
        <v>4747</v>
      </c>
      <c r="E2420">
        <v>32206</v>
      </c>
      <c r="F2420" t="s">
        <v>918</v>
      </c>
      <c r="G2420">
        <v>322</v>
      </c>
      <c r="H2420" t="s">
        <v>71</v>
      </c>
      <c r="I2420">
        <v>3</v>
      </c>
      <c r="J2420" t="s">
        <v>50</v>
      </c>
    </row>
    <row r="2421" spans="1:10" x14ac:dyDescent="0.25">
      <c r="A2421" t="s">
        <v>7355</v>
      </c>
      <c r="B2421">
        <f>37995.0775399865*(1/100/100)</f>
        <v>3.7995077539986504</v>
      </c>
      <c r="C2421">
        <v>21149</v>
      </c>
      <c r="D2421" t="s">
        <v>4859</v>
      </c>
      <c r="E2421">
        <v>32223</v>
      </c>
      <c r="F2421" t="s">
        <v>929</v>
      </c>
      <c r="G2421">
        <v>322</v>
      </c>
      <c r="H2421" t="s">
        <v>71</v>
      </c>
      <c r="I2421">
        <v>3</v>
      </c>
      <c r="J2421" t="s">
        <v>50</v>
      </c>
    </row>
    <row r="2422" spans="1:10" x14ac:dyDescent="0.25">
      <c r="A2422" t="s">
        <v>7355</v>
      </c>
      <c r="B2422">
        <f>5119.9132853486*(1/100/100)</f>
        <v>0.51199132853485996</v>
      </c>
      <c r="C2422">
        <v>21150</v>
      </c>
      <c r="D2422" t="s">
        <v>4771</v>
      </c>
      <c r="E2422">
        <v>32210</v>
      </c>
      <c r="F2422" t="s">
        <v>921</v>
      </c>
      <c r="G2422">
        <v>322</v>
      </c>
      <c r="H2422" t="s">
        <v>71</v>
      </c>
      <c r="I2422">
        <v>3</v>
      </c>
      <c r="J2422" t="s">
        <v>50</v>
      </c>
    </row>
    <row r="2423" spans="1:10" x14ac:dyDescent="0.25">
      <c r="A2423" t="s">
        <v>7355</v>
      </c>
      <c r="B2423">
        <f>37373.6727401852*(1/100/100)</f>
        <v>3.7373672740185198</v>
      </c>
      <c r="C2423">
        <v>21151</v>
      </c>
      <c r="D2423" t="s">
        <v>4748</v>
      </c>
      <c r="E2423">
        <v>32206</v>
      </c>
      <c r="F2423" t="s">
        <v>918</v>
      </c>
      <c r="G2423">
        <v>322</v>
      </c>
      <c r="H2423" t="s">
        <v>71</v>
      </c>
      <c r="I2423">
        <v>3</v>
      </c>
      <c r="J2423" t="s">
        <v>50</v>
      </c>
    </row>
    <row r="2424" spans="1:10" x14ac:dyDescent="0.25">
      <c r="A2424" t="s">
        <v>7355</v>
      </c>
      <c r="B2424">
        <f>15346.00992631*(1/100/100)</f>
        <v>1.534600992631</v>
      </c>
      <c r="C2424">
        <v>21152</v>
      </c>
      <c r="D2424" t="s">
        <v>4860</v>
      </c>
      <c r="E2424">
        <v>32223</v>
      </c>
      <c r="F2424" t="s">
        <v>929</v>
      </c>
      <c r="G2424">
        <v>322</v>
      </c>
      <c r="H2424" t="s">
        <v>71</v>
      </c>
      <c r="I2424">
        <v>3</v>
      </c>
      <c r="J2424" t="s">
        <v>50</v>
      </c>
    </row>
    <row r="2425" spans="1:10" x14ac:dyDescent="0.25">
      <c r="A2425" t="s">
        <v>7355</v>
      </c>
      <c r="B2425">
        <f>18880.2351544881*(1/100/100)</f>
        <v>1.8880235154488099</v>
      </c>
      <c r="C2425">
        <v>21153</v>
      </c>
      <c r="D2425" t="s">
        <v>4739</v>
      </c>
      <c r="E2425">
        <v>32203</v>
      </c>
      <c r="F2425" t="s">
        <v>917</v>
      </c>
      <c r="G2425">
        <v>322</v>
      </c>
      <c r="H2425" t="s">
        <v>71</v>
      </c>
      <c r="I2425">
        <v>3</v>
      </c>
      <c r="J2425" t="s">
        <v>50</v>
      </c>
    </row>
    <row r="2426" spans="1:10" x14ac:dyDescent="0.25">
      <c r="A2426" t="s">
        <v>7355</v>
      </c>
      <c r="B2426">
        <f>17311.7924232429*(1/100/100)</f>
        <v>1.73117924232429</v>
      </c>
      <c r="C2426">
        <v>21154</v>
      </c>
      <c r="D2426" t="s">
        <v>1294</v>
      </c>
      <c r="E2426">
        <v>32223</v>
      </c>
      <c r="F2426" t="s">
        <v>929</v>
      </c>
      <c r="G2426">
        <v>322</v>
      </c>
      <c r="H2426" t="s">
        <v>71</v>
      </c>
      <c r="I2426">
        <v>3</v>
      </c>
      <c r="J2426" t="s">
        <v>50</v>
      </c>
    </row>
    <row r="2427" spans="1:10" x14ac:dyDescent="0.25">
      <c r="A2427" t="s">
        <v>7355</v>
      </c>
      <c r="B2427">
        <f>20294.9645911224*(1/100/100)</f>
        <v>2.0294964591122402</v>
      </c>
      <c r="C2427">
        <v>21155</v>
      </c>
      <c r="D2427" t="s">
        <v>4861</v>
      </c>
      <c r="E2427">
        <v>32223</v>
      </c>
      <c r="F2427" t="s">
        <v>929</v>
      </c>
      <c r="G2427">
        <v>322</v>
      </c>
      <c r="H2427" t="s">
        <v>71</v>
      </c>
      <c r="I2427">
        <v>3</v>
      </c>
      <c r="J2427" t="s">
        <v>50</v>
      </c>
    </row>
    <row r="2428" spans="1:10" x14ac:dyDescent="0.25">
      <c r="A2428" t="s">
        <v>7355</v>
      </c>
      <c r="B2428">
        <f>19883.1811930846*(1/100/100)</f>
        <v>1.9883181193084603</v>
      </c>
      <c r="C2428">
        <v>21156</v>
      </c>
      <c r="D2428" t="s">
        <v>4862</v>
      </c>
      <c r="E2428">
        <v>32223</v>
      </c>
      <c r="F2428" t="s">
        <v>929</v>
      </c>
      <c r="G2428">
        <v>322</v>
      </c>
      <c r="H2428" t="s">
        <v>71</v>
      </c>
      <c r="I2428">
        <v>3</v>
      </c>
      <c r="J2428" t="s">
        <v>50</v>
      </c>
    </row>
    <row r="2429" spans="1:10" x14ac:dyDescent="0.25">
      <c r="A2429" t="s">
        <v>7355</v>
      </c>
      <c r="B2429">
        <f>28241.27309408*(1/100/100)</f>
        <v>2.8241273094079999</v>
      </c>
      <c r="C2429">
        <v>21157</v>
      </c>
      <c r="D2429" t="s">
        <v>4838</v>
      </c>
      <c r="E2429">
        <v>32220</v>
      </c>
      <c r="F2429" t="s">
        <v>71</v>
      </c>
      <c r="G2429">
        <v>322</v>
      </c>
      <c r="H2429" t="s">
        <v>71</v>
      </c>
      <c r="I2429">
        <v>3</v>
      </c>
      <c r="J2429" t="s">
        <v>50</v>
      </c>
    </row>
    <row r="2430" spans="1:10" x14ac:dyDescent="0.25">
      <c r="A2430" t="s">
        <v>7355</v>
      </c>
      <c r="B2430">
        <f>14193.3767240859*(1/100/100)</f>
        <v>1.41933767240859</v>
      </c>
      <c r="C2430">
        <v>21158</v>
      </c>
      <c r="D2430" t="s">
        <v>4863</v>
      </c>
      <c r="E2430">
        <v>32223</v>
      </c>
      <c r="F2430" t="s">
        <v>929</v>
      </c>
      <c r="G2430">
        <v>322</v>
      </c>
      <c r="H2430" t="s">
        <v>71</v>
      </c>
      <c r="I2430">
        <v>3</v>
      </c>
      <c r="J2430" t="s">
        <v>50</v>
      </c>
    </row>
    <row r="2431" spans="1:10" x14ac:dyDescent="0.25">
      <c r="A2431" t="s">
        <v>7355</v>
      </c>
      <c r="B2431">
        <f>45919.5780542087*(1/100/100)</f>
        <v>4.5919578054208703</v>
      </c>
      <c r="C2431">
        <v>21159</v>
      </c>
      <c r="D2431" t="s">
        <v>4740</v>
      </c>
      <c r="E2431">
        <v>32203</v>
      </c>
      <c r="F2431" t="s">
        <v>917</v>
      </c>
      <c r="G2431">
        <v>322</v>
      </c>
      <c r="H2431" t="s">
        <v>71</v>
      </c>
      <c r="I2431">
        <v>3</v>
      </c>
      <c r="J2431" t="s">
        <v>50</v>
      </c>
    </row>
    <row r="2432" spans="1:10" x14ac:dyDescent="0.25">
      <c r="A2432" t="s">
        <v>7355</v>
      </c>
      <c r="B2432">
        <f>59099.2457608844*(1/100/100)</f>
        <v>5.9099245760884402</v>
      </c>
      <c r="C2432">
        <v>21161</v>
      </c>
      <c r="D2432" t="s">
        <v>4821</v>
      </c>
      <c r="E2432">
        <v>32217</v>
      </c>
      <c r="F2432" t="s">
        <v>925</v>
      </c>
      <c r="G2432">
        <v>322</v>
      </c>
      <c r="H2432" t="s">
        <v>71</v>
      </c>
      <c r="I2432">
        <v>3</v>
      </c>
      <c r="J2432" t="s">
        <v>50</v>
      </c>
    </row>
    <row r="2433" spans="1:10" x14ac:dyDescent="0.25">
      <c r="A2433" t="s">
        <v>7355</v>
      </c>
      <c r="B2433">
        <f>20204.1202852482*(1/100/100)</f>
        <v>2.0204120285248197</v>
      </c>
      <c r="C2433">
        <v>21162</v>
      </c>
      <c r="D2433" t="s">
        <v>4847</v>
      </c>
      <c r="E2433">
        <v>32221</v>
      </c>
      <c r="F2433" t="s">
        <v>927</v>
      </c>
      <c r="G2433">
        <v>322</v>
      </c>
      <c r="H2433" t="s">
        <v>71</v>
      </c>
      <c r="I2433">
        <v>3</v>
      </c>
      <c r="J2433" t="s">
        <v>50</v>
      </c>
    </row>
    <row r="2434" spans="1:10" x14ac:dyDescent="0.25">
      <c r="A2434" t="s">
        <v>7355</v>
      </c>
      <c r="B2434">
        <f>29412.13323442*(1/100/100)</f>
        <v>2.9412133234420001</v>
      </c>
      <c r="C2434">
        <v>21163</v>
      </c>
      <c r="D2434" t="s">
        <v>4822</v>
      </c>
      <c r="E2434">
        <v>32217</v>
      </c>
      <c r="F2434" t="s">
        <v>925</v>
      </c>
      <c r="G2434">
        <v>322</v>
      </c>
      <c r="H2434" t="s">
        <v>71</v>
      </c>
      <c r="I2434">
        <v>3</v>
      </c>
      <c r="J2434" t="s">
        <v>50</v>
      </c>
    </row>
    <row r="2435" spans="1:10" x14ac:dyDescent="0.25">
      <c r="A2435" t="s">
        <v>7355</v>
      </c>
      <c r="B2435">
        <f>22748.02059121*(1/100/100)</f>
        <v>2.2748020591209999</v>
      </c>
      <c r="C2435">
        <v>21164</v>
      </c>
      <c r="D2435" t="s">
        <v>3420</v>
      </c>
      <c r="E2435">
        <v>32217</v>
      </c>
      <c r="F2435" t="s">
        <v>925</v>
      </c>
      <c r="G2435">
        <v>322</v>
      </c>
      <c r="H2435" t="s">
        <v>71</v>
      </c>
      <c r="I2435">
        <v>3</v>
      </c>
      <c r="J2435" t="s">
        <v>50</v>
      </c>
    </row>
    <row r="2436" spans="1:10" x14ac:dyDescent="0.25">
      <c r="A2436" t="s">
        <v>7355</v>
      </c>
      <c r="B2436">
        <f>55668.3658754152*(1/100/100)</f>
        <v>5.5668365875415198</v>
      </c>
      <c r="C2436">
        <v>21165</v>
      </c>
      <c r="D2436" t="s">
        <v>4782</v>
      </c>
      <c r="E2436">
        <v>32214</v>
      </c>
      <c r="F2436" t="s">
        <v>923</v>
      </c>
      <c r="G2436">
        <v>322</v>
      </c>
      <c r="H2436" t="s">
        <v>71</v>
      </c>
      <c r="I2436">
        <v>3</v>
      </c>
      <c r="J2436" t="s">
        <v>50</v>
      </c>
    </row>
    <row r="2437" spans="1:10" x14ac:dyDescent="0.25">
      <c r="A2437" t="s">
        <v>7355</v>
      </c>
      <c r="B2437">
        <f>33147.3575243798*(1/100/100)</f>
        <v>3.3147357524379797</v>
      </c>
      <c r="C2437">
        <v>21166</v>
      </c>
      <c r="D2437" t="s">
        <v>4772</v>
      </c>
      <c r="E2437">
        <v>32210</v>
      </c>
      <c r="F2437" t="s">
        <v>921</v>
      </c>
      <c r="G2437">
        <v>322</v>
      </c>
      <c r="H2437" t="s">
        <v>71</v>
      </c>
      <c r="I2437">
        <v>3</v>
      </c>
      <c r="J2437" t="s">
        <v>50</v>
      </c>
    </row>
    <row r="2438" spans="1:10" x14ac:dyDescent="0.25">
      <c r="A2438" t="s">
        <v>7355</v>
      </c>
      <c r="B2438">
        <f>22167.8161022222*(1/100/100)</f>
        <v>2.2167816102222204</v>
      </c>
      <c r="C2438">
        <v>21167</v>
      </c>
      <c r="D2438" t="s">
        <v>2682</v>
      </c>
      <c r="E2438">
        <v>32220</v>
      </c>
      <c r="F2438" t="s">
        <v>71</v>
      </c>
      <c r="G2438">
        <v>322</v>
      </c>
      <c r="H2438" t="s">
        <v>71</v>
      </c>
      <c r="I2438">
        <v>3</v>
      </c>
      <c r="J2438" t="s">
        <v>50</v>
      </c>
    </row>
    <row r="2439" spans="1:10" x14ac:dyDescent="0.25">
      <c r="A2439" t="s">
        <v>7355</v>
      </c>
      <c r="B2439">
        <f>11043.4616258406*(1/100/100)</f>
        <v>1.10434616258406</v>
      </c>
      <c r="C2439">
        <v>21168</v>
      </c>
      <c r="D2439" t="s">
        <v>864</v>
      </c>
      <c r="E2439">
        <v>32220</v>
      </c>
      <c r="F2439" t="s">
        <v>71</v>
      </c>
      <c r="G2439">
        <v>322</v>
      </c>
      <c r="H2439" t="s">
        <v>71</v>
      </c>
      <c r="I2439">
        <v>3</v>
      </c>
      <c r="J2439" t="s">
        <v>50</v>
      </c>
    </row>
    <row r="2440" spans="1:10" x14ac:dyDescent="0.25">
      <c r="A2440" t="s">
        <v>7355</v>
      </c>
      <c r="B2440">
        <f>15049.5666570462*(1/100/100)</f>
        <v>1.5049566657046201</v>
      </c>
      <c r="C2440">
        <v>21169</v>
      </c>
      <c r="D2440" t="s">
        <v>4864</v>
      </c>
      <c r="E2440">
        <v>32223</v>
      </c>
      <c r="F2440" t="s">
        <v>929</v>
      </c>
      <c r="G2440">
        <v>322</v>
      </c>
      <c r="H2440" t="s">
        <v>71</v>
      </c>
      <c r="I2440">
        <v>3</v>
      </c>
      <c r="J2440" t="s">
        <v>50</v>
      </c>
    </row>
    <row r="2441" spans="1:10" x14ac:dyDescent="0.25">
      <c r="A2441" t="s">
        <v>7355</v>
      </c>
      <c r="B2441">
        <f>10086.2868005144*(1/100/100)</f>
        <v>1.0086286800514399</v>
      </c>
      <c r="C2441">
        <v>21170</v>
      </c>
      <c r="D2441" t="s">
        <v>4823</v>
      </c>
      <c r="E2441">
        <v>32217</v>
      </c>
      <c r="F2441" t="s">
        <v>925</v>
      </c>
      <c r="G2441">
        <v>322</v>
      </c>
      <c r="H2441" t="s">
        <v>71</v>
      </c>
      <c r="I2441">
        <v>3</v>
      </c>
      <c r="J2441" t="s">
        <v>50</v>
      </c>
    </row>
    <row r="2442" spans="1:10" x14ac:dyDescent="0.25">
      <c r="A2442" t="s">
        <v>7355</v>
      </c>
      <c r="B2442">
        <f>48939.6150294428*(1/100/100)</f>
        <v>4.89396150294428</v>
      </c>
      <c r="C2442">
        <v>21171</v>
      </c>
      <c r="D2442" t="s">
        <v>4854</v>
      </c>
      <c r="E2442">
        <v>32222</v>
      </c>
      <c r="F2442" t="s">
        <v>928</v>
      </c>
      <c r="G2442">
        <v>322</v>
      </c>
      <c r="H2442" t="s">
        <v>71</v>
      </c>
      <c r="I2442">
        <v>3</v>
      </c>
      <c r="J2442" t="s">
        <v>50</v>
      </c>
    </row>
    <row r="2443" spans="1:10" x14ac:dyDescent="0.25">
      <c r="A2443" t="s">
        <v>7355</v>
      </c>
      <c r="B2443">
        <f>37981.3001060671*(1/100/100)</f>
        <v>3.7981300106067102</v>
      </c>
      <c r="C2443">
        <v>21172</v>
      </c>
      <c r="D2443" t="s">
        <v>4741</v>
      </c>
      <c r="E2443">
        <v>32203</v>
      </c>
      <c r="F2443" t="s">
        <v>917</v>
      </c>
      <c r="G2443">
        <v>322</v>
      </c>
      <c r="H2443" t="s">
        <v>71</v>
      </c>
      <c r="I2443">
        <v>3</v>
      </c>
      <c r="J2443" t="s">
        <v>50</v>
      </c>
    </row>
    <row r="2444" spans="1:10" x14ac:dyDescent="0.25">
      <c r="A2444" t="s">
        <v>7355</v>
      </c>
      <c r="B2444">
        <f>12434.6024662475*(1/100/100)</f>
        <v>1.24346024662475</v>
      </c>
      <c r="C2444">
        <v>21173</v>
      </c>
      <c r="D2444" t="s">
        <v>4773</v>
      </c>
      <c r="E2444">
        <v>32210</v>
      </c>
      <c r="F2444" t="s">
        <v>921</v>
      </c>
      <c r="G2444">
        <v>322</v>
      </c>
      <c r="H2444" t="s">
        <v>71</v>
      </c>
      <c r="I2444">
        <v>3</v>
      </c>
      <c r="J2444" t="s">
        <v>50</v>
      </c>
    </row>
    <row r="2445" spans="1:10" x14ac:dyDescent="0.25">
      <c r="A2445" t="s">
        <v>7355</v>
      </c>
      <c r="B2445">
        <f>26694.5930187246*(1/100/100)</f>
        <v>2.6694593018724602</v>
      </c>
      <c r="C2445">
        <v>21174</v>
      </c>
      <c r="D2445" t="s">
        <v>4742</v>
      </c>
      <c r="E2445">
        <v>32203</v>
      </c>
      <c r="F2445" t="s">
        <v>917</v>
      </c>
      <c r="G2445">
        <v>322</v>
      </c>
      <c r="H2445" t="s">
        <v>71</v>
      </c>
      <c r="I2445">
        <v>3</v>
      </c>
      <c r="J2445" t="s">
        <v>50</v>
      </c>
    </row>
    <row r="2446" spans="1:10" x14ac:dyDescent="0.25">
      <c r="A2446" t="s">
        <v>7355</v>
      </c>
      <c r="B2446">
        <f>32469.4083237861*(1/100/100)</f>
        <v>3.2469408323786104</v>
      </c>
      <c r="C2446">
        <v>21175</v>
      </c>
      <c r="D2446" t="s">
        <v>4070</v>
      </c>
      <c r="E2446">
        <v>32203</v>
      </c>
      <c r="F2446" t="s">
        <v>917</v>
      </c>
      <c r="G2446">
        <v>322</v>
      </c>
      <c r="H2446" t="s">
        <v>71</v>
      </c>
      <c r="I2446">
        <v>3</v>
      </c>
      <c r="J2446" t="s">
        <v>50</v>
      </c>
    </row>
    <row r="2447" spans="1:10" x14ac:dyDescent="0.25">
      <c r="A2447" t="s">
        <v>7355</v>
      </c>
      <c r="B2447">
        <f>22329.1044640381*(1/100/100)</f>
        <v>2.2329104464038103</v>
      </c>
      <c r="C2447">
        <v>21176</v>
      </c>
      <c r="D2447" t="s">
        <v>4749</v>
      </c>
      <c r="E2447">
        <v>32206</v>
      </c>
      <c r="F2447" t="s">
        <v>918</v>
      </c>
      <c r="G2447">
        <v>322</v>
      </c>
      <c r="H2447" t="s">
        <v>71</v>
      </c>
      <c r="I2447">
        <v>3</v>
      </c>
      <c r="J2447" t="s">
        <v>50</v>
      </c>
    </row>
    <row r="2448" spans="1:10" x14ac:dyDescent="0.25">
      <c r="A2448" t="s">
        <v>7355</v>
      </c>
      <c r="B2448">
        <f>25944.2329554161*(1/100/100)</f>
        <v>2.5944232955416102</v>
      </c>
      <c r="C2448">
        <v>21177</v>
      </c>
      <c r="D2448" t="s">
        <v>4855</v>
      </c>
      <c r="E2448">
        <v>32222</v>
      </c>
      <c r="F2448" t="s">
        <v>928</v>
      </c>
      <c r="G2448">
        <v>322</v>
      </c>
      <c r="H2448" t="s">
        <v>71</v>
      </c>
      <c r="I2448">
        <v>3</v>
      </c>
      <c r="J2448" t="s">
        <v>50</v>
      </c>
    </row>
    <row r="2449" spans="1:10" x14ac:dyDescent="0.25">
      <c r="A2449" t="s">
        <v>7355</v>
      </c>
      <c r="B2449">
        <f>12873.2960347653*(1/100/100)</f>
        <v>1.28732960347653</v>
      </c>
      <c r="C2449">
        <v>21178</v>
      </c>
      <c r="D2449" t="s">
        <v>4848</v>
      </c>
      <c r="E2449">
        <v>32221</v>
      </c>
      <c r="F2449" t="s">
        <v>927</v>
      </c>
      <c r="G2449">
        <v>322</v>
      </c>
      <c r="H2449" t="s">
        <v>71</v>
      </c>
      <c r="I2449">
        <v>3</v>
      </c>
      <c r="J2449" t="s">
        <v>50</v>
      </c>
    </row>
    <row r="2450" spans="1:10" x14ac:dyDescent="0.25">
      <c r="A2450" t="s">
        <v>7355</v>
      </c>
      <c r="B2450">
        <f>29902.9744904717*(1/100/100)</f>
        <v>2.9902974490471701</v>
      </c>
      <c r="C2450">
        <v>21179</v>
      </c>
      <c r="D2450" t="s">
        <v>4824</v>
      </c>
      <c r="E2450">
        <v>32217</v>
      </c>
      <c r="F2450" t="s">
        <v>925</v>
      </c>
      <c r="G2450">
        <v>322</v>
      </c>
      <c r="H2450" t="s">
        <v>71</v>
      </c>
      <c r="I2450">
        <v>3</v>
      </c>
      <c r="J2450" t="s">
        <v>50</v>
      </c>
    </row>
    <row r="2451" spans="1:10" x14ac:dyDescent="0.25">
      <c r="A2451" t="s">
        <v>7355</v>
      </c>
      <c r="B2451">
        <f>8576.80980417127*(1/100/100)</f>
        <v>0.85768098041712693</v>
      </c>
      <c r="C2451">
        <v>21180</v>
      </c>
      <c r="D2451" t="s">
        <v>4839</v>
      </c>
      <c r="E2451">
        <v>32220</v>
      </c>
      <c r="F2451" t="s">
        <v>71</v>
      </c>
      <c r="G2451">
        <v>322</v>
      </c>
      <c r="H2451" t="s">
        <v>71</v>
      </c>
      <c r="I2451">
        <v>3</v>
      </c>
      <c r="J2451" t="s">
        <v>50</v>
      </c>
    </row>
    <row r="2452" spans="1:10" x14ac:dyDescent="0.25">
      <c r="A2452" t="s">
        <v>7355</v>
      </c>
      <c r="B2452">
        <f>24481.5777973878*(1/100/100)</f>
        <v>2.4481577797387799</v>
      </c>
      <c r="C2452">
        <v>21181</v>
      </c>
      <c r="D2452" t="s">
        <v>3209</v>
      </c>
      <c r="E2452">
        <v>32222</v>
      </c>
      <c r="F2452" t="s">
        <v>928</v>
      </c>
      <c r="G2452">
        <v>322</v>
      </c>
      <c r="H2452" t="s">
        <v>71</v>
      </c>
      <c r="I2452">
        <v>3</v>
      </c>
      <c r="J2452" t="s">
        <v>50</v>
      </c>
    </row>
    <row r="2453" spans="1:10" x14ac:dyDescent="0.25">
      <c r="A2453" t="s">
        <v>7355</v>
      </c>
      <c r="B2453">
        <f>22148.656669753*(1/100/100)</f>
        <v>2.2148656669753</v>
      </c>
      <c r="C2453">
        <v>21182</v>
      </c>
      <c r="D2453" t="s">
        <v>4743</v>
      </c>
      <c r="E2453">
        <v>32203</v>
      </c>
      <c r="F2453" t="s">
        <v>917</v>
      </c>
      <c r="G2453">
        <v>322</v>
      </c>
      <c r="H2453" t="s">
        <v>71</v>
      </c>
      <c r="I2453">
        <v>3</v>
      </c>
      <c r="J2453" t="s">
        <v>50</v>
      </c>
    </row>
    <row r="2454" spans="1:10" x14ac:dyDescent="0.25">
      <c r="A2454" t="s">
        <v>7355</v>
      </c>
      <c r="B2454">
        <f>16323.5825119656*(1/100/100)</f>
        <v>1.6323582511965602</v>
      </c>
      <c r="C2454">
        <v>21183</v>
      </c>
      <c r="D2454" t="s">
        <v>2087</v>
      </c>
      <c r="E2454">
        <v>32214</v>
      </c>
      <c r="F2454" t="s">
        <v>923</v>
      </c>
      <c r="G2454">
        <v>322</v>
      </c>
      <c r="H2454" t="s">
        <v>71</v>
      </c>
      <c r="I2454">
        <v>3</v>
      </c>
      <c r="J2454" t="s">
        <v>50</v>
      </c>
    </row>
    <row r="2455" spans="1:10" x14ac:dyDescent="0.25">
      <c r="A2455" t="s">
        <v>7355</v>
      </c>
      <c r="B2455">
        <f>39885.2767099387*(1/100/100)</f>
        <v>3.9885276709938702</v>
      </c>
      <c r="C2455">
        <v>21185</v>
      </c>
      <c r="D2455" t="s">
        <v>4229</v>
      </c>
      <c r="E2455">
        <v>32219</v>
      </c>
      <c r="F2455" t="s">
        <v>926</v>
      </c>
      <c r="G2455">
        <v>322</v>
      </c>
      <c r="H2455" t="s">
        <v>71</v>
      </c>
      <c r="I2455">
        <v>3</v>
      </c>
      <c r="J2455" t="s">
        <v>50</v>
      </c>
    </row>
    <row r="2456" spans="1:10" x14ac:dyDescent="0.25">
      <c r="A2456" t="s">
        <v>7355</v>
      </c>
      <c r="B2456">
        <f>15256.1414168389*(1/100/100)</f>
        <v>1.52561414168389</v>
      </c>
      <c r="C2456">
        <v>21186</v>
      </c>
      <c r="D2456" t="s">
        <v>4827</v>
      </c>
      <c r="E2456">
        <v>32219</v>
      </c>
      <c r="F2456" t="s">
        <v>926</v>
      </c>
      <c r="G2456">
        <v>322</v>
      </c>
      <c r="H2456" t="s">
        <v>71</v>
      </c>
      <c r="I2456">
        <v>3</v>
      </c>
      <c r="J2456" t="s">
        <v>50</v>
      </c>
    </row>
    <row r="2457" spans="1:10" x14ac:dyDescent="0.25">
      <c r="A2457" t="s">
        <v>7355</v>
      </c>
      <c r="B2457">
        <f>105372.478593437*(1/100/100)</f>
        <v>10.537247859343701</v>
      </c>
      <c r="C2457">
        <v>21187</v>
      </c>
      <c r="D2457" t="s">
        <v>925</v>
      </c>
      <c r="E2457">
        <v>32217</v>
      </c>
      <c r="F2457" t="s">
        <v>925</v>
      </c>
      <c r="G2457">
        <v>322</v>
      </c>
      <c r="H2457" t="s">
        <v>71</v>
      </c>
      <c r="I2457">
        <v>3</v>
      </c>
      <c r="J2457" t="s">
        <v>50</v>
      </c>
    </row>
    <row r="2458" spans="1:10" x14ac:dyDescent="0.25">
      <c r="A2458" t="s">
        <v>7355</v>
      </c>
      <c r="B2458">
        <f>22245.3251192155*(1/100/100)</f>
        <v>2.22453251192155</v>
      </c>
      <c r="C2458">
        <v>21188</v>
      </c>
      <c r="D2458" t="s">
        <v>3737</v>
      </c>
      <c r="E2458">
        <v>32210</v>
      </c>
      <c r="F2458" t="s">
        <v>921</v>
      </c>
      <c r="G2458">
        <v>322</v>
      </c>
      <c r="H2458" t="s">
        <v>71</v>
      </c>
      <c r="I2458">
        <v>3</v>
      </c>
      <c r="J2458" t="s">
        <v>50</v>
      </c>
    </row>
    <row r="2459" spans="1:10" x14ac:dyDescent="0.25">
      <c r="A2459" t="s">
        <v>7355</v>
      </c>
      <c r="B2459">
        <f>17453.2642976055*(1/100/100)</f>
        <v>1.74532642976055</v>
      </c>
      <c r="C2459">
        <v>21189</v>
      </c>
      <c r="D2459" t="s">
        <v>4774</v>
      </c>
      <c r="E2459">
        <v>32210</v>
      </c>
      <c r="F2459" t="s">
        <v>921</v>
      </c>
      <c r="G2459">
        <v>322</v>
      </c>
      <c r="H2459" t="s">
        <v>71</v>
      </c>
      <c r="I2459">
        <v>3</v>
      </c>
      <c r="J2459" t="s">
        <v>50</v>
      </c>
    </row>
    <row r="2460" spans="1:10" x14ac:dyDescent="0.25">
      <c r="A2460" t="s">
        <v>7355</v>
      </c>
      <c r="B2460">
        <f>37080.4732560383*(1/100/100)</f>
        <v>3.7080473256038298</v>
      </c>
      <c r="C2460">
        <v>21190</v>
      </c>
      <c r="D2460" t="s">
        <v>4840</v>
      </c>
      <c r="E2460">
        <v>32220</v>
      </c>
      <c r="F2460" t="s">
        <v>71</v>
      </c>
      <c r="G2460">
        <v>322</v>
      </c>
      <c r="H2460" t="s">
        <v>71</v>
      </c>
      <c r="I2460">
        <v>3</v>
      </c>
      <c r="J2460" t="s">
        <v>50</v>
      </c>
    </row>
    <row r="2461" spans="1:10" x14ac:dyDescent="0.25">
      <c r="A2461" t="s">
        <v>7355</v>
      </c>
      <c r="B2461">
        <f>7982.65554703456*(1/100/100)</f>
        <v>0.79826555470345606</v>
      </c>
      <c r="C2461">
        <v>21191</v>
      </c>
      <c r="D2461" t="s">
        <v>4841</v>
      </c>
      <c r="E2461">
        <v>32220</v>
      </c>
      <c r="F2461" t="s">
        <v>71</v>
      </c>
      <c r="G2461">
        <v>322</v>
      </c>
      <c r="H2461" t="s">
        <v>71</v>
      </c>
      <c r="I2461">
        <v>3</v>
      </c>
      <c r="J2461" t="s">
        <v>50</v>
      </c>
    </row>
    <row r="2462" spans="1:10" x14ac:dyDescent="0.25">
      <c r="A2462" t="s">
        <v>7355</v>
      </c>
      <c r="B2462">
        <f>26077.4951389537*(1/100/100)</f>
        <v>2.6077495138953699</v>
      </c>
      <c r="C2462">
        <v>21192</v>
      </c>
      <c r="D2462" t="s">
        <v>4849</v>
      </c>
      <c r="E2462">
        <v>32221</v>
      </c>
      <c r="F2462" t="s">
        <v>927</v>
      </c>
      <c r="G2462">
        <v>322</v>
      </c>
      <c r="H2462" t="s">
        <v>71</v>
      </c>
      <c r="I2462">
        <v>3</v>
      </c>
      <c r="J2462" t="s">
        <v>50</v>
      </c>
    </row>
    <row r="2463" spans="1:10" x14ac:dyDescent="0.25">
      <c r="A2463" t="s">
        <v>7355</v>
      </c>
      <c r="B2463">
        <f>216662.505320073*(1/100/100)</f>
        <v>21.6662505320073</v>
      </c>
      <c r="C2463">
        <v>21193</v>
      </c>
      <c r="D2463" t="s">
        <v>926</v>
      </c>
      <c r="E2463">
        <v>32219</v>
      </c>
      <c r="F2463" t="s">
        <v>926</v>
      </c>
      <c r="G2463">
        <v>322</v>
      </c>
      <c r="H2463" t="s">
        <v>71</v>
      </c>
      <c r="I2463">
        <v>3</v>
      </c>
      <c r="J2463" t="s">
        <v>50</v>
      </c>
    </row>
    <row r="2464" spans="1:10" x14ac:dyDescent="0.25">
      <c r="A2464" t="s">
        <v>7355</v>
      </c>
      <c r="B2464">
        <f>522297.552669545*(1/100/100)</f>
        <v>52.229755266954506</v>
      </c>
      <c r="C2464">
        <v>21194</v>
      </c>
      <c r="D2464" t="s">
        <v>71</v>
      </c>
      <c r="E2464">
        <v>32220</v>
      </c>
      <c r="F2464" t="s">
        <v>71</v>
      </c>
      <c r="G2464">
        <v>322</v>
      </c>
      <c r="H2464" t="s">
        <v>71</v>
      </c>
      <c r="I2464">
        <v>3</v>
      </c>
      <c r="J2464" t="s">
        <v>50</v>
      </c>
    </row>
    <row r="2465" spans="1:10" x14ac:dyDescent="0.25">
      <c r="A2465" t="s">
        <v>7355</v>
      </c>
      <c r="B2465">
        <f>12131.5160595786*(1/100/100)</f>
        <v>1.21315160595786</v>
      </c>
      <c r="C2465">
        <v>21195</v>
      </c>
      <c r="D2465" t="s">
        <v>4865</v>
      </c>
      <c r="E2465">
        <v>32223</v>
      </c>
      <c r="F2465" t="s">
        <v>929</v>
      </c>
      <c r="G2465">
        <v>322</v>
      </c>
      <c r="H2465" t="s">
        <v>71</v>
      </c>
      <c r="I2465">
        <v>3</v>
      </c>
      <c r="J2465" t="s">
        <v>50</v>
      </c>
    </row>
    <row r="2466" spans="1:10" x14ac:dyDescent="0.25">
      <c r="A2466" t="s">
        <v>7355</v>
      </c>
      <c r="B2466">
        <f>46428.1779960615*(1/100/100)</f>
        <v>4.6428177996061502</v>
      </c>
      <c r="C2466">
        <v>21196</v>
      </c>
      <c r="D2466" t="s">
        <v>4856</v>
      </c>
      <c r="E2466">
        <v>32222</v>
      </c>
      <c r="F2466" t="s">
        <v>928</v>
      </c>
      <c r="G2466">
        <v>322</v>
      </c>
      <c r="H2466" t="s">
        <v>71</v>
      </c>
      <c r="I2466">
        <v>3</v>
      </c>
      <c r="J2466" t="s">
        <v>50</v>
      </c>
    </row>
    <row r="2467" spans="1:10" x14ac:dyDescent="0.25">
      <c r="A2467" t="s">
        <v>7355</v>
      </c>
      <c r="B2467">
        <f>61431.5970164743*(1/100/100)</f>
        <v>6.1431597016474297</v>
      </c>
      <c r="C2467">
        <v>21197</v>
      </c>
      <c r="D2467" t="s">
        <v>4857</v>
      </c>
      <c r="E2467">
        <v>32222</v>
      </c>
      <c r="F2467" t="s">
        <v>928</v>
      </c>
      <c r="G2467">
        <v>322</v>
      </c>
      <c r="H2467" t="s">
        <v>71</v>
      </c>
      <c r="I2467">
        <v>3</v>
      </c>
      <c r="J2467" t="s">
        <v>50</v>
      </c>
    </row>
    <row r="2468" spans="1:10" x14ac:dyDescent="0.25">
      <c r="A2468" t="s">
        <v>7355</v>
      </c>
      <c r="B2468">
        <f>31171.46952362*(1/100/100)</f>
        <v>3.1171469523619999</v>
      </c>
      <c r="C2468">
        <v>21198</v>
      </c>
      <c r="D2468" t="s">
        <v>4750</v>
      </c>
      <c r="E2468">
        <v>32206</v>
      </c>
      <c r="F2468" t="s">
        <v>918</v>
      </c>
      <c r="G2468">
        <v>322</v>
      </c>
      <c r="H2468" t="s">
        <v>71</v>
      </c>
      <c r="I2468">
        <v>3</v>
      </c>
      <c r="J2468" t="s">
        <v>50</v>
      </c>
    </row>
    <row r="2469" spans="1:10" x14ac:dyDescent="0.25">
      <c r="A2469" t="s">
        <v>7355</v>
      </c>
      <c r="B2469">
        <f>13786.4090258532*(1/100/100)</f>
        <v>1.3786409025853201</v>
      </c>
      <c r="C2469">
        <v>21199</v>
      </c>
      <c r="D2469" t="s">
        <v>4850</v>
      </c>
      <c r="E2469">
        <v>32221</v>
      </c>
      <c r="F2469" t="s">
        <v>927</v>
      </c>
      <c r="G2469">
        <v>322</v>
      </c>
      <c r="H2469" t="s">
        <v>71</v>
      </c>
      <c r="I2469">
        <v>3</v>
      </c>
      <c r="J2469" t="s">
        <v>50</v>
      </c>
    </row>
    <row r="2470" spans="1:10" x14ac:dyDescent="0.25">
      <c r="A2470" t="s">
        <v>7355</v>
      </c>
      <c r="B2470">
        <f>18847.1480894159*(1/100/100)</f>
        <v>1.8847148089415899</v>
      </c>
      <c r="C2470">
        <v>21200</v>
      </c>
      <c r="D2470" t="s">
        <v>4751</v>
      </c>
      <c r="E2470">
        <v>32206</v>
      </c>
      <c r="F2470" t="s">
        <v>918</v>
      </c>
      <c r="G2470">
        <v>322</v>
      </c>
      <c r="H2470" t="s">
        <v>71</v>
      </c>
      <c r="I2470">
        <v>3</v>
      </c>
      <c r="J2470" t="s">
        <v>50</v>
      </c>
    </row>
    <row r="2471" spans="1:10" x14ac:dyDescent="0.25">
      <c r="A2471" t="s">
        <v>7355</v>
      </c>
      <c r="B2471">
        <f>7192.8631970844*(1/100/100)</f>
        <v>0.71928631970844004</v>
      </c>
      <c r="C2471">
        <v>21201</v>
      </c>
      <c r="D2471" t="s">
        <v>3252</v>
      </c>
      <c r="E2471">
        <v>32223</v>
      </c>
      <c r="F2471" t="s">
        <v>929</v>
      </c>
      <c r="G2471">
        <v>322</v>
      </c>
      <c r="H2471" t="s">
        <v>71</v>
      </c>
      <c r="I2471">
        <v>3</v>
      </c>
      <c r="J2471" t="s">
        <v>50</v>
      </c>
    </row>
    <row r="2472" spans="1:10" x14ac:dyDescent="0.25">
      <c r="A2472" t="s">
        <v>7355</v>
      </c>
      <c r="B2472">
        <f>52394.7694588789*(1/100/100)</f>
        <v>5.2394769458878905</v>
      </c>
      <c r="C2472">
        <v>21202</v>
      </c>
      <c r="D2472" t="s">
        <v>929</v>
      </c>
      <c r="E2472">
        <v>32223</v>
      </c>
      <c r="F2472" t="s">
        <v>929</v>
      </c>
      <c r="G2472">
        <v>322</v>
      </c>
      <c r="H2472" t="s">
        <v>71</v>
      </c>
      <c r="I2472">
        <v>3</v>
      </c>
      <c r="J2472" t="s">
        <v>50</v>
      </c>
    </row>
    <row r="2473" spans="1:10" x14ac:dyDescent="0.25">
      <c r="A2473" t="s">
        <v>7355</v>
      </c>
      <c r="B2473">
        <f>17960.2254912113*(1/100/100)</f>
        <v>1.7960225491211299</v>
      </c>
      <c r="C2473">
        <v>21203</v>
      </c>
      <c r="D2473" t="s">
        <v>4851</v>
      </c>
      <c r="E2473">
        <v>32221</v>
      </c>
      <c r="F2473" t="s">
        <v>927</v>
      </c>
      <c r="G2473">
        <v>322</v>
      </c>
      <c r="H2473" t="s">
        <v>71</v>
      </c>
      <c r="I2473">
        <v>3</v>
      </c>
      <c r="J2473" t="s">
        <v>50</v>
      </c>
    </row>
    <row r="2474" spans="1:10" x14ac:dyDescent="0.25">
      <c r="A2474" t="s">
        <v>7355</v>
      </c>
      <c r="B2474">
        <f>36081.0644415359*(1/100/100)</f>
        <v>3.6081064441535902</v>
      </c>
      <c r="C2474">
        <v>21204</v>
      </c>
      <c r="D2474" t="s">
        <v>4828</v>
      </c>
      <c r="E2474">
        <v>32219</v>
      </c>
      <c r="F2474" t="s">
        <v>926</v>
      </c>
      <c r="G2474">
        <v>322</v>
      </c>
      <c r="H2474" t="s">
        <v>71</v>
      </c>
      <c r="I2474">
        <v>3</v>
      </c>
      <c r="J2474" t="s">
        <v>50</v>
      </c>
    </row>
    <row r="2475" spans="1:10" x14ac:dyDescent="0.25">
      <c r="A2475" t="s">
        <v>7355</v>
      </c>
      <c r="B2475">
        <f>48465.4907067621*(1/100/100)</f>
        <v>4.8465490706762102</v>
      </c>
      <c r="C2475">
        <v>21205</v>
      </c>
      <c r="D2475" t="s">
        <v>4829</v>
      </c>
      <c r="E2475">
        <v>32219</v>
      </c>
      <c r="F2475" t="s">
        <v>926</v>
      </c>
      <c r="G2475">
        <v>322</v>
      </c>
      <c r="H2475" t="s">
        <v>71</v>
      </c>
      <c r="I2475">
        <v>3</v>
      </c>
      <c r="J2475" t="s">
        <v>50</v>
      </c>
    </row>
    <row r="2476" spans="1:10" x14ac:dyDescent="0.25">
      <c r="A2476" t="s">
        <v>7355</v>
      </c>
      <c r="B2476">
        <f>15234.7579617414*(1/100/100)</f>
        <v>1.5234757961741401</v>
      </c>
      <c r="C2476">
        <v>21206</v>
      </c>
      <c r="D2476" t="s">
        <v>4830</v>
      </c>
      <c r="E2476">
        <v>32219</v>
      </c>
      <c r="F2476" t="s">
        <v>926</v>
      </c>
      <c r="G2476">
        <v>322</v>
      </c>
      <c r="H2476" t="s">
        <v>71</v>
      </c>
      <c r="I2476">
        <v>3</v>
      </c>
      <c r="J2476" t="s">
        <v>50</v>
      </c>
    </row>
    <row r="2477" spans="1:10" x14ac:dyDescent="0.25">
      <c r="A2477" t="s">
        <v>7355</v>
      </c>
      <c r="B2477">
        <f>18520.1366811973*(1/100/100)</f>
        <v>1.8520136681197299</v>
      </c>
      <c r="C2477">
        <v>21207</v>
      </c>
      <c r="D2477" t="s">
        <v>4831</v>
      </c>
      <c r="E2477">
        <v>32219</v>
      </c>
      <c r="F2477" t="s">
        <v>926</v>
      </c>
      <c r="G2477">
        <v>322</v>
      </c>
      <c r="H2477" t="s">
        <v>71</v>
      </c>
      <c r="I2477">
        <v>3</v>
      </c>
      <c r="J2477" t="s">
        <v>50</v>
      </c>
    </row>
    <row r="2478" spans="1:10" x14ac:dyDescent="0.25">
      <c r="A2478" t="s">
        <v>7355</v>
      </c>
      <c r="B2478">
        <f>38126.5402655207*(1/100/100)</f>
        <v>3.8126540265520701</v>
      </c>
      <c r="C2478">
        <v>21208</v>
      </c>
      <c r="D2478" t="s">
        <v>4832</v>
      </c>
      <c r="E2478">
        <v>32219</v>
      </c>
      <c r="F2478" t="s">
        <v>926</v>
      </c>
      <c r="G2478">
        <v>322</v>
      </c>
      <c r="H2478" t="s">
        <v>71</v>
      </c>
      <c r="I2478">
        <v>3</v>
      </c>
      <c r="J2478" t="s">
        <v>50</v>
      </c>
    </row>
    <row r="2479" spans="1:10" x14ac:dyDescent="0.25">
      <c r="A2479" t="s">
        <v>7355</v>
      </c>
      <c r="B2479">
        <f>27937.4035230986*(1/100/100)</f>
        <v>2.7937403523098601</v>
      </c>
      <c r="C2479">
        <v>21209</v>
      </c>
      <c r="D2479" t="s">
        <v>87</v>
      </c>
      <c r="E2479">
        <v>32214</v>
      </c>
      <c r="F2479" t="s">
        <v>923</v>
      </c>
      <c r="G2479">
        <v>322</v>
      </c>
      <c r="H2479" t="s">
        <v>71</v>
      </c>
      <c r="I2479">
        <v>3</v>
      </c>
      <c r="J2479" t="s">
        <v>50</v>
      </c>
    </row>
    <row r="2480" spans="1:10" x14ac:dyDescent="0.25">
      <c r="A2480" t="s">
        <v>7355</v>
      </c>
      <c r="B2480">
        <f>23582.3596642458*(1/100/100)</f>
        <v>2.35823596642458</v>
      </c>
      <c r="C2480">
        <v>21210</v>
      </c>
      <c r="D2480" t="s">
        <v>4833</v>
      </c>
      <c r="E2480">
        <v>32219</v>
      </c>
      <c r="F2480" t="s">
        <v>926</v>
      </c>
      <c r="G2480">
        <v>322</v>
      </c>
      <c r="H2480" t="s">
        <v>71</v>
      </c>
      <c r="I2480">
        <v>3</v>
      </c>
      <c r="J2480" t="s">
        <v>50</v>
      </c>
    </row>
    <row r="2481" spans="1:10" x14ac:dyDescent="0.25">
      <c r="A2481" t="s">
        <v>7355</v>
      </c>
      <c r="B2481">
        <f>58671.2243525946*(1/100/100)</f>
        <v>5.8671224352594606</v>
      </c>
      <c r="C2481">
        <v>22001</v>
      </c>
      <c r="D2481" t="s">
        <v>4591</v>
      </c>
      <c r="E2481">
        <v>32005</v>
      </c>
      <c r="F2481" t="s">
        <v>884</v>
      </c>
      <c r="G2481">
        <v>320</v>
      </c>
      <c r="H2481" t="s">
        <v>69</v>
      </c>
      <c r="I2481">
        <v>3</v>
      </c>
      <c r="J2481" t="s">
        <v>50</v>
      </c>
    </row>
    <row r="2482" spans="1:10" x14ac:dyDescent="0.25">
      <c r="A2482" t="s">
        <v>7355</v>
      </c>
      <c r="B2482">
        <f>45581.9276345999*(1/100/100)</f>
        <v>4.5581927634599904</v>
      </c>
      <c r="C2482">
        <v>22002</v>
      </c>
      <c r="D2482" t="s">
        <v>4576</v>
      </c>
      <c r="E2482">
        <v>32001</v>
      </c>
      <c r="F2482" t="s">
        <v>880</v>
      </c>
      <c r="G2482">
        <v>320</v>
      </c>
      <c r="H2482" t="s">
        <v>69</v>
      </c>
      <c r="I2482">
        <v>3</v>
      </c>
      <c r="J2482" t="s">
        <v>50</v>
      </c>
    </row>
    <row r="2483" spans="1:10" x14ac:dyDescent="0.25">
      <c r="A2483" t="s">
        <v>7355</v>
      </c>
      <c r="B2483">
        <f>15434.8995362986*(1/100/100)</f>
        <v>1.5434899536298601</v>
      </c>
      <c r="C2483">
        <v>22003</v>
      </c>
      <c r="D2483" t="s">
        <v>4592</v>
      </c>
      <c r="E2483">
        <v>32005</v>
      </c>
      <c r="F2483" t="s">
        <v>884</v>
      </c>
      <c r="G2483">
        <v>320</v>
      </c>
      <c r="H2483" t="s">
        <v>69</v>
      </c>
      <c r="I2483">
        <v>3</v>
      </c>
      <c r="J2483" t="s">
        <v>50</v>
      </c>
    </row>
    <row r="2484" spans="1:10" x14ac:dyDescent="0.25">
      <c r="A2484" t="s">
        <v>7355</v>
      </c>
      <c r="B2484">
        <f>31232.9164570523*(1/100/100)</f>
        <v>3.1232916457052302</v>
      </c>
      <c r="C2484">
        <v>22004</v>
      </c>
      <c r="D2484" t="s">
        <v>4577</v>
      </c>
      <c r="E2484">
        <v>32001</v>
      </c>
      <c r="F2484" t="s">
        <v>880</v>
      </c>
      <c r="G2484">
        <v>320</v>
      </c>
      <c r="H2484" t="s">
        <v>69</v>
      </c>
      <c r="I2484">
        <v>3</v>
      </c>
      <c r="J2484" t="s">
        <v>50</v>
      </c>
    </row>
    <row r="2485" spans="1:10" x14ac:dyDescent="0.25">
      <c r="A2485" t="s">
        <v>7355</v>
      </c>
      <c r="B2485">
        <f>22751.9591119099*(1/100/100)</f>
        <v>2.2751959111909899</v>
      </c>
      <c r="C2485">
        <v>22005</v>
      </c>
      <c r="D2485" t="s">
        <v>3507</v>
      </c>
      <c r="E2485">
        <v>32010</v>
      </c>
      <c r="F2485" t="s">
        <v>889</v>
      </c>
      <c r="G2485">
        <v>320</v>
      </c>
      <c r="H2485" t="s">
        <v>69</v>
      </c>
      <c r="I2485">
        <v>3</v>
      </c>
      <c r="J2485" t="s">
        <v>50</v>
      </c>
    </row>
    <row r="2486" spans="1:10" x14ac:dyDescent="0.25">
      <c r="A2486" t="s">
        <v>7355</v>
      </c>
      <c r="B2486">
        <f>48195.7964734194*(1/100/100)</f>
        <v>4.8195796473419401</v>
      </c>
      <c r="C2486">
        <v>22006</v>
      </c>
      <c r="D2486" t="s">
        <v>4606</v>
      </c>
      <c r="E2486">
        <v>32009</v>
      </c>
      <c r="F2486" t="s">
        <v>888</v>
      </c>
      <c r="G2486">
        <v>320</v>
      </c>
      <c r="H2486" t="s">
        <v>69</v>
      </c>
      <c r="I2486">
        <v>3</v>
      </c>
      <c r="J2486" t="s">
        <v>50</v>
      </c>
    </row>
    <row r="2487" spans="1:10" x14ac:dyDescent="0.25">
      <c r="A2487" t="s">
        <v>7355</v>
      </c>
      <c r="B2487">
        <f>132141.159567043*(1/100/100)</f>
        <v>13.214115956704301</v>
      </c>
      <c r="C2487">
        <v>22007</v>
      </c>
      <c r="D2487" t="s">
        <v>880</v>
      </c>
      <c r="E2487">
        <v>32001</v>
      </c>
      <c r="F2487" t="s">
        <v>880</v>
      </c>
      <c r="G2487">
        <v>320</v>
      </c>
      <c r="H2487" t="s">
        <v>69</v>
      </c>
      <c r="I2487">
        <v>3</v>
      </c>
      <c r="J2487" t="s">
        <v>50</v>
      </c>
    </row>
    <row r="2488" spans="1:10" x14ac:dyDescent="0.25">
      <c r="A2488" t="s">
        <v>7355</v>
      </c>
      <c r="B2488">
        <f>144823.693605286*(1/100/100)</f>
        <v>14.482369360528601</v>
      </c>
      <c r="C2488">
        <v>22008</v>
      </c>
      <c r="D2488" t="s">
        <v>4582</v>
      </c>
      <c r="E2488">
        <v>32002</v>
      </c>
      <c r="F2488" t="s">
        <v>881</v>
      </c>
      <c r="G2488">
        <v>320</v>
      </c>
      <c r="H2488" t="s">
        <v>69</v>
      </c>
      <c r="I2488">
        <v>3</v>
      </c>
      <c r="J2488" t="s">
        <v>50</v>
      </c>
    </row>
    <row r="2489" spans="1:10" x14ac:dyDescent="0.25">
      <c r="A2489" t="s">
        <v>7355</v>
      </c>
      <c r="B2489">
        <f>224284.36845836*(1/100/100)</f>
        <v>22.428436845836</v>
      </c>
      <c r="C2489">
        <v>22009</v>
      </c>
      <c r="D2489" t="s">
        <v>882</v>
      </c>
      <c r="E2489">
        <v>32003</v>
      </c>
      <c r="F2489" t="s">
        <v>882</v>
      </c>
      <c r="G2489">
        <v>320</v>
      </c>
      <c r="H2489" t="s">
        <v>69</v>
      </c>
      <c r="I2489">
        <v>3</v>
      </c>
      <c r="J2489" t="s">
        <v>50</v>
      </c>
    </row>
    <row r="2490" spans="1:10" x14ac:dyDescent="0.25">
      <c r="A2490" t="s">
        <v>7355</v>
      </c>
      <c r="B2490">
        <f>27574.5581630814*(1/100/100)</f>
        <v>2.7574558163081404</v>
      </c>
      <c r="C2490">
        <v>22010</v>
      </c>
      <c r="D2490" t="s">
        <v>4607</v>
      </c>
      <c r="E2490">
        <v>32009</v>
      </c>
      <c r="F2490" t="s">
        <v>888</v>
      </c>
      <c r="G2490">
        <v>320</v>
      </c>
      <c r="H2490" t="s">
        <v>69</v>
      </c>
      <c r="I2490">
        <v>3</v>
      </c>
      <c r="J2490" t="s">
        <v>50</v>
      </c>
    </row>
    <row r="2491" spans="1:10" x14ac:dyDescent="0.25">
      <c r="A2491" t="s">
        <v>7355</v>
      </c>
      <c r="B2491">
        <f>20989.4046335763*(1/100/100)</f>
        <v>2.0989404633576303</v>
      </c>
      <c r="C2491">
        <v>22011</v>
      </c>
      <c r="D2491" t="s">
        <v>4583</v>
      </c>
      <c r="E2491">
        <v>32002</v>
      </c>
      <c r="F2491" t="s">
        <v>881</v>
      </c>
      <c r="G2491">
        <v>320</v>
      </c>
      <c r="H2491" t="s">
        <v>69</v>
      </c>
      <c r="I2491">
        <v>3</v>
      </c>
      <c r="J2491" t="s">
        <v>50</v>
      </c>
    </row>
    <row r="2492" spans="1:10" x14ac:dyDescent="0.25">
      <c r="A2492" t="s">
        <v>7355</v>
      </c>
      <c r="B2492">
        <f>26691.0559152391*(1/100/100)</f>
        <v>2.6691055915239099</v>
      </c>
      <c r="C2492">
        <v>22012</v>
      </c>
      <c r="D2492" t="s">
        <v>700</v>
      </c>
      <c r="E2492">
        <v>32005</v>
      </c>
      <c r="F2492" t="s">
        <v>884</v>
      </c>
      <c r="G2492">
        <v>320</v>
      </c>
      <c r="H2492" t="s">
        <v>69</v>
      </c>
      <c r="I2492">
        <v>3</v>
      </c>
      <c r="J2492" t="s">
        <v>50</v>
      </c>
    </row>
    <row r="2493" spans="1:10" x14ac:dyDescent="0.25">
      <c r="A2493" t="s">
        <v>7355</v>
      </c>
      <c r="B2493">
        <f>21433.635321616*(1/100/100)</f>
        <v>2.1433635321616</v>
      </c>
      <c r="C2493">
        <v>22013</v>
      </c>
      <c r="D2493" t="s">
        <v>4323</v>
      </c>
      <c r="E2493">
        <v>32010</v>
      </c>
      <c r="F2493" t="s">
        <v>889</v>
      </c>
      <c r="G2493">
        <v>320</v>
      </c>
      <c r="H2493" t="s">
        <v>69</v>
      </c>
      <c r="I2493">
        <v>3</v>
      </c>
      <c r="J2493" t="s">
        <v>50</v>
      </c>
    </row>
    <row r="2494" spans="1:10" x14ac:dyDescent="0.25">
      <c r="A2494" t="s">
        <v>7355</v>
      </c>
      <c r="B2494">
        <f>76017.7396350258*(1/100/100)</f>
        <v>7.6017739635025814</v>
      </c>
      <c r="C2494">
        <v>22014</v>
      </c>
      <c r="D2494" t="s">
        <v>4578</v>
      </c>
      <c r="E2494">
        <v>32001</v>
      </c>
      <c r="F2494" t="s">
        <v>880</v>
      </c>
      <c r="G2494">
        <v>320</v>
      </c>
      <c r="H2494" t="s">
        <v>69</v>
      </c>
      <c r="I2494">
        <v>3</v>
      </c>
      <c r="J2494" t="s">
        <v>50</v>
      </c>
    </row>
    <row r="2495" spans="1:10" x14ac:dyDescent="0.25">
      <c r="A2495" t="s">
        <v>7355</v>
      </c>
      <c r="B2495">
        <f>17290.1638050051*(1/100/100)</f>
        <v>1.7290163805005101</v>
      </c>
      <c r="C2495">
        <v>22015</v>
      </c>
      <c r="D2495" t="s">
        <v>4584</v>
      </c>
      <c r="E2495">
        <v>32002</v>
      </c>
      <c r="F2495" t="s">
        <v>881</v>
      </c>
      <c r="G2495">
        <v>320</v>
      </c>
      <c r="H2495" t="s">
        <v>69</v>
      </c>
      <c r="I2495">
        <v>3</v>
      </c>
      <c r="J2495" t="s">
        <v>50</v>
      </c>
    </row>
    <row r="2496" spans="1:10" x14ac:dyDescent="0.25">
      <c r="A2496" t="s">
        <v>7355</v>
      </c>
      <c r="B2496">
        <f>62496.8684264128*(1/100/100)</f>
        <v>6.2496868426412808</v>
      </c>
      <c r="C2496">
        <v>22016</v>
      </c>
      <c r="D2496" t="s">
        <v>4579</v>
      </c>
      <c r="E2496">
        <v>32001</v>
      </c>
      <c r="F2496" t="s">
        <v>880</v>
      </c>
      <c r="G2496">
        <v>320</v>
      </c>
      <c r="H2496" t="s">
        <v>69</v>
      </c>
      <c r="I2496">
        <v>3</v>
      </c>
      <c r="J2496" t="s">
        <v>50</v>
      </c>
    </row>
    <row r="2497" spans="1:10" x14ac:dyDescent="0.25">
      <c r="A2497" t="s">
        <v>7355</v>
      </c>
      <c r="B2497">
        <f>39577.3815081078*(1/100/100)</f>
        <v>3.9577381508107803</v>
      </c>
      <c r="C2497">
        <v>22017</v>
      </c>
      <c r="D2497" t="s">
        <v>1595</v>
      </c>
      <c r="E2497">
        <v>32002</v>
      </c>
      <c r="F2497" t="s">
        <v>881</v>
      </c>
      <c r="G2497">
        <v>320</v>
      </c>
      <c r="H2497" t="s">
        <v>69</v>
      </c>
      <c r="I2497">
        <v>3</v>
      </c>
      <c r="J2497" t="s">
        <v>50</v>
      </c>
    </row>
    <row r="2498" spans="1:10" x14ac:dyDescent="0.25">
      <c r="A2498" t="s">
        <v>7355</v>
      </c>
      <c r="B2498">
        <f>67008.4350439339*(1/100/100)</f>
        <v>6.7008435043933909</v>
      </c>
      <c r="C2498">
        <v>22018</v>
      </c>
      <c r="D2498" t="s">
        <v>4593</v>
      </c>
      <c r="E2498">
        <v>32005</v>
      </c>
      <c r="F2498" t="s">
        <v>884</v>
      </c>
      <c r="G2498">
        <v>320</v>
      </c>
      <c r="H2498" t="s">
        <v>69</v>
      </c>
      <c r="I2498">
        <v>3</v>
      </c>
      <c r="J2498" t="s">
        <v>50</v>
      </c>
    </row>
    <row r="2499" spans="1:10" x14ac:dyDescent="0.25">
      <c r="A2499" t="s">
        <v>7355</v>
      </c>
      <c r="B2499">
        <f>29275.6132031256*(1/100/100)</f>
        <v>2.9275613203125599</v>
      </c>
      <c r="C2499">
        <v>22019</v>
      </c>
      <c r="D2499" t="s">
        <v>4594</v>
      </c>
      <c r="E2499">
        <v>32005</v>
      </c>
      <c r="F2499" t="s">
        <v>884</v>
      </c>
      <c r="G2499">
        <v>320</v>
      </c>
      <c r="H2499" t="s">
        <v>69</v>
      </c>
      <c r="I2499">
        <v>3</v>
      </c>
      <c r="J2499" t="s">
        <v>50</v>
      </c>
    </row>
    <row r="2500" spans="1:10" x14ac:dyDescent="0.25">
      <c r="A2500" t="s">
        <v>7355</v>
      </c>
      <c r="B2500">
        <f>15275.8674084136*(1/100/100)</f>
        <v>1.5275867408413601</v>
      </c>
      <c r="C2500">
        <v>22020</v>
      </c>
      <c r="D2500" t="s">
        <v>4438</v>
      </c>
      <c r="E2500">
        <v>32001</v>
      </c>
      <c r="F2500" t="s">
        <v>880</v>
      </c>
      <c r="G2500">
        <v>320</v>
      </c>
      <c r="H2500" t="s">
        <v>69</v>
      </c>
      <c r="I2500">
        <v>3</v>
      </c>
      <c r="J2500" t="s">
        <v>50</v>
      </c>
    </row>
    <row r="2501" spans="1:10" x14ac:dyDescent="0.25">
      <c r="A2501" t="s">
        <v>7355</v>
      </c>
      <c r="B2501">
        <f>10428.4570699432*(1/100/100)</f>
        <v>1.0428457069943202</v>
      </c>
      <c r="C2501">
        <v>22021</v>
      </c>
      <c r="D2501" t="s">
        <v>4580</v>
      </c>
      <c r="E2501">
        <v>32001</v>
      </c>
      <c r="F2501" t="s">
        <v>880</v>
      </c>
      <c r="G2501">
        <v>320</v>
      </c>
      <c r="H2501" t="s">
        <v>69</v>
      </c>
      <c r="I2501">
        <v>3</v>
      </c>
      <c r="J2501" t="s">
        <v>50</v>
      </c>
    </row>
    <row r="2502" spans="1:10" x14ac:dyDescent="0.25">
      <c r="A2502" t="s">
        <v>7355</v>
      </c>
      <c r="B2502">
        <f>19153.1456133146*(1/100/100)</f>
        <v>1.9153145613314599</v>
      </c>
      <c r="C2502">
        <v>22022</v>
      </c>
      <c r="D2502" t="s">
        <v>441</v>
      </c>
      <c r="E2502">
        <v>32001</v>
      </c>
      <c r="F2502" t="s">
        <v>880</v>
      </c>
      <c r="G2502">
        <v>320</v>
      </c>
      <c r="H2502" t="s">
        <v>69</v>
      </c>
      <c r="I2502">
        <v>3</v>
      </c>
      <c r="J2502" t="s">
        <v>50</v>
      </c>
    </row>
    <row r="2503" spans="1:10" x14ac:dyDescent="0.25">
      <c r="A2503" t="s">
        <v>7355</v>
      </c>
      <c r="B2503">
        <f>67997.5447298555*(1/100/100)</f>
        <v>6.7997544729855495</v>
      </c>
      <c r="C2503">
        <v>22023</v>
      </c>
      <c r="D2503" t="s">
        <v>4588</v>
      </c>
      <c r="E2503">
        <v>32004</v>
      </c>
      <c r="F2503" t="s">
        <v>883</v>
      </c>
      <c r="G2503">
        <v>320</v>
      </c>
      <c r="H2503" t="s">
        <v>69</v>
      </c>
      <c r="I2503">
        <v>3</v>
      </c>
      <c r="J2503" t="s">
        <v>50</v>
      </c>
    </row>
    <row r="2504" spans="1:10" x14ac:dyDescent="0.25">
      <c r="A2504" t="s">
        <v>7355</v>
      </c>
      <c r="B2504">
        <f>134217.218381979*(1/100/100)</f>
        <v>13.421721838197902</v>
      </c>
      <c r="C2504">
        <v>22024</v>
      </c>
      <c r="D2504" t="s">
        <v>4608</v>
      </c>
      <c r="E2504">
        <v>32009</v>
      </c>
      <c r="F2504" t="s">
        <v>888</v>
      </c>
      <c r="G2504">
        <v>320</v>
      </c>
      <c r="H2504" t="s">
        <v>69</v>
      </c>
      <c r="I2504">
        <v>3</v>
      </c>
      <c r="J2504" t="s">
        <v>50</v>
      </c>
    </row>
    <row r="2505" spans="1:10" x14ac:dyDescent="0.25">
      <c r="A2505" t="s">
        <v>7355</v>
      </c>
      <c r="B2505">
        <f>24670.499129273*(1/100/100)</f>
        <v>2.4670499129273002</v>
      </c>
      <c r="C2505">
        <v>22025</v>
      </c>
      <c r="D2505" t="s">
        <v>4581</v>
      </c>
      <c r="E2505">
        <v>32001</v>
      </c>
      <c r="F2505" t="s">
        <v>880</v>
      </c>
      <c r="G2505">
        <v>320</v>
      </c>
      <c r="H2505" t="s">
        <v>69</v>
      </c>
      <c r="I2505">
        <v>3</v>
      </c>
      <c r="J2505" t="s">
        <v>50</v>
      </c>
    </row>
    <row r="2506" spans="1:10" x14ac:dyDescent="0.25">
      <c r="A2506" t="s">
        <v>7355</v>
      </c>
      <c r="B2506">
        <f>41256.7717676932*(1/100/100)</f>
        <v>4.1256771767693206</v>
      </c>
      <c r="C2506">
        <v>22026</v>
      </c>
      <c r="D2506" t="s">
        <v>4609</v>
      </c>
      <c r="E2506">
        <v>32009</v>
      </c>
      <c r="F2506" t="s">
        <v>888</v>
      </c>
      <c r="G2506">
        <v>320</v>
      </c>
      <c r="H2506" t="s">
        <v>69</v>
      </c>
      <c r="I2506">
        <v>3</v>
      </c>
      <c r="J2506" t="s">
        <v>50</v>
      </c>
    </row>
    <row r="2507" spans="1:10" x14ac:dyDescent="0.25">
      <c r="A2507" t="s">
        <v>7355</v>
      </c>
      <c r="B2507">
        <f>54088.3373933765*(1/100/100)</f>
        <v>5.4088337393376502</v>
      </c>
      <c r="C2507">
        <v>22027</v>
      </c>
      <c r="D2507" t="s">
        <v>888</v>
      </c>
      <c r="E2507">
        <v>32009</v>
      </c>
      <c r="F2507" t="s">
        <v>888</v>
      </c>
      <c r="G2507">
        <v>320</v>
      </c>
      <c r="H2507" t="s">
        <v>69</v>
      </c>
      <c r="I2507">
        <v>3</v>
      </c>
      <c r="J2507" t="s">
        <v>50</v>
      </c>
    </row>
    <row r="2508" spans="1:10" x14ac:dyDescent="0.25">
      <c r="A2508" t="s">
        <v>7355</v>
      </c>
      <c r="B2508">
        <f>44928.8319583457*(1/100/100)</f>
        <v>4.4928831958345699</v>
      </c>
      <c r="C2508">
        <v>22028</v>
      </c>
      <c r="D2508" t="s">
        <v>889</v>
      </c>
      <c r="E2508">
        <v>32010</v>
      </c>
      <c r="F2508" t="s">
        <v>889</v>
      </c>
      <c r="G2508">
        <v>320</v>
      </c>
      <c r="H2508" t="s">
        <v>69</v>
      </c>
      <c r="I2508">
        <v>3</v>
      </c>
      <c r="J2508" t="s">
        <v>50</v>
      </c>
    </row>
    <row r="2509" spans="1:10" x14ac:dyDescent="0.25">
      <c r="A2509" t="s">
        <v>7355</v>
      </c>
      <c r="B2509">
        <f>40766.0310690193*(1/100/100)</f>
        <v>4.0766031069019304</v>
      </c>
      <c r="C2509">
        <v>22029</v>
      </c>
      <c r="D2509" t="s">
        <v>4611</v>
      </c>
      <c r="E2509">
        <v>32010</v>
      </c>
      <c r="F2509" t="s">
        <v>889</v>
      </c>
      <c r="G2509">
        <v>320</v>
      </c>
      <c r="H2509" t="s">
        <v>69</v>
      </c>
      <c r="I2509">
        <v>3</v>
      </c>
      <c r="J2509" t="s">
        <v>50</v>
      </c>
    </row>
    <row r="2510" spans="1:10" x14ac:dyDescent="0.25">
      <c r="A2510" t="s">
        <v>7355</v>
      </c>
      <c r="B2510">
        <f>60575.6189786449*(1/100/100)</f>
        <v>6.057561897864491</v>
      </c>
      <c r="C2510">
        <v>22030</v>
      </c>
      <c r="D2510" t="s">
        <v>4589</v>
      </c>
      <c r="E2510">
        <v>32004</v>
      </c>
      <c r="F2510" t="s">
        <v>883</v>
      </c>
      <c r="G2510">
        <v>320</v>
      </c>
      <c r="H2510" t="s">
        <v>69</v>
      </c>
      <c r="I2510">
        <v>3</v>
      </c>
      <c r="J2510" t="s">
        <v>50</v>
      </c>
    </row>
    <row r="2511" spans="1:10" x14ac:dyDescent="0.25">
      <c r="A2511" t="s">
        <v>7355</v>
      </c>
      <c r="B2511">
        <f>16035.0233839655*(1/100/100)</f>
        <v>1.6035023383965501</v>
      </c>
      <c r="C2511">
        <v>22031</v>
      </c>
      <c r="D2511" t="s">
        <v>4595</v>
      </c>
      <c r="E2511">
        <v>32005</v>
      </c>
      <c r="F2511" t="s">
        <v>884</v>
      </c>
      <c r="G2511">
        <v>320</v>
      </c>
      <c r="H2511" t="s">
        <v>69</v>
      </c>
      <c r="I2511">
        <v>3</v>
      </c>
      <c r="J2511" t="s">
        <v>50</v>
      </c>
    </row>
    <row r="2512" spans="1:10" x14ac:dyDescent="0.25">
      <c r="A2512" t="s">
        <v>7355</v>
      </c>
      <c r="B2512">
        <f>28284.2337542564*(1/100/100)</f>
        <v>2.8284233754256398</v>
      </c>
      <c r="C2512">
        <v>22032</v>
      </c>
      <c r="D2512" t="s">
        <v>4585</v>
      </c>
      <c r="E2512">
        <v>32002</v>
      </c>
      <c r="F2512" t="s">
        <v>881</v>
      </c>
      <c r="G2512">
        <v>320</v>
      </c>
      <c r="H2512" t="s">
        <v>69</v>
      </c>
      <c r="I2512">
        <v>3</v>
      </c>
      <c r="J2512" t="s">
        <v>50</v>
      </c>
    </row>
    <row r="2513" spans="1:10" x14ac:dyDescent="0.25">
      <c r="A2513" t="s">
        <v>7355</v>
      </c>
      <c r="B2513">
        <f>38520.4100387932*(1/100/100)</f>
        <v>3.8520410038793198</v>
      </c>
      <c r="C2513">
        <v>22033</v>
      </c>
      <c r="D2513" t="s">
        <v>4610</v>
      </c>
      <c r="E2513">
        <v>32009</v>
      </c>
      <c r="F2513" t="s">
        <v>888</v>
      </c>
      <c r="G2513">
        <v>320</v>
      </c>
      <c r="H2513" t="s">
        <v>69</v>
      </c>
      <c r="I2513">
        <v>3</v>
      </c>
      <c r="J2513" t="s">
        <v>50</v>
      </c>
    </row>
    <row r="2514" spans="1:10" x14ac:dyDescent="0.25">
      <c r="A2514" t="s">
        <v>7355</v>
      </c>
      <c r="B2514">
        <f>113747.951294179*(1/100/100)</f>
        <v>11.374795129417901</v>
      </c>
      <c r="C2514">
        <v>22034</v>
      </c>
      <c r="D2514" t="s">
        <v>4590</v>
      </c>
      <c r="E2514">
        <v>32004</v>
      </c>
      <c r="F2514" t="s">
        <v>883</v>
      </c>
      <c r="G2514">
        <v>320</v>
      </c>
      <c r="H2514" t="s">
        <v>69</v>
      </c>
      <c r="I2514">
        <v>3</v>
      </c>
      <c r="J2514" t="s">
        <v>50</v>
      </c>
    </row>
    <row r="2515" spans="1:10" x14ac:dyDescent="0.25">
      <c r="A2515" t="s">
        <v>7355</v>
      </c>
      <c r="B2515">
        <f>17551.4748138486*(1/100/100)</f>
        <v>1.75514748138486</v>
      </c>
      <c r="C2515">
        <v>22035</v>
      </c>
      <c r="D2515" t="s">
        <v>2867</v>
      </c>
      <c r="E2515">
        <v>32005</v>
      </c>
      <c r="F2515" t="s">
        <v>884</v>
      </c>
      <c r="G2515">
        <v>320</v>
      </c>
      <c r="H2515" t="s">
        <v>69</v>
      </c>
      <c r="I2515">
        <v>3</v>
      </c>
      <c r="J2515" t="s">
        <v>50</v>
      </c>
    </row>
    <row r="2516" spans="1:10" x14ac:dyDescent="0.25">
      <c r="A2516" t="s">
        <v>7355</v>
      </c>
      <c r="B2516">
        <f>30021.0033648062*(1/100/100)</f>
        <v>3.0021003364806202</v>
      </c>
      <c r="C2516">
        <v>22036</v>
      </c>
      <c r="D2516" t="s">
        <v>4587</v>
      </c>
      <c r="E2516">
        <v>32003</v>
      </c>
      <c r="F2516" t="s">
        <v>882</v>
      </c>
      <c r="G2516">
        <v>320</v>
      </c>
      <c r="H2516" t="s">
        <v>69</v>
      </c>
      <c r="I2516">
        <v>3</v>
      </c>
      <c r="J2516" t="s">
        <v>50</v>
      </c>
    </row>
    <row r="2517" spans="1:10" x14ac:dyDescent="0.25">
      <c r="A2517" t="s">
        <v>7355</v>
      </c>
      <c r="B2517">
        <f>27504.4435854768*(1/100/100)</f>
        <v>2.7504443585476803</v>
      </c>
      <c r="C2517">
        <v>22037</v>
      </c>
      <c r="D2517" t="s">
        <v>4586</v>
      </c>
      <c r="E2517">
        <v>32002</v>
      </c>
      <c r="F2517" t="s">
        <v>881</v>
      </c>
      <c r="G2517">
        <v>320</v>
      </c>
      <c r="H2517" t="s">
        <v>69</v>
      </c>
      <c r="I2517">
        <v>3</v>
      </c>
      <c r="J2517" t="s">
        <v>50</v>
      </c>
    </row>
    <row r="2518" spans="1:10" x14ac:dyDescent="0.25">
      <c r="A2518" t="s">
        <v>7355</v>
      </c>
      <c r="B2518">
        <f>14776.9871591484*(1/100/100)</f>
        <v>1.47769871591484</v>
      </c>
      <c r="C2518">
        <v>22101</v>
      </c>
      <c r="D2518" t="s">
        <v>1659</v>
      </c>
      <c r="E2518">
        <v>32011</v>
      </c>
      <c r="F2518" t="s">
        <v>4612</v>
      </c>
      <c r="G2518">
        <v>320</v>
      </c>
      <c r="H2518" t="s">
        <v>69</v>
      </c>
      <c r="I2518">
        <v>3</v>
      </c>
      <c r="J2518" t="s">
        <v>50</v>
      </c>
    </row>
    <row r="2519" spans="1:10" x14ac:dyDescent="0.25">
      <c r="A2519" t="s">
        <v>7355</v>
      </c>
      <c r="B2519">
        <f>69549.5335152122*(1/100/100)</f>
        <v>6.9549533515212199</v>
      </c>
      <c r="C2519">
        <v>22102</v>
      </c>
      <c r="D2519" t="s">
        <v>4623</v>
      </c>
      <c r="E2519">
        <v>32014</v>
      </c>
      <c r="F2519" t="s">
        <v>890</v>
      </c>
      <c r="G2519">
        <v>320</v>
      </c>
      <c r="H2519" t="s">
        <v>69</v>
      </c>
      <c r="I2519">
        <v>3</v>
      </c>
      <c r="J2519" t="s">
        <v>50</v>
      </c>
    </row>
    <row r="2520" spans="1:10" x14ac:dyDescent="0.25">
      <c r="A2520" t="s">
        <v>7355</v>
      </c>
      <c r="B2520">
        <f>114039.552372236*(1/100/100)</f>
        <v>11.403955237223601</v>
      </c>
      <c r="C2520">
        <v>22103</v>
      </c>
      <c r="D2520" t="s">
        <v>4618</v>
      </c>
      <c r="E2520">
        <v>32013</v>
      </c>
      <c r="F2520" t="s">
        <v>69</v>
      </c>
      <c r="G2520">
        <v>320</v>
      </c>
      <c r="H2520" t="s">
        <v>69</v>
      </c>
      <c r="I2520">
        <v>3</v>
      </c>
      <c r="J2520" t="s">
        <v>50</v>
      </c>
    </row>
    <row r="2521" spans="1:10" x14ac:dyDescent="0.25">
      <c r="A2521" t="s">
        <v>7355</v>
      </c>
      <c r="B2521">
        <f>51241.3317126179*(1/100/100)</f>
        <v>5.1241331712617901</v>
      </c>
      <c r="C2521">
        <v>22104</v>
      </c>
      <c r="D2521" t="s">
        <v>2060</v>
      </c>
      <c r="E2521">
        <v>32018</v>
      </c>
      <c r="F2521" t="s">
        <v>894</v>
      </c>
      <c r="G2521">
        <v>320</v>
      </c>
      <c r="H2521" t="s">
        <v>69</v>
      </c>
      <c r="I2521">
        <v>3</v>
      </c>
      <c r="J2521" t="s">
        <v>50</v>
      </c>
    </row>
    <row r="2522" spans="1:10" x14ac:dyDescent="0.25">
      <c r="A2522" t="s">
        <v>7355</v>
      </c>
      <c r="B2522">
        <f>34400.1097458228*(1/100/100)</f>
        <v>3.4400109745822807</v>
      </c>
      <c r="C2522">
        <v>22105</v>
      </c>
      <c r="D2522" t="s">
        <v>4616</v>
      </c>
      <c r="E2522">
        <v>32012</v>
      </c>
      <c r="F2522" t="s">
        <v>4617</v>
      </c>
      <c r="G2522">
        <v>320</v>
      </c>
      <c r="H2522" t="s">
        <v>69</v>
      </c>
      <c r="I2522">
        <v>3</v>
      </c>
      <c r="J2522" t="s">
        <v>50</v>
      </c>
    </row>
    <row r="2523" spans="1:10" x14ac:dyDescent="0.25">
      <c r="A2523" t="s">
        <v>7355</v>
      </c>
      <c r="B2523">
        <f>34521.0177844465*(1/100/100)</f>
        <v>3.4521017784446499</v>
      </c>
      <c r="C2523">
        <v>22106</v>
      </c>
      <c r="D2523" t="s">
        <v>4624</v>
      </c>
      <c r="E2523">
        <v>32014</v>
      </c>
      <c r="F2523" t="s">
        <v>890</v>
      </c>
      <c r="G2523">
        <v>320</v>
      </c>
      <c r="H2523" t="s">
        <v>69</v>
      </c>
      <c r="I2523">
        <v>3</v>
      </c>
      <c r="J2523" t="s">
        <v>50</v>
      </c>
    </row>
    <row r="2524" spans="1:10" x14ac:dyDescent="0.25">
      <c r="A2524" t="s">
        <v>7355</v>
      </c>
      <c r="B2524">
        <f>71420.870761566*(1/100/100)</f>
        <v>7.1420870761566002</v>
      </c>
      <c r="C2524">
        <v>22107</v>
      </c>
      <c r="D2524" t="s">
        <v>4633</v>
      </c>
      <c r="E2524">
        <v>32018</v>
      </c>
      <c r="F2524" t="s">
        <v>894</v>
      </c>
      <c r="G2524">
        <v>320</v>
      </c>
      <c r="H2524" t="s">
        <v>69</v>
      </c>
      <c r="I2524">
        <v>3</v>
      </c>
      <c r="J2524" t="s">
        <v>50</v>
      </c>
    </row>
    <row r="2525" spans="1:10" x14ac:dyDescent="0.25">
      <c r="A2525" t="s">
        <v>7355</v>
      </c>
      <c r="B2525">
        <f>68529.3000549943*(1/100/100)</f>
        <v>6.85293000549943</v>
      </c>
      <c r="C2525">
        <v>22108</v>
      </c>
      <c r="D2525" t="s">
        <v>4598</v>
      </c>
      <c r="E2525">
        <v>32008</v>
      </c>
      <c r="F2525" t="s">
        <v>887</v>
      </c>
      <c r="G2525">
        <v>320</v>
      </c>
      <c r="H2525" t="s">
        <v>69</v>
      </c>
      <c r="I2525">
        <v>3</v>
      </c>
      <c r="J2525" t="s">
        <v>50</v>
      </c>
    </row>
    <row r="2526" spans="1:10" x14ac:dyDescent="0.25">
      <c r="A2526" t="s">
        <v>7355</v>
      </c>
      <c r="B2526">
        <f>44489.1721325777*(1/100/100)</f>
        <v>4.4489172132577703</v>
      </c>
      <c r="C2526">
        <v>22109</v>
      </c>
      <c r="D2526" t="s">
        <v>4619</v>
      </c>
      <c r="E2526">
        <v>32013</v>
      </c>
      <c r="F2526" t="s">
        <v>69</v>
      </c>
      <c r="G2526">
        <v>320</v>
      </c>
      <c r="H2526" t="s">
        <v>69</v>
      </c>
      <c r="I2526">
        <v>3</v>
      </c>
      <c r="J2526" t="s">
        <v>50</v>
      </c>
    </row>
    <row r="2527" spans="1:10" x14ac:dyDescent="0.25">
      <c r="A2527" t="s">
        <v>7355</v>
      </c>
      <c r="B2527">
        <f>28351.6845957049*(1/100/100)</f>
        <v>2.83516845957049</v>
      </c>
      <c r="C2527">
        <v>22110</v>
      </c>
      <c r="D2527" t="s">
        <v>4613</v>
      </c>
      <c r="E2527">
        <v>32011</v>
      </c>
      <c r="F2527" t="s">
        <v>4612</v>
      </c>
      <c r="G2527">
        <v>320</v>
      </c>
      <c r="H2527" t="s">
        <v>69</v>
      </c>
      <c r="I2527">
        <v>3</v>
      </c>
      <c r="J2527" t="s">
        <v>50</v>
      </c>
    </row>
    <row r="2528" spans="1:10" x14ac:dyDescent="0.25">
      <c r="A2528" t="s">
        <v>7355</v>
      </c>
      <c r="B2528">
        <f>25512.493629836*(1/100/100)</f>
        <v>2.5512493629836004</v>
      </c>
      <c r="C2528">
        <v>22111</v>
      </c>
      <c r="D2528" t="s">
        <v>4620</v>
      </c>
      <c r="E2528">
        <v>32013</v>
      </c>
      <c r="F2528" t="s">
        <v>69</v>
      </c>
      <c r="G2528">
        <v>320</v>
      </c>
      <c r="H2528" t="s">
        <v>69</v>
      </c>
      <c r="I2528">
        <v>3</v>
      </c>
      <c r="J2528" t="s">
        <v>50</v>
      </c>
    </row>
    <row r="2529" spans="1:10" x14ac:dyDescent="0.25">
      <c r="A2529" t="s">
        <v>7355</v>
      </c>
      <c r="B2529">
        <f>16806.9691460409*(1/100/100)</f>
        <v>1.6806969146040902</v>
      </c>
      <c r="C2529">
        <v>22112</v>
      </c>
      <c r="D2529" t="s">
        <v>4614</v>
      </c>
      <c r="E2529">
        <v>32011</v>
      </c>
      <c r="F2529" t="s">
        <v>4612</v>
      </c>
      <c r="G2529">
        <v>320</v>
      </c>
      <c r="H2529" t="s">
        <v>69</v>
      </c>
      <c r="I2529">
        <v>3</v>
      </c>
      <c r="J2529" t="s">
        <v>50</v>
      </c>
    </row>
    <row r="2530" spans="1:10" x14ac:dyDescent="0.25">
      <c r="A2530" t="s">
        <v>7355</v>
      </c>
      <c r="B2530">
        <f>118254.680935932*(1/100/100)</f>
        <v>11.825468093593202</v>
      </c>
      <c r="C2530">
        <v>22113</v>
      </c>
      <c r="D2530" t="s">
        <v>2843</v>
      </c>
      <c r="E2530">
        <v>32006</v>
      </c>
      <c r="F2530" t="s">
        <v>885</v>
      </c>
      <c r="G2530">
        <v>320</v>
      </c>
      <c r="H2530" t="s">
        <v>69</v>
      </c>
      <c r="I2530">
        <v>3</v>
      </c>
      <c r="J2530" t="s">
        <v>50</v>
      </c>
    </row>
    <row r="2531" spans="1:10" x14ac:dyDescent="0.25">
      <c r="A2531" t="s">
        <v>7355</v>
      </c>
      <c r="B2531">
        <f>101880.490685563*(1/100/100)</f>
        <v>10.1880490685563</v>
      </c>
      <c r="C2531">
        <v>22114</v>
      </c>
      <c r="D2531" t="s">
        <v>4629</v>
      </c>
      <c r="E2531">
        <v>32017</v>
      </c>
      <c r="F2531" t="s">
        <v>893</v>
      </c>
      <c r="G2531">
        <v>320</v>
      </c>
      <c r="H2531" t="s">
        <v>69</v>
      </c>
      <c r="I2531">
        <v>3</v>
      </c>
      <c r="J2531" t="s">
        <v>50</v>
      </c>
    </row>
    <row r="2532" spans="1:10" x14ac:dyDescent="0.25">
      <c r="A2532" t="s">
        <v>7355</v>
      </c>
      <c r="B2532">
        <f>76117.1702681503*(1/100/100)</f>
        <v>7.6117170268150298</v>
      </c>
      <c r="C2532">
        <v>22115</v>
      </c>
      <c r="D2532" t="s">
        <v>4599</v>
      </c>
      <c r="E2532">
        <v>32008</v>
      </c>
      <c r="F2532" t="s">
        <v>887</v>
      </c>
      <c r="G2532">
        <v>320</v>
      </c>
      <c r="H2532" t="s">
        <v>69</v>
      </c>
      <c r="I2532">
        <v>3</v>
      </c>
      <c r="J2532" t="s">
        <v>50</v>
      </c>
    </row>
    <row r="2533" spans="1:10" x14ac:dyDescent="0.25">
      <c r="A2533" t="s">
        <v>7355</v>
      </c>
      <c r="B2533">
        <f>69947.8386516608*(1/100/100)</f>
        <v>6.9947838651660801</v>
      </c>
      <c r="C2533">
        <v>22116</v>
      </c>
      <c r="D2533" t="s">
        <v>4082</v>
      </c>
      <c r="E2533">
        <v>32006</v>
      </c>
      <c r="F2533" t="s">
        <v>885</v>
      </c>
      <c r="G2533">
        <v>320</v>
      </c>
      <c r="H2533" t="s">
        <v>69</v>
      </c>
      <c r="I2533">
        <v>3</v>
      </c>
      <c r="J2533" t="s">
        <v>50</v>
      </c>
    </row>
    <row r="2534" spans="1:10" x14ac:dyDescent="0.25">
      <c r="A2534" t="s">
        <v>7355</v>
      </c>
      <c r="B2534">
        <f>55049.0493871608*(1/100/100)</f>
        <v>5.5049049387160798</v>
      </c>
      <c r="C2534">
        <v>22117</v>
      </c>
      <c r="D2534" t="s">
        <v>4596</v>
      </c>
      <c r="E2534">
        <v>32006</v>
      </c>
      <c r="F2534" t="s">
        <v>885</v>
      </c>
      <c r="G2534">
        <v>320</v>
      </c>
      <c r="H2534" t="s">
        <v>69</v>
      </c>
      <c r="I2534">
        <v>3</v>
      </c>
      <c r="J2534" t="s">
        <v>50</v>
      </c>
    </row>
    <row r="2535" spans="1:10" x14ac:dyDescent="0.25">
      <c r="A2535" t="s">
        <v>7355</v>
      </c>
      <c r="B2535">
        <f>45142.4666951201*(1/100/100)</f>
        <v>4.5142466695120103</v>
      </c>
      <c r="C2535">
        <v>22118</v>
      </c>
      <c r="D2535" t="s">
        <v>4625</v>
      </c>
      <c r="E2535">
        <v>32014</v>
      </c>
      <c r="F2535" t="s">
        <v>890</v>
      </c>
      <c r="G2535">
        <v>320</v>
      </c>
      <c r="H2535" t="s">
        <v>69</v>
      </c>
      <c r="I2535">
        <v>3</v>
      </c>
      <c r="J2535" t="s">
        <v>50</v>
      </c>
    </row>
    <row r="2536" spans="1:10" x14ac:dyDescent="0.25">
      <c r="A2536" t="s">
        <v>7355</v>
      </c>
      <c r="B2536">
        <f>67034.4263756069*(1/100/100)</f>
        <v>6.7034426375606904</v>
      </c>
      <c r="C2536">
        <v>22119</v>
      </c>
      <c r="D2536" t="s">
        <v>3998</v>
      </c>
      <c r="E2536">
        <v>32017</v>
      </c>
      <c r="F2536" t="s">
        <v>893</v>
      </c>
      <c r="G2536">
        <v>320</v>
      </c>
      <c r="H2536" t="s">
        <v>69</v>
      </c>
      <c r="I2536">
        <v>3</v>
      </c>
      <c r="J2536" t="s">
        <v>50</v>
      </c>
    </row>
    <row r="2537" spans="1:10" x14ac:dyDescent="0.25">
      <c r="A2537" t="s">
        <v>7355</v>
      </c>
      <c r="B2537">
        <f>117172.272404733*(1/100/100)</f>
        <v>11.717227240473301</v>
      </c>
      <c r="C2537">
        <v>22120</v>
      </c>
      <c r="D2537" t="s">
        <v>4630</v>
      </c>
      <c r="E2537">
        <v>32017</v>
      </c>
      <c r="F2537" t="s">
        <v>893</v>
      </c>
      <c r="G2537">
        <v>320</v>
      </c>
      <c r="H2537" t="s">
        <v>69</v>
      </c>
      <c r="I2537">
        <v>3</v>
      </c>
      <c r="J2537" t="s">
        <v>50</v>
      </c>
    </row>
    <row r="2538" spans="1:10" x14ac:dyDescent="0.25">
      <c r="A2538" t="s">
        <v>7355</v>
      </c>
      <c r="B2538">
        <f>56917.2444747386*(1/100/100)</f>
        <v>5.6917244474738604</v>
      </c>
      <c r="C2538">
        <v>22121</v>
      </c>
      <c r="D2538" t="s">
        <v>4621</v>
      </c>
      <c r="E2538">
        <v>32013</v>
      </c>
      <c r="F2538" t="s">
        <v>69</v>
      </c>
      <c r="G2538">
        <v>320</v>
      </c>
      <c r="H2538" t="s">
        <v>69</v>
      </c>
      <c r="I2538">
        <v>3</v>
      </c>
      <c r="J2538" t="s">
        <v>50</v>
      </c>
    </row>
    <row r="2539" spans="1:10" x14ac:dyDescent="0.25">
      <c r="A2539" t="s">
        <v>7355</v>
      </c>
      <c r="B2539">
        <f>106021.068417878*(1/100/100)</f>
        <v>10.602106841787801</v>
      </c>
      <c r="C2539">
        <v>22122</v>
      </c>
      <c r="D2539" t="s">
        <v>885</v>
      </c>
      <c r="E2539">
        <v>32006</v>
      </c>
      <c r="F2539" t="s">
        <v>885</v>
      </c>
      <c r="G2539">
        <v>320</v>
      </c>
      <c r="H2539" t="s">
        <v>69</v>
      </c>
      <c r="I2539">
        <v>3</v>
      </c>
      <c r="J2539" t="s">
        <v>50</v>
      </c>
    </row>
    <row r="2540" spans="1:10" x14ac:dyDescent="0.25">
      <c r="A2540" t="s">
        <v>7355</v>
      </c>
      <c r="B2540">
        <f>77160.7861657785*(1/100/100)</f>
        <v>7.7160786165778497</v>
      </c>
      <c r="C2540">
        <v>22123</v>
      </c>
      <c r="D2540" t="s">
        <v>4600</v>
      </c>
      <c r="E2540">
        <v>32008</v>
      </c>
      <c r="F2540" t="s">
        <v>887</v>
      </c>
      <c r="G2540">
        <v>320</v>
      </c>
      <c r="H2540" t="s">
        <v>69</v>
      </c>
      <c r="I2540">
        <v>3</v>
      </c>
      <c r="J2540" t="s">
        <v>50</v>
      </c>
    </row>
    <row r="2541" spans="1:10" x14ac:dyDescent="0.25">
      <c r="A2541" t="s">
        <v>7355</v>
      </c>
      <c r="B2541">
        <f>52654.5051406487*(1/100/100)</f>
        <v>5.2654505140648702</v>
      </c>
      <c r="C2541">
        <v>22124</v>
      </c>
      <c r="D2541" t="s">
        <v>886</v>
      </c>
      <c r="E2541">
        <v>32007</v>
      </c>
      <c r="F2541" t="s">
        <v>886</v>
      </c>
      <c r="G2541">
        <v>320</v>
      </c>
      <c r="H2541" t="s">
        <v>69</v>
      </c>
      <c r="I2541">
        <v>3</v>
      </c>
      <c r="J2541" t="s">
        <v>50</v>
      </c>
    </row>
    <row r="2542" spans="1:10" x14ac:dyDescent="0.25">
      <c r="A2542" t="s">
        <v>7355</v>
      </c>
      <c r="B2542">
        <f>289537.496215801*(1/100/100)</f>
        <v>28.953749621580101</v>
      </c>
      <c r="C2542">
        <v>22125</v>
      </c>
      <c r="D2542" t="s">
        <v>3526</v>
      </c>
      <c r="E2542">
        <v>32008</v>
      </c>
      <c r="F2542" t="s">
        <v>887</v>
      </c>
      <c r="G2542">
        <v>320</v>
      </c>
      <c r="H2542" t="s">
        <v>69</v>
      </c>
      <c r="I2542">
        <v>3</v>
      </c>
      <c r="J2542" t="s">
        <v>50</v>
      </c>
    </row>
    <row r="2543" spans="1:10" x14ac:dyDescent="0.25">
      <c r="A2543" t="s">
        <v>7355</v>
      </c>
      <c r="B2543">
        <f>38706.4928629639*(1/100/100)</f>
        <v>3.8706492862963904</v>
      </c>
      <c r="C2543">
        <v>22126</v>
      </c>
      <c r="D2543" t="s">
        <v>4627</v>
      </c>
      <c r="E2543">
        <v>32015</v>
      </c>
      <c r="F2543" t="s">
        <v>891</v>
      </c>
      <c r="G2543">
        <v>320</v>
      </c>
      <c r="H2543" t="s">
        <v>69</v>
      </c>
      <c r="I2543">
        <v>3</v>
      </c>
      <c r="J2543" t="s">
        <v>50</v>
      </c>
    </row>
    <row r="2544" spans="1:10" x14ac:dyDescent="0.25">
      <c r="A2544" t="s">
        <v>7355</v>
      </c>
      <c r="B2544">
        <f>47531.5547748067*(1/100/100)</f>
        <v>4.7531554774806697</v>
      </c>
      <c r="C2544">
        <v>22127</v>
      </c>
      <c r="D2544" t="s">
        <v>4628</v>
      </c>
      <c r="E2544">
        <v>32015</v>
      </c>
      <c r="F2544" t="s">
        <v>891</v>
      </c>
      <c r="G2544">
        <v>320</v>
      </c>
      <c r="H2544" t="s">
        <v>69</v>
      </c>
      <c r="I2544">
        <v>3</v>
      </c>
      <c r="J2544" t="s">
        <v>50</v>
      </c>
    </row>
    <row r="2545" spans="1:10" x14ac:dyDescent="0.25">
      <c r="A2545" t="s">
        <v>7355</v>
      </c>
      <c r="B2545">
        <f>29556.406509613*(1/100/100)</f>
        <v>2.9556406509613002</v>
      </c>
      <c r="C2545">
        <v>22128</v>
      </c>
      <c r="D2545" t="s">
        <v>4601</v>
      </c>
      <c r="E2545">
        <v>32008</v>
      </c>
      <c r="F2545" t="s">
        <v>887</v>
      </c>
      <c r="G2545">
        <v>320</v>
      </c>
      <c r="H2545" t="s">
        <v>69</v>
      </c>
      <c r="I2545">
        <v>3</v>
      </c>
      <c r="J2545" t="s">
        <v>50</v>
      </c>
    </row>
    <row r="2546" spans="1:10" x14ac:dyDescent="0.25">
      <c r="A2546" t="s">
        <v>7355</v>
      </c>
      <c r="B2546">
        <f>82260.3297674879*(1/100/100)</f>
        <v>8.2260329767487903</v>
      </c>
      <c r="C2546">
        <v>22129</v>
      </c>
      <c r="D2546" t="s">
        <v>4597</v>
      </c>
      <c r="E2546">
        <v>32006</v>
      </c>
      <c r="F2546" t="s">
        <v>885</v>
      </c>
      <c r="G2546">
        <v>320</v>
      </c>
      <c r="H2546" t="s">
        <v>69</v>
      </c>
      <c r="I2546">
        <v>3</v>
      </c>
      <c r="J2546" t="s">
        <v>50</v>
      </c>
    </row>
    <row r="2547" spans="1:10" x14ac:dyDescent="0.25">
      <c r="A2547" t="s">
        <v>7355</v>
      </c>
      <c r="B2547">
        <f>47944.1848029096*(1/100/100)</f>
        <v>4.7944184802909602</v>
      </c>
      <c r="C2547">
        <v>22130</v>
      </c>
      <c r="D2547" t="s">
        <v>4631</v>
      </c>
      <c r="E2547">
        <v>32017</v>
      </c>
      <c r="F2547" t="s">
        <v>893</v>
      </c>
      <c r="G2547">
        <v>320</v>
      </c>
      <c r="H2547" t="s">
        <v>69</v>
      </c>
      <c r="I2547">
        <v>3</v>
      </c>
      <c r="J2547" t="s">
        <v>50</v>
      </c>
    </row>
    <row r="2548" spans="1:10" x14ac:dyDescent="0.25">
      <c r="A2548" t="s">
        <v>7355</v>
      </c>
      <c r="B2548">
        <f>77441.3766991516*(1/100/100)</f>
        <v>7.7441376699151609</v>
      </c>
      <c r="C2548">
        <v>22131</v>
      </c>
      <c r="D2548" t="s">
        <v>4602</v>
      </c>
      <c r="E2548">
        <v>32008</v>
      </c>
      <c r="F2548" t="s">
        <v>887</v>
      </c>
      <c r="G2548">
        <v>320</v>
      </c>
      <c r="H2548" t="s">
        <v>69</v>
      </c>
      <c r="I2548">
        <v>3</v>
      </c>
      <c r="J2548" t="s">
        <v>50</v>
      </c>
    </row>
    <row r="2549" spans="1:10" x14ac:dyDescent="0.25">
      <c r="A2549" t="s">
        <v>7355</v>
      </c>
      <c r="B2549">
        <f>132960.484623003*(1/100/100)</f>
        <v>13.2960484623003</v>
      </c>
      <c r="C2549">
        <v>22132</v>
      </c>
      <c r="D2549" t="s">
        <v>69</v>
      </c>
      <c r="E2549">
        <v>32013</v>
      </c>
      <c r="F2549" t="s">
        <v>69</v>
      </c>
      <c r="G2549">
        <v>320</v>
      </c>
      <c r="H2549" t="s">
        <v>69</v>
      </c>
      <c r="I2549">
        <v>3</v>
      </c>
      <c r="J2549" t="s">
        <v>50</v>
      </c>
    </row>
    <row r="2550" spans="1:10" x14ac:dyDescent="0.25">
      <c r="A2550" t="s">
        <v>7355</v>
      </c>
      <c r="B2550">
        <f>96315.5358681874*(1/100/100)</f>
        <v>9.6315535868187414</v>
      </c>
      <c r="C2550">
        <v>22133</v>
      </c>
      <c r="D2550" t="s">
        <v>4622</v>
      </c>
      <c r="E2550">
        <v>32013</v>
      </c>
      <c r="F2550" t="s">
        <v>69</v>
      </c>
      <c r="G2550">
        <v>320</v>
      </c>
      <c r="H2550" t="s">
        <v>69</v>
      </c>
      <c r="I2550">
        <v>3</v>
      </c>
      <c r="J2550" t="s">
        <v>50</v>
      </c>
    </row>
    <row r="2551" spans="1:10" x14ac:dyDescent="0.25">
      <c r="A2551" t="s">
        <v>7355</v>
      </c>
      <c r="B2551">
        <f>29645.7358557017*(1/100/100)</f>
        <v>2.9645735855701703</v>
      </c>
      <c r="C2551">
        <v>22134</v>
      </c>
      <c r="D2551" t="s">
        <v>4603</v>
      </c>
      <c r="E2551">
        <v>32008</v>
      </c>
      <c r="F2551" t="s">
        <v>887</v>
      </c>
      <c r="G2551">
        <v>320</v>
      </c>
      <c r="H2551" t="s">
        <v>69</v>
      </c>
      <c r="I2551">
        <v>3</v>
      </c>
      <c r="J2551" t="s">
        <v>50</v>
      </c>
    </row>
    <row r="2552" spans="1:10" x14ac:dyDescent="0.25">
      <c r="A2552" t="s">
        <v>7355</v>
      </c>
      <c r="B2552">
        <f>31875.7204931576*(1/100/100)</f>
        <v>3.1875720493157602</v>
      </c>
      <c r="C2552">
        <v>22135</v>
      </c>
      <c r="D2552" t="s">
        <v>4604</v>
      </c>
      <c r="E2552">
        <v>32008</v>
      </c>
      <c r="F2552" t="s">
        <v>887</v>
      </c>
      <c r="G2552">
        <v>320</v>
      </c>
      <c r="H2552" t="s">
        <v>69</v>
      </c>
      <c r="I2552">
        <v>3</v>
      </c>
      <c r="J2552" t="s">
        <v>50</v>
      </c>
    </row>
    <row r="2553" spans="1:10" x14ac:dyDescent="0.25">
      <c r="A2553" t="s">
        <v>7355</v>
      </c>
      <c r="B2553">
        <f>54974.3063307025*(1/100/100)</f>
        <v>5.49743063307025</v>
      </c>
      <c r="C2553">
        <v>22136</v>
      </c>
      <c r="D2553" t="s">
        <v>4612</v>
      </c>
      <c r="E2553">
        <v>32011</v>
      </c>
      <c r="F2553" t="s">
        <v>4612</v>
      </c>
      <c r="G2553">
        <v>320</v>
      </c>
      <c r="H2553" t="s">
        <v>69</v>
      </c>
      <c r="I2553">
        <v>3</v>
      </c>
      <c r="J2553" t="s">
        <v>50</v>
      </c>
    </row>
    <row r="2554" spans="1:10" x14ac:dyDescent="0.25">
      <c r="A2554" t="s">
        <v>7355</v>
      </c>
      <c r="B2554">
        <f>140367.410211472*(1/100/100)</f>
        <v>14.036741021147199</v>
      </c>
      <c r="C2554">
        <v>22137</v>
      </c>
      <c r="D2554" t="s">
        <v>4617</v>
      </c>
      <c r="E2554">
        <v>32012</v>
      </c>
      <c r="F2554" t="s">
        <v>4617</v>
      </c>
      <c r="G2554">
        <v>320</v>
      </c>
      <c r="H2554" t="s">
        <v>69</v>
      </c>
      <c r="I2554">
        <v>3</v>
      </c>
      <c r="J2554" t="s">
        <v>50</v>
      </c>
    </row>
    <row r="2555" spans="1:10" x14ac:dyDescent="0.25">
      <c r="A2555" t="s">
        <v>7355</v>
      </c>
      <c r="B2555">
        <f>135004.74300009*(1/100/100)</f>
        <v>13.500474300009001</v>
      </c>
      <c r="C2555">
        <v>22138</v>
      </c>
      <c r="D2555" t="s">
        <v>890</v>
      </c>
      <c r="E2555">
        <v>32014</v>
      </c>
      <c r="F2555" t="s">
        <v>890</v>
      </c>
      <c r="G2555">
        <v>320</v>
      </c>
      <c r="H2555" t="s">
        <v>69</v>
      </c>
      <c r="I2555">
        <v>3</v>
      </c>
      <c r="J2555" t="s">
        <v>50</v>
      </c>
    </row>
    <row r="2556" spans="1:10" x14ac:dyDescent="0.25">
      <c r="A2556" t="s">
        <v>7355</v>
      </c>
      <c r="B2556">
        <f>81278.42433811*(1/100/100)</f>
        <v>8.1278424338110007</v>
      </c>
      <c r="C2556">
        <v>22139</v>
      </c>
      <c r="D2556" t="s">
        <v>891</v>
      </c>
      <c r="E2556">
        <v>32015</v>
      </c>
      <c r="F2556" t="s">
        <v>891</v>
      </c>
      <c r="G2556">
        <v>320</v>
      </c>
      <c r="H2556" t="s">
        <v>69</v>
      </c>
      <c r="I2556">
        <v>3</v>
      </c>
      <c r="J2556" t="s">
        <v>50</v>
      </c>
    </row>
    <row r="2557" spans="1:10" x14ac:dyDescent="0.25">
      <c r="A2557" t="s">
        <v>7355</v>
      </c>
      <c r="B2557">
        <f>41205.9751903783*(1/100/100)</f>
        <v>4.1205975190378306</v>
      </c>
      <c r="C2557">
        <v>22140</v>
      </c>
      <c r="D2557" t="s">
        <v>4431</v>
      </c>
      <c r="E2557">
        <v>32006</v>
      </c>
      <c r="F2557" t="s">
        <v>885</v>
      </c>
      <c r="G2557">
        <v>320</v>
      </c>
      <c r="H2557" t="s">
        <v>69</v>
      </c>
      <c r="I2557">
        <v>3</v>
      </c>
      <c r="J2557" t="s">
        <v>50</v>
      </c>
    </row>
    <row r="2558" spans="1:10" x14ac:dyDescent="0.25">
      <c r="A2558" t="s">
        <v>7355</v>
      </c>
      <c r="B2558">
        <f>38940.7276234469*(1/100/100)</f>
        <v>3.8940727623446905</v>
      </c>
      <c r="C2558">
        <v>22141</v>
      </c>
      <c r="D2558" t="s">
        <v>4632</v>
      </c>
      <c r="E2558">
        <v>32017</v>
      </c>
      <c r="F2558" t="s">
        <v>893</v>
      </c>
      <c r="G2558">
        <v>320</v>
      </c>
      <c r="H2558" t="s">
        <v>69</v>
      </c>
      <c r="I2558">
        <v>3</v>
      </c>
      <c r="J2558" t="s">
        <v>50</v>
      </c>
    </row>
    <row r="2559" spans="1:10" x14ac:dyDescent="0.25">
      <c r="A2559" t="s">
        <v>7355</v>
      </c>
      <c r="B2559">
        <f>102741.039593026*(1/100/100)</f>
        <v>10.2741039593026</v>
      </c>
      <c r="C2559">
        <v>22142</v>
      </c>
      <c r="D2559" t="s">
        <v>4377</v>
      </c>
      <c r="E2559">
        <v>32017</v>
      </c>
      <c r="F2559" t="s">
        <v>893</v>
      </c>
      <c r="G2559">
        <v>320</v>
      </c>
      <c r="H2559" t="s">
        <v>69</v>
      </c>
      <c r="I2559">
        <v>3</v>
      </c>
      <c r="J2559" t="s">
        <v>50</v>
      </c>
    </row>
    <row r="2560" spans="1:10" x14ac:dyDescent="0.25">
      <c r="A2560" t="s">
        <v>7355</v>
      </c>
      <c r="B2560">
        <f>424796.160515874*(1/100/100)</f>
        <v>42.479616051587399</v>
      </c>
      <c r="C2560">
        <v>22143</v>
      </c>
      <c r="D2560" t="s">
        <v>892</v>
      </c>
      <c r="E2560">
        <v>32016</v>
      </c>
      <c r="F2560" t="s">
        <v>892</v>
      </c>
      <c r="G2560">
        <v>320</v>
      </c>
      <c r="H2560" t="s">
        <v>69</v>
      </c>
      <c r="I2560">
        <v>3</v>
      </c>
      <c r="J2560" t="s">
        <v>50</v>
      </c>
    </row>
    <row r="2561" spans="1:10" x14ac:dyDescent="0.25">
      <c r="A2561" t="s">
        <v>7355</v>
      </c>
      <c r="B2561">
        <f>43926.6895787222*(1/100/100)</f>
        <v>4.3926689578722202</v>
      </c>
      <c r="C2561">
        <v>22144</v>
      </c>
      <c r="D2561" t="s">
        <v>4615</v>
      </c>
      <c r="E2561">
        <v>32011</v>
      </c>
      <c r="F2561" t="s">
        <v>4612</v>
      </c>
      <c r="G2561">
        <v>320</v>
      </c>
      <c r="H2561" t="s">
        <v>69</v>
      </c>
      <c r="I2561">
        <v>3</v>
      </c>
      <c r="J2561" t="s">
        <v>50</v>
      </c>
    </row>
    <row r="2562" spans="1:10" x14ac:dyDescent="0.25">
      <c r="A2562" t="s">
        <v>7355</v>
      </c>
      <c r="B2562">
        <f>57508.4865924734*(1/100/100)</f>
        <v>5.7508486592473398</v>
      </c>
      <c r="C2562">
        <v>22145</v>
      </c>
      <c r="D2562" t="s">
        <v>894</v>
      </c>
      <c r="E2562">
        <v>32018</v>
      </c>
      <c r="F2562" t="s">
        <v>894</v>
      </c>
      <c r="G2562">
        <v>320</v>
      </c>
      <c r="H2562" t="s">
        <v>69</v>
      </c>
      <c r="I2562">
        <v>3</v>
      </c>
      <c r="J2562" t="s">
        <v>50</v>
      </c>
    </row>
    <row r="2563" spans="1:10" x14ac:dyDescent="0.25">
      <c r="A2563" t="s">
        <v>7355</v>
      </c>
      <c r="B2563">
        <f>60107.4166947952*(1/100/100)</f>
        <v>6.010741669479521</v>
      </c>
      <c r="C2563">
        <v>22146</v>
      </c>
      <c r="D2563" t="s">
        <v>4634</v>
      </c>
      <c r="E2563">
        <v>32018</v>
      </c>
      <c r="F2563" t="s">
        <v>894</v>
      </c>
      <c r="G2563">
        <v>320</v>
      </c>
      <c r="H2563" t="s">
        <v>69</v>
      </c>
      <c r="I2563">
        <v>3</v>
      </c>
      <c r="J2563" t="s">
        <v>50</v>
      </c>
    </row>
    <row r="2564" spans="1:10" x14ac:dyDescent="0.25">
      <c r="A2564" t="s">
        <v>7355</v>
      </c>
      <c r="B2564">
        <f>48729.408211322*(1/100/100)</f>
        <v>4.8729408211322003</v>
      </c>
      <c r="C2564">
        <v>22147</v>
      </c>
      <c r="D2564" t="s">
        <v>4626</v>
      </c>
      <c r="E2564">
        <v>32014</v>
      </c>
      <c r="F2564" t="s">
        <v>890</v>
      </c>
      <c r="G2564">
        <v>320</v>
      </c>
      <c r="H2564" t="s">
        <v>69</v>
      </c>
      <c r="I2564">
        <v>3</v>
      </c>
      <c r="J2564" t="s">
        <v>50</v>
      </c>
    </row>
    <row r="2565" spans="1:10" x14ac:dyDescent="0.25">
      <c r="A2565" t="s">
        <v>7355</v>
      </c>
      <c r="B2565">
        <f>77814.9374412524*(1/100/100)</f>
        <v>7.7814937441252408</v>
      </c>
      <c r="C2565">
        <v>22148</v>
      </c>
      <c r="D2565" t="s">
        <v>4605</v>
      </c>
      <c r="E2565">
        <v>32008</v>
      </c>
      <c r="F2565" t="s">
        <v>887</v>
      </c>
      <c r="G2565">
        <v>320</v>
      </c>
      <c r="H2565" t="s">
        <v>69</v>
      </c>
      <c r="I2565">
        <v>3</v>
      </c>
      <c r="J2565" t="s">
        <v>50</v>
      </c>
    </row>
    <row r="2566" spans="1:10" x14ac:dyDescent="0.25">
      <c r="A2566" t="s">
        <v>7355</v>
      </c>
      <c r="B2566">
        <f>182367.994397463*(1/100/100)</f>
        <v>18.236799439746299</v>
      </c>
      <c r="C2566">
        <v>23001</v>
      </c>
      <c r="D2566" t="s">
        <v>4236</v>
      </c>
      <c r="E2566">
        <v>31802</v>
      </c>
      <c r="F2566" t="s">
        <v>798</v>
      </c>
      <c r="G2566">
        <v>318</v>
      </c>
      <c r="H2566" t="s">
        <v>67</v>
      </c>
      <c r="I2566">
        <v>3</v>
      </c>
      <c r="J2566" t="s">
        <v>50</v>
      </c>
    </row>
    <row r="2567" spans="1:10" x14ac:dyDescent="0.25">
      <c r="A2567" t="s">
        <v>7355</v>
      </c>
      <c r="B2567">
        <f>113566.818702313*(1/100/100)</f>
        <v>11.3566818702313</v>
      </c>
      <c r="C2567">
        <v>23002</v>
      </c>
      <c r="D2567" t="s">
        <v>802</v>
      </c>
      <c r="E2567">
        <v>31807</v>
      </c>
      <c r="F2567" t="s">
        <v>802</v>
      </c>
      <c r="G2567">
        <v>318</v>
      </c>
      <c r="H2567" t="s">
        <v>67</v>
      </c>
      <c r="I2567">
        <v>3</v>
      </c>
      <c r="J2567" t="s">
        <v>50</v>
      </c>
    </row>
    <row r="2568" spans="1:10" x14ac:dyDescent="0.25">
      <c r="A2568" t="s">
        <v>7355</v>
      </c>
      <c r="B2568">
        <f>124372.09552022*(1/100/100)</f>
        <v>12.437209552022001</v>
      </c>
      <c r="C2568">
        <v>23003</v>
      </c>
      <c r="D2568" t="s">
        <v>2511</v>
      </c>
      <c r="E2568">
        <v>31809</v>
      </c>
      <c r="F2568" t="s">
        <v>804</v>
      </c>
      <c r="G2568">
        <v>318</v>
      </c>
      <c r="H2568" t="s">
        <v>67</v>
      </c>
      <c r="I2568">
        <v>3</v>
      </c>
      <c r="J2568" t="s">
        <v>50</v>
      </c>
    </row>
    <row r="2569" spans="1:10" x14ac:dyDescent="0.25">
      <c r="A2569" t="s">
        <v>7355</v>
      </c>
      <c r="B2569">
        <f>117620.962465544*(1/100/100)</f>
        <v>11.7620962465544</v>
      </c>
      <c r="C2569">
        <v>23004</v>
      </c>
      <c r="D2569" t="s">
        <v>806</v>
      </c>
      <c r="E2569">
        <v>31812</v>
      </c>
      <c r="F2569" t="s">
        <v>806</v>
      </c>
      <c r="G2569">
        <v>318</v>
      </c>
      <c r="H2569" t="s">
        <v>67</v>
      </c>
      <c r="I2569">
        <v>3</v>
      </c>
      <c r="J2569" t="s">
        <v>50</v>
      </c>
    </row>
    <row r="2570" spans="1:10" x14ac:dyDescent="0.25">
      <c r="A2570" t="s">
        <v>7355</v>
      </c>
      <c r="B2570">
        <f>91635.1204339526*(1/100/100)</f>
        <v>9.1635120433952597</v>
      </c>
      <c r="C2570">
        <v>23005</v>
      </c>
      <c r="D2570" t="s">
        <v>4237</v>
      </c>
      <c r="E2570">
        <v>31803</v>
      </c>
      <c r="F2570" t="s">
        <v>4238</v>
      </c>
      <c r="G2570">
        <v>318</v>
      </c>
      <c r="H2570" t="s">
        <v>67</v>
      </c>
      <c r="I2570">
        <v>3</v>
      </c>
      <c r="J2570" t="s">
        <v>50</v>
      </c>
    </row>
    <row r="2571" spans="1:10" x14ac:dyDescent="0.25">
      <c r="A2571" t="s">
        <v>7355</v>
      </c>
      <c r="B2571">
        <f>17512.4144585662*(1/100/100)</f>
        <v>1.7512414458566201</v>
      </c>
      <c r="C2571">
        <v>23006</v>
      </c>
      <c r="D2571" t="s">
        <v>3713</v>
      </c>
      <c r="E2571">
        <v>31809</v>
      </c>
      <c r="F2571" t="s">
        <v>804</v>
      </c>
      <c r="G2571">
        <v>318</v>
      </c>
      <c r="H2571" t="s">
        <v>67</v>
      </c>
      <c r="I2571">
        <v>3</v>
      </c>
      <c r="J2571" t="s">
        <v>50</v>
      </c>
    </row>
    <row r="2572" spans="1:10" x14ac:dyDescent="0.25">
      <c r="A2572" t="s">
        <v>7355</v>
      </c>
      <c r="B2572">
        <f>44915.7275956803*(1/100/100)</f>
        <v>4.4915727595680304</v>
      </c>
      <c r="C2572">
        <v>23007</v>
      </c>
      <c r="D2572" t="s">
        <v>2892</v>
      </c>
      <c r="E2572">
        <v>31812</v>
      </c>
      <c r="F2572" t="s">
        <v>806</v>
      </c>
      <c r="G2572">
        <v>318</v>
      </c>
      <c r="H2572" t="s">
        <v>67</v>
      </c>
      <c r="I2572">
        <v>3</v>
      </c>
      <c r="J2572" t="s">
        <v>50</v>
      </c>
    </row>
    <row r="2573" spans="1:10" x14ac:dyDescent="0.25">
      <c r="A2573" t="s">
        <v>7355</v>
      </c>
      <c r="B2573">
        <f>215408.331427937*(1/100/100)</f>
        <v>21.540833142793701</v>
      </c>
      <c r="C2573">
        <v>23008</v>
      </c>
      <c r="D2573" t="s">
        <v>808</v>
      </c>
      <c r="E2573">
        <v>31814</v>
      </c>
      <c r="F2573" t="s">
        <v>808</v>
      </c>
      <c r="G2573">
        <v>318</v>
      </c>
      <c r="H2573" t="s">
        <v>67</v>
      </c>
      <c r="I2573">
        <v>3</v>
      </c>
      <c r="J2573" t="s">
        <v>50</v>
      </c>
    </row>
    <row r="2574" spans="1:10" x14ac:dyDescent="0.25">
      <c r="A2574" t="s">
        <v>7355</v>
      </c>
      <c r="B2574">
        <f>125249.653823995*(1/100/100)</f>
        <v>12.5249653823995</v>
      </c>
      <c r="C2574">
        <v>23009</v>
      </c>
      <c r="D2574" t="s">
        <v>4239</v>
      </c>
      <c r="E2574">
        <v>31803</v>
      </c>
      <c r="F2574" t="s">
        <v>4238</v>
      </c>
      <c r="G2574">
        <v>318</v>
      </c>
      <c r="H2574" t="s">
        <v>67</v>
      </c>
      <c r="I2574">
        <v>3</v>
      </c>
      <c r="J2574" t="s">
        <v>50</v>
      </c>
    </row>
    <row r="2575" spans="1:10" x14ac:dyDescent="0.25">
      <c r="A2575" t="s">
        <v>7355</v>
      </c>
      <c r="B2575">
        <f>24377.1472534773*(1/100/100)</f>
        <v>2.43771472534773</v>
      </c>
      <c r="C2575">
        <v>23010</v>
      </c>
      <c r="D2575" t="s">
        <v>3985</v>
      </c>
      <c r="E2575">
        <v>31814</v>
      </c>
      <c r="F2575" t="s">
        <v>808</v>
      </c>
      <c r="G2575">
        <v>318</v>
      </c>
      <c r="H2575" t="s">
        <v>67</v>
      </c>
      <c r="I2575">
        <v>3</v>
      </c>
      <c r="J2575" t="s">
        <v>50</v>
      </c>
    </row>
    <row r="2576" spans="1:10" x14ac:dyDescent="0.25">
      <c r="A2576" t="s">
        <v>7355</v>
      </c>
      <c r="B2576">
        <f>23853.6115138312*(1/100/100)</f>
        <v>2.3853611513831203</v>
      </c>
      <c r="C2576">
        <v>23011</v>
      </c>
      <c r="D2576" t="s">
        <v>4256</v>
      </c>
      <c r="E2576">
        <v>31814</v>
      </c>
      <c r="F2576" t="s">
        <v>808</v>
      </c>
      <c r="G2576">
        <v>318</v>
      </c>
      <c r="H2576" t="s">
        <v>67</v>
      </c>
      <c r="I2576">
        <v>3</v>
      </c>
      <c r="J2576" t="s">
        <v>50</v>
      </c>
    </row>
    <row r="2577" spans="1:10" x14ac:dyDescent="0.25">
      <c r="A2577" t="s">
        <v>7355</v>
      </c>
      <c r="B2577">
        <f>93523.5368392266*(1/100/100)</f>
        <v>9.3523536839226598</v>
      </c>
      <c r="C2577">
        <v>23012</v>
      </c>
      <c r="D2577" t="s">
        <v>809</v>
      </c>
      <c r="E2577">
        <v>31815</v>
      </c>
      <c r="F2577" t="s">
        <v>809</v>
      </c>
      <c r="G2577">
        <v>318</v>
      </c>
      <c r="H2577" t="s">
        <v>67</v>
      </c>
      <c r="I2577">
        <v>3</v>
      </c>
      <c r="J2577" t="s">
        <v>50</v>
      </c>
    </row>
    <row r="2578" spans="1:10" x14ac:dyDescent="0.25">
      <c r="A2578" t="s">
        <v>7355</v>
      </c>
      <c r="B2578">
        <f>15885.9759909205*(1/100/100)</f>
        <v>1.5885975990920502</v>
      </c>
      <c r="C2578">
        <v>23013</v>
      </c>
      <c r="D2578" t="s">
        <v>4240</v>
      </c>
      <c r="E2578">
        <v>31803</v>
      </c>
      <c r="F2578" t="s">
        <v>4238</v>
      </c>
      <c r="G2578">
        <v>318</v>
      </c>
      <c r="H2578" t="s">
        <v>67</v>
      </c>
      <c r="I2578">
        <v>3</v>
      </c>
      <c r="J2578" t="s">
        <v>50</v>
      </c>
    </row>
    <row r="2579" spans="1:10" x14ac:dyDescent="0.25">
      <c r="A2579" t="s">
        <v>7355</v>
      </c>
      <c r="B2579">
        <f>65221.9866848105*(1/100/100)</f>
        <v>6.5221986684810505</v>
      </c>
      <c r="C2579">
        <v>23014</v>
      </c>
      <c r="D2579" t="s">
        <v>4241</v>
      </c>
      <c r="E2579">
        <v>31803</v>
      </c>
      <c r="F2579" t="s">
        <v>4238</v>
      </c>
      <c r="G2579">
        <v>318</v>
      </c>
      <c r="H2579" t="s">
        <v>67</v>
      </c>
      <c r="I2579">
        <v>3</v>
      </c>
      <c r="J2579" t="s">
        <v>50</v>
      </c>
    </row>
    <row r="2580" spans="1:10" x14ac:dyDescent="0.25">
      <c r="A2580" t="s">
        <v>7355</v>
      </c>
      <c r="B2580">
        <f>22792.0525505137*(1/100/100)</f>
        <v>2.2792052550513704</v>
      </c>
      <c r="C2580">
        <v>23015</v>
      </c>
      <c r="D2580" t="s">
        <v>4257</v>
      </c>
      <c r="E2580">
        <v>31814</v>
      </c>
      <c r="F2580" t="s">
        <v>808</v>
      </c>
      <c r="G2580">
        <v>318</v>
      </c>
      <c r="H2580" t="s">
        <v>67</v>
      </c>
      <c r="I2580">
        <v>3</v>
      </c>
      <c r="J2580" t="s">
        <v>50</v>
      </c>
    </row>
    <row r="2581" spans="1:10" x14ac:dyDescent="0.25">
      <c r="A2581" t="s">
        <v>7355</v>
      </c>
      <c r="B2581">
        <f>50491.8318771883*(1/100/100)</f>
        <v>5.04918318771883</v>
      </c>
      <c r="C2581">
        <v>23016</v>
      </c>
      <c r="D2581" t="s">
        <v>4279</v>
      </c>
      <c r="E2581">
        <v>31830</v>
      </c>
      <c r="F2581" t="s">
        <v>4279</v>
      </c>
      <c r="G2581">
        <v>318</v>
      </c>
      <c r="H2581" t="s">
        <v>67</v>
      </c>
      <c r="I2581">
        <v>3</v>
      </c>
      <c r="J2581" t="s">
        <v>50</v>
      </c>
    </row>
    <row r="2582" spans="1:10" x14ac:dyDescent="0.25">
      <c r="A2582" t="s">
        <v>7355</v>
      </c>
      <c r="B2582">
        <f>32781.7189460792*(1/100/100)</f>
        <v>3.2781718946079201</v>
      </c>
      <c r="C2582">
        <v>23017</v>
      </c>
      <c r="D2582" t="s">
        <v>4300</v>
      </c>
      <c r="E2582">
        <v>31840</v>
      </c>
      <c r="F2582" t="s">
        <v>826</v>
      </c>
      <c r="G2582">
        <v>318</v>
      </c>
      <c r="H2582" t="s">
        <v>67</v>
      </c>
      <c r="I2582">
        <v>3</v>
      </c>
      <c r="J2582" t="s">
        <v>50</v>
      </c>
    </row>
    <row r="2583" spans="1:10" x14ac:dyDescent="0.25">
      <c r="A2583" t="s">
        <v>7355</v>
      </c>
      <c r="B2583">
        <f>10427.6442496698*(1/100/100)</f>
        <v>1.0427644249669801</v>
      </c>
      <c r="C2583">
        <v>23018</v>
      </c>
      <c r="D2583" t="s">
        <v>4258</v>
      </c>
      <c r="E2583">
        <v>31814</v>
      </c>
      <c r="F2583" t="s">
        <v>808</v>
      </c>
      <c r="G2583">
        <v>318</v>
      </c>
      <c r="H2583" t="s">
        <v>67</v>
      </c>
      <c r="I2583">
        <v>3</v>
      </c>
      <c r="J2583" t="s">
        <v>50</v>
      </c>
    </row>
    <row r="2584" spans="1:10" x14ac:dyDescent="0.25">
      <c r="A2584" t="s">
        <v>7355</v>
      </c>
      <c r="B2584">
        <f>193966.785717626*(1/100/100)</f>
        <v>19.3966785717626</v>
      </c>
      <c r="C2584">
        <v>23019</v>
      </c>
      <c r="D2584" t="s">
        <v>826</v>
      </c>
      <c r="E2584">
        <v>31840</v>
      </c>
      <c r="F2584" t="s">
        <v>826</v>
      </c>
      <c r="G2584">
        <v>318</v>
      </c>
      <c r="H2584" t="s">
        <v>67</v>
      </c>
      <c r="I2584">
        <v>3</v>
      </c>
      <c r="J2584" t="s">
        <v>50</v>
      </c>
    </row>
    <row r="2585" spans="1:10" x14ac:dyDescent="0.25">
      <c r="A2585" t="s">
        <v>7355</v>
      </c>
      <c r="B2585">
        <f>206258.346741449*(1/100/100)</f>
        <v>20.625834674144901</v>
      </c>
      <c r="C2585">
        <v>23020</v>
      </c>
      <c r="D2585" t="s">
        <v>834</v>
      </c>
      <c r="E2585">
        <v>31848</v>
      </c>
      <c r="F2585" t="s">
        <v>834</v>
      </c>
      <c r="G2585">
        <v>318</v>
      </c>
      <c r="H2585" t="s">
        <v>67</v>
      </c>
      <c r="I2585">
        <v>3</v>
      </c>
      <c r="J2585" t="s">
        <v>50</v>
      </c>
    </row>
    <row r="2586" spans="1:10" x14ac:dyDescent="0.25">
      <c r="A2586" t="s">
        <v>7355</v>
      </c>
      <c r="B2586">
        <f>37354.5644323391*(1/100/100)</f>
        <v>3.7354564432339106</v>
      </c>
      <c r="C2586">
        <v>23021</v>
      </c>
      <c r="D2586" t="s">
        <v>4259</v>
      </c>
      <c r="E2586">
        <v>31814</v>
      </c>
      <c r="F2586" t="s">
        <v>808</v>
      </c>
      <c r="G2586">
        <v>318</v>
      </c>
      <c r="H2586" t="s">
        <v>67</v>
      </c>
      <c r="I2586">
        <v>3</v>
      </c>
      <c r="J2586" t="s">
        <v>50</v>
      </c>
    </row>
    <row r="2587" spans="1:10" x14ac:dyDescent="0.25">
      <c r="A2587" t="s">
        <v>7355</v>
      </c>
      <c r="B2587">
        <f>21133.9936353106*(1/100/100)</f>
        <v>2.1133993635310602</v>
      </c>
      <c r="C2587">
        <v>23101</v>
      </c>
      <c r="D2587" t="s">
        <v>797</v>
      </c>
      <c r="E2587">
        <v>31801</v>
      </c>
      <c r="F2587" t="s">
        <v>797</v>
      </c>
      <c r="G2587">
        <v>318</v>
      </c>
      <c r="H2587" t="s">
        <v>67</v>
      </c>
      <c r="I2587">
        <v>3</v>
      </c>
      <c r="J2587" t="s">
        <v>50</v>
      </c>
    </row>
    <row r="2588" spans="1:10" x14ac:dyDescent="0.25">
      <c r="A2588" t="s">
        <v>7355</v>
      </c>
      <c r="B2588">
        <f>2441.40532216477*(1/100/100)</f>
        <v>0.24414053221647702</v>
      </c>
      <c r="C2588">
        <v>23102</v>
      </c>
      <c r="D2588" t="s">
        <v>1926</v>
      </c>
      <c r="E2588">
        <v>31810</v>
      </c>
      <c r="F2588" t="s">
        <v>805</v>
      </c>
      <c r="G2588">
        <v>318</v>
      </c>
      <c r="H2588" t="s">
        <v>67</v>
      </c>
      <c r="I2588">
        <v>3</v>
      </c>
      <c r="J2588" t="s">
        <v>50</v>
      </c>
    </row>
    <row r="2589" spans="1:10" x14ac:dyDescent="0.25">
      <c r="A2589" t="s">
        <v>7355</v>
      </c>
      <c r="B2589">
        <f>48556.0957833114*(1/100/100)</f>
        <v>4.8556095783311406</v>
      </c>
      <c r="C2589">
        <v>23103</v>
      </c>
      <c r="D2589" t="s">
        <v>4246</v>
      </c>
      <c r="E2589">
        <v>31810</v>
      </c>
      <c r="F2589" t="s">
        <v>805</v>
      </c>
      <c r="G2589">
        <v>318</v>
      </c>
      <c r="H2589" t="s">
        <v>67</v>
      </c>
      <c r="I2589">
        <v>3</v>
      </c>
      <c r="J2589" t="s">
        <v>50</v>
      </c>
    </row>
    <row r="2590" spans="1:10" x14ac:dyDescent="0.25">
      <c r="A2590" t="s">
        <v>7355</v>
      </c>
      <c r="B2590">
        <f>3638.86967865721*(1/100/100)</f>
        <v>0.363886967865721</v>
      </c>
      <c r="C2590">
        <v>23104</v>
      </c>
      <c r="D2590" t="s">
        <v>4247</v>
      </c>
      <c r="E2590">
        <v>31810</v>
      </c>
      <c r="F2590" t="s">
        <v>805</v>
      </c>
      <c r="G2590">
        <v>318</v>
      </c>
      <c r="H2590" t="s">
        <v>67</v>
      </c>
      <c r="I2590">
        <v>3</v>
      </c>
      <c r="J2590" t="s">
        <v>50</v>
      </c>
    </row>
    <row r="2591" spans="1:10" x14ac:dyDescent="0.25">
      <c r="A2591" t="s">
        <v>7355</v>
      </c>
      <c r="B2591">
        <f>61653.7027709506*(1/100/100)</f>
        <v>6.16537027709506</v>
      </c>
      <c r="C2591">
        <v>23105</v>
      </c>
      <c r="D2591" t="s">
        <v>800</v>
      </c>
      <c r="E2591">
        <v>31805</v>
      </c>
      <c r="F2591" t="s">
        <v>800</v>
      </c>
      <c r="G2591">
        <v>318</v>
      </c>
      <c r="H2591" t="s">
        <v>67</v>
      </c>
      <c r="I2591">
        <v>3</v>
      </c>
      <c r="J2591" t="s">
        <v>50</v>
      </c>
    </row>
    <row r="2592" spans="1:10" x14ac:dyDescent="0.25">
      <c r="A2592" t="s">
        <v>7355</v>
      </c>
      <c r="B2592">
        <f>30584.1910220769*(1/100/100)</f>
        <v>3.0584191022076901</v>
      </c>
      <c r="C2592">
        <v>23106</v>
      </c>
      <c r="D2592" t="s">
        <v>801</v>
      </c>
      <c r="E2592">
        <v>31806</v>
      </c>
      <c r="F2592" t="s">
        <v>801</v>
      </c>
      <c r="G2592">
        <v>318</v>
      </c>
      <c r="H2592" t="s">
        <v>67</v>
      </c>
      <c r="I2592">
        <v>3</v>
      </c>
      <c r="J2592" t="s">
        <v>50</v>
      </c>
    </row>
    <row r="2593" spans="1:10" x14ac:dyDescent="0.25">
      <c r="A2593" t="s">
        <v>7355</v>
      </c>
      <c r="B2593">
        <f>19901.9289830528*(1/100/100)</f>
        <v>1.9901928983052801</v>
      </c>
      <c r="C2593">
        <v>23107</v>
      </c>
      <c r="D2593" t="s">
        <v>3258</v>
      </c>
      <c r="E2593">
        <v>31810</v>
      </c>
      <c r="F2593" t="s">
        <v>805</v>
      </c>
      <c r="G2593">
        <v>318</v>
      </c>
      <c r="H2593" t="s">
        <v>67</v>
      </c>
      <c r="I2593">
        <v>3</v>
      </c>
      <c r="J2593" t="s">
        <v>50</v>
      </c>
    </row>
    <row r="2594" spans="1:10" x14ac:dyDescent="0.25">
      <c r="A2594" t="s">
        <v>7355</v>
      </c>
      <c r="B2594">
        <f>68041.3791430746*(1/100/100)</f>
        <v>6.8041379143074607</v>
      </c>
      <c r="C2594">
        <v>23108</v>
      </c>
      <c r="D2594" t="s">
        <v>803</v>
      </c>
      <c r="E2594">
        <v>31808</v>
      </c>
      <c r="F2594" t="s">
        <v>803</v>
      </c>
      <c r="G2594">
        <v>318</v>
      </c>
      <c r="H2594" t="s">
        <v>67</v>
      </c>
      <c r="I2594">
        <v>3</v>
      </c>
      <c r="J2594" t="s">
        <v>50</v>
      </c>
    </row>
    <row r="2595" spans="1:10" x14ac:dyDescent="0.25">
      <c r="A2595" t="s">
        <v>7355</v>
      </c>
      <c r="B2595">
        <f>345119.10939838*(1/100/100)</f>
        <v>34.511910939837996</v>
      </c>
      <c r="C2595">
        <v>23109</v>
      </c>
      <c r="D2595" t="s">
        <v>805</v>
      </c>
      <c r="E2595">
        <v>31810</v>
      </c>
      <c r="F2595" t="s">
        <v>805</v>
      </c>
      <c r="G2595">
        <v>318</v>
      </c>
      <c r="H2595" t="s">
        <v>67</v>
      </c>
      <c r="I2595">
        <v>3</v>
      </c>
      <c r="J2595" t="s">
        <v>50</v>
      </c>
    </row>
    <row r="2596" spans="1:10" x14ac:dyDescent="0.25">
      <c r="A2596" t="s">
        <v>7355</v>
      </c>
      <c r="B2596">
        <f>10385.6373946681*(1/100/100)</f>
        <v>1.0385637394668099</v>
      </c>
      <c r="C2596">
        <v>23110</v>
      </c>
      <c r="D2596" t="s">
        <v>4248</v>
      </c>
      <c r="E2596">
        <v>31810</v>
      </c>
      <c r="F2596" t="s">
        <v>805</v>
      </c>
      <c r="G2596">
        <v>318</v>
      </c>
      <c r="H2596" t="s">
        <v>67</v>
      </c>
      <c r="I2596">
        <v>3</v>
      </c>
      <c r="J2596" t="s">
        <v>50</v>
      </c>
    </row>
    <row r="2597" spans="1:10" x14ac:dyDescent="0.25">
      <c r="A2597" t="s">
        <v>7355</v>
      </c>
      <c r="B2597">
        <f>99805.4985647548*(1/100/100)</f>
        <v>9.9805498564754807</v>
      </c>
      <c r="C2597">
        <v>23111</v>
      </c>
      <c r="D2597" t="s">
        <v>2697</v>
      </c>
      <c r="E2597">
        <v>31811</v>
      </c>
      <c r="F2597" t="s">
        <v>4252</v>
      </c>
      <c r="G2597">
        <v>318</v>
      </c>
      <c r="H2597" t="s">
        <v>67</v>
      </c>
      <c r="I2597">
        <v>3</v>
      </c>
      <c r="J2597" t="s">
        <v>50</v>
      </c>
    </row>
    <row r="2598" spans="1:10" x14ac:dyDescent="0.25">
      <c r="A2598" t="s">
        <v>7355</v>
      </c>
      <c r="B2598">
        <f>61034.0666946903*(1/100/100)</f>
        <v>6.1034066694690301</v>
      </c>
      <c r="C2598">
        <v>23112</v>
      </c>
      <c r="D2598" t="s">
        <v>4274</v>
      </c>
      <c r="E2598">
        <v>31829</v>
      </c>
      <c r="F2598" t="s">
        <v>817</v>
      </c>
      <c r="G2598">
        <v>318</v>
      </c>
      <c r="H2598" t="s">
        <v>67</v>
      </c>
      <c r="I2598">
        <v>3</v>
      </c>
      <c r="J2598" t="s">
        <v>50</v>
      </c>
    </row>
    <row r="2599" spans="1:10" x14ac:dyDescent="0.25">
      <c r="A2599" t="s">
        <v>7355</v>
      </c>
      <c r="B2599">
        <f>34671.3042061215*(1/100/100)</f>
        <v>3.4671304206121505</v>
      </c>
      <c r="C2599">
        <v>23113</v>
      </c>
      <c r="D2599" t="s">
        <v>2630</v>
      </c>
      <c r="E2599">
        <v>31808</v>
      </c>
      <c r="F2599" t="s">
        <v>803</v>
      </c>
      <c r="G2599">
        <v>318</v>
      </c>
      <c r="H2599" t="s">
        <v>67</v>
      </c>
      <c r="I2599">
        <v>3</v>
      </c>
      <c r="J2599" t="s">
        <v>50</v>
      </c>
    </row>
    <row r="2600" spans="1:10" x14ac:dyDescent="0.25">
      <c r="A2600" t="s">
        <v>7355</v>
      </c>
      <c r="B2600">
        <f>11869.7878895409*(1/100/100)</f>
        <v>1.1869787889540899</v>
      </c>
      <c r="C2600">
        <v>23114</v>
      </c>
      <c r="D2600" t="s">
        <v>4249</v>
      </c>
      <c r="E2600">
        <v>31810</v>
      </c>
      <c r="F2600" t="s">
        <v>805</v>
      </c>
      <c r="G2600">
        <v>318</v>
      </c>
      <c r="H2600" t="s">
        <v>67</v>
      </c>
      <c r="I2600">
        <v>3</v>
      </c>
      <c r="J2600" t="s">
        <v>50</v>
      </c>
    </row>
    <row r="2601" spans="1:10" x14ac:dyDescent="0.25">
      <c r="A2601" t="s">
        <v>7355</v>
      </c>
      <c r="B2601">
        <f>9240.42066303421*(1/100/100)</f>
        <v>0.92404206630342112</v>
      </c>
      <c r="C2601">
        <v>23115</v>
      </c>
      <c r="D2601" t="s">
        <v>4243</v>
      </c>
      <c r="E2601">
        <v>31808</v>
      </c>
      <c r="F2601" t="s">
        <v>803</v>
      </c>
      <c r="G2601">
        <v>318</v>
      </c>
      <c r="H2601" t="s">
        <v>67</v>
      </c>
      <c r="I2601">
        <v>3</v>
      </c>
      <c r="J2601" t="s">
        <v>50</v>
      </c>
    </row>
    <row r="2602" spans="1:10" x14ac:dyDescent="0.25">
      <c r="A2602" t="s">
        <v>7355</v>
      </c>
      <c r="B2602">
        <f>109426.615434591*(1/100/100)</f>
        <v>10.942661543459101</v>
      </c>
      <c r="C2602">
        <v>23116</v>
      </c>
      <c r="D2602" t="s">
        <v>4275</v>
      </c>
      <c r="E2602">
        <v>31829</v>
      </c>
      <c r="F2602" t="s">
        <v>817</v>
      </c>
      <c r="G2602">
        <v>318</v>
      </c>
      <c r="H2602" t="s">
        <v>67</v>
      </c>
      <c r="I2602">
        <v>3</v>
      </c>
      <c r="J2602" t="s">
        <v>50</v>
      </c>
    </row>
    <row r="2603" spans="1:10" x14ac:dyDescent="0.25">
      <c r="A2603" t="s">
        <v>7355</v>
      </c>
      <c r="B2603">
        <f>3677.48660698649*(1/100/100)</f>
        <v>0.36774866069864903</v>
      </c>
      <c r="C2603">
        <v>23117</v>
      </c>
      <c r="D2603" t="s">
        <v>4276</v>
      </c>
      <c r="E2603">
        <v>31829</v>
      </c>
      <c r="F2603" t="s">
        <v>817</v>
      </c>
      <c r="G2603">
        <v>318</v>
      </c>
      <c r="H2603" t="s">
        <v>67</v>
      </c>
      <c r="I2603">
        <v>3</v>
      </c>
      <c r="J2603" t="s">
        <v>50</v>
      </c>
    </row>
    <row r="2604" spans="1:10" x14ac:dyDescent="0.25">
      <c r="A2604" t="s">
        <v>7355</v>
      </c>
      <c r="B2604">
        <f>79983.3347309485*(1/100/100)</f>
        <v>7.9983334730948501</v>
      </c>
      <c r="C2604">
        <v>23119</v>
      </c>
      <c r="D2604" t="s">
        <v>4277</v>
      </c>
      <c r="E2604">
        <v>31829</v>
      </c>
      <c r="F2604" t="s">
        <v>817</v>
      </c>
      <c r="G2604">
        <v>318</v>
      </c>
      <c r="H2604" t="s">
        <v>67</v>
      </c>
      <c r="I2604">
        <v>3</v>
      </c>
      <c r="J2604" t="s">
        <v>50</v>
      </c>
    </row>
    <row r="2605" spans="1:10" x14ac:dyDescent="0.25">
      <c r="A2605" t="s">
        <v>7355</v>
      </c>
      <c r="B2605">
        <f>42613.094715793*(1/100/100)</f>
        <v>4.2613094715792998</v>
      </c>
      <c r="C2605">
        <v>23120</v>
      </c>
      <c r="D2605" t="s">
        <v>4244</v>
      </c>
      <c r="E2605">
        <v>31808</v>
      </c>
      <c r="F2605" t="s">
        <v>803</v>
      </c>
      <c r="G2605">
        <v>318</v>
      </c>
      <c r="H2605" t="s">
        <v>67</v>
      </c>
      <c r="I2605">
        <v>3</v>
      </c>
      <c r="J2605" t="s">
        <v>50</v>
      </c>
    </row>
    <row r="2606" spans="1:10" x14ac:dyDescent="0.25">
      <c r="A2606" t="s">
        <v>7355</v>
      </c>
      <c r="B2606">
        <f>26549.4475438699*(1/100/100)</f>
        <v>2.6549447543869902</v>
      </c>
      <c r="C2606">
        <v>23122</v>
      </c>
      <c r="D2606" t="s">
        <v>4264</v>
      </c>
      <c r="E2606">
        <v>31821</v>
      </c>
      <c r="F2606" t="s">
        <v>812</v>
      </c>
      <c r="G2606">
        <v>318</v>
      </c>
      <c r="H2606" t="s">
        <v>67</v>
      </c>
      <c r="I2606">
        <v>3</v>
      </c>
      <c r="J2606" t="s">
        <v>50</v>
      </c>
    </row>
    <row r="2607" spans="1:10" x14ac:dyDescent="0.25">
      <c r="A2607" t="s">
        <v>7355</v>
      </c>
      <c r="B2607">
        <f>22925.0149152739*(1/100/100)</f>
        <v>2.29250149152739</v>
      </c>
      <c r="C2607">
        <v>23123</v>
      </c>
      <c r="D2607" t="s">
        <v>4265</v>
      </c>
      <c r="E2607">
        <v>31821</v>
      </c>
      <c r="F2607" t="s">
        <v>812</v>
      </c>
      <c r="G2607">
        <v>318</v>
      </c>
      <c r="H2607" t="s">
        <v>67</v>
      </c>
      <c r="I2607">
        <v>3</v>
      </c>
      <c r="J2607" t="s">
        <v>50</v>
      </c>
    </row>
    <row r="2608" spans="1:10" x14ac:dyDescent="0.25">
      <c r="A2608" t="s">
        <v>7355</v>
      </c>
      <c r="B2608">
        <f>82964.1054708754*(1/100/100)</f>
        <v>8.2964105470875396</v>
      </c>
      <c r="C2608">
        <v>23124</v>
      </c>
      <c r="D2608" t="s">
        <v>4290</v>
      </c>
      <c r="E2608">
        <v>31838</v>
      </c>
      <c r="F2608" t="s">
        <v>824</v>
      </c>
      <c r="G2608">
        <v>318</v>
      </c>
      <c r="H2608" t="s">
        <v>67</v>
      </c>
      <c r="I2608">
        <v>3</v>
      </c>
      <c r="J2608" t="s">
        <v>50</v>
      </c>
    </row>
    <row r="2609" spans="1:10" x14ac:dyDescent="0.25">
      <c r="A2609" t="s">
        <v>7355</v>
      </c>
      <c r="B2609">
        <f>16332.3216831655*(1/100/100)</f>
        <v>1.6332321683165503</v>
      </c>
      <c r="C2609">
        <v>23125</v>
      </c>
      <c r="D2609" t="s">
        <v>4242</v>
      </c>
      <c r="E2609">
        <v>31806</v>
      </c>
      <c r="F2609" t="s">
        <v>801</v>
      </c>
      <c r="G2609">
        <v>318</v>
      </c>
      <c r="H2609" t="s">
        <v>67</v>
      </c>
      <c r="I2609">
        <v>3</v>
      </c>
      <c r="J2609" t="s">
        <v>50</v>
      </c>
    </row>
    <row r="2610" spans="1:10" x14ac:dyDescent="0.25">
      <c r="A2610" t="s">
        <v>7355</v>
      </c>
      <c r="B2610">
        <f>5192.94085199965*(1/100/100)</f>
        <v>0.51929408519996501</v>
      </c>
      <c r="C2610">
        <v>23126</v>
      </c>
      <c r="D2610" t="s">
        <v>4233</v>
      </c>
      <c r="E2610">
        <v>31801</v>
      </c>
      <c r="F2610" t="s">
        <v>797</v>
      </c>
      <c r="G2610">
        <v>318</v>
      </c>
      <c r="H2610" t="s">
        <v>67</v>
      </c>
      <c r="I2610">
        <v>3</v>
      </c>
      <c r="J2610" t="s">
        <v>50</v>
      </c>
    </row>
    <row r="2611" spans="1:10" x14ac:dyDescent="0.25">
      <c r="A2611" t="s">
        <v>7355</v>
      </c>
      <c r="B2611">
        <f>21382.3578675444*(1/100/100)</f>
        <v>2.1382357867544401</v>
      </c>
      <c r="C2611">
        <v>23127</v>
      </c>
      <c r="D2611" t="s">
        <v>4253</v>
      </c>
      <c r="E2611">
        <v>31811</v>
      </c>
      <c r="F2611" t="s">
        <v>4252</v>
      </c>
      <c r="G2611">
        <v>318</v>
      </c>
      <c r="H2611" t="s">
        <v>67</v>
      </c>
      <c r="I2611">
        <v>3</v>
      </c>
      <c r="J2611" t="s">
        <v>50</v>
      </c>
    </row>
    <row r="2612" spans="1:10" x14ac:dyDescent="0.25">
      <c r="A2612" t="s">
        <v>7355</v>
      </c>
      <c r="B2612">
        <f>59866.4688944008*(1/100/100)</f>
        <v>5.9866468894400802</v>
      </c>
      <c r="C2612">
        <v>23128</v>
      </c>
      <c r="D2612" t="s">
        <v>811</v>
      </c>
      <c r="E2612">
        <v>31820</v>
      </c>
      <c r="F2612" t="s">
        <v>811</v>
      </c>
      <c r="G2612">
        <v>318</v>
      </c>
      <c r="H2612" t="s">
        <v>67</v>
      </c>
      <c r="I2612">
        <v>3</v>
      </c>
      <c r="J2612" t="s">
        <v>50</v>
      </c>
    </row>
    <row r="2613" spans="1:10" x14ac:dyDescent="0.25">
      <c r="A2613" t="s">
        <v>7355</v>
      </c>
      <c r="B2613">
        <f>122206.519612857*(1/100/100)</f>
        <v>12.2206519612857</v>
      </c>
      <c r="C2613">
        <v>23129</v>
      </c>
      <c r="D2613" t="s">
        <v>812</v>
      </c>
      <c r="E2613">
        <v>31821</v>
      </c>
      <c r="F2613" t="s">
        <v>812</v>
      </c>
      <c r="G2613">
        <v>318</v>
      </c>
      <c r="H2613" t="s">
        <v>67</v>
      </c>
      <c r="I2613">
        <v>3</v>
      </c>
      <c r="J2613" t="s">
        <v>50</v>
      </c>
    </row>
    <row r="2614" spans="1:10" x14ac:dyDescent="0.25">
      <c r="A2614" t="s">
        <v>7355</v>
      </c>
      <c r="B2614">
        <f>30059.0433540106*(1/100/100)</f>
        <v>3.0059043354010599</v>
      </c>
      <c r="C2614">
        <v>23130</v>
      </c>
      <c r="D2614" t="s">
        <v>2625</v>
      </c>
      <c r="E2614">
        <v>31811</v>
      </c>
      <c r="F2614" t="s">
        <v>4252</v>
      </c>
      <c r="G2614">
        <v>318</v>
      </c>
      <c r="H2614" t="s">
        <v>67</v>
      </c>
      <c r="I2614">
        <v>3</v>
      </c>
      <c r="J2614" t="s">
        <v>50</v>
      </c>
    </row>
    <row r="2615" spans="1:10" x14ac:dyDescent="0.25">
      <c r="A2615" t="s">
        <v>7355</v>
      </c>
      <c r="B2615">
        <f>18367.6615355851*(1/100/100)</f>
        <v>1.83676615355851</v>
      </c>
      <c r="C2615">
        <v>23131</v>
      </c>
      <c r="D2615" t="s">
        <v>1123</v>
      </c>
      <c r="E2615">
        <v>31821</v>
      </c>
      <c r="F2615" t="s">
        <v>812</v>
      </c>
      <c r="G2615">
        <v>318</v>
      </c>
      <c r="H2615" t="s">
        <v>67</v>
      </c>
      <c r="I2615">
        <v>3</v>
      </c>
      <c r="J2615" t="s">
        <v>50</v>
      </c>
    </row>
    <row r="2616" spans="1:10" x14ac:dyDescent="0.25">
      <c r="A2616" t="s">
        <v>7355</v>
      </c>
      <c r="B2616">
        <f>44451.680309264*(1/100/100)</f>
        <v>4.4451680309263999</v>
      </c>
      <c r="C2616">
        <v>23133</v>
      </c>
      <c r="D2616" t="s">
        <v>4278</v>
      </c>
      <c r="E2616">
        <v>31829</v>
      </c>
      <c r="F2616" t="s">
        <v>817</v>
      </c>
      <c r="G2616">
        <v>318</v>
      </c>
      <c r="H2616" t="s">
        <v>67</v>
      </c>
      <c r="I2616">
        <v>3</v>
      </c>
      <c r="J2616" t="s">
        <v>50</v>
      </c>
    </row>
    <row r="2617" spans="1:10" x14ac:dyDescent="0.25">
      <c r="A2617" t="s">
        <v>7355</v>
      </c>
      <c r="B2617">
        <f>86640.5914633035*(1/100/100)</f>
        <v>8.6640591463303505</v>
      </c>
      <c r="C2617">
        <v>23134</v>
      </c>
      <c r="D2617" t="s">
        <v>814</v>
      </c>
      <c r="E2617">
        <v>31825</v>
      </c>
      <c r="F2617" t="s">
        <v>814</v>
      </c>
      <c r="G2617">
        <v>318</v>
      </c>
      <c r="H2617" t="s">
        <v>67</v>
      </c>
      <c r="I2617">
        <v>3</v>
      </c>
      <c r="J2617" t="s">
        <v>50</v>
      </c>
    </row>
    <row r="2618" spans="1:10" x14ac:dyDescent="0.25">
      <c r="A2618" t="s">
        <v>7355</v>
      </c>
      <c r="B2618">
        <f>26903.6017270014*(1/100/100)</f>
        <v>2.6903601727001405</v>
      </c>
      <c r="C2618">
        <v>23136</v>
      </c>
      <c r="D2618" t="s">
        <v>4271</v>
      </c>
      <c r="E2618">
        <v>31827</v>
      </c>
      <c r="F2618" t="s">
        <v>816</v>
      </c>
      <c r="G2618">
        <v>318</v>
      </c>
      <c r="H2618" t="s">
        <v>67</v>
      </c>
      <c r="I2618">
        <v>3</v>
      </c>
      <c r="J2618" t="s">
        <v>50</v>
      </c>
    </row>
    <row r="2619" spans="1:10" x14ac:dyDescent="0.25">
      <c r="A2619" t="s">
        <v>7355</v>
      </c>
      <c r="B2619">
        <f>140538.300047235*(1/100/100)</f>
        <v>14.053830004723501</v>
      </c>
      <c r="C2619">
        <v>23137</v>
      </c>
      <c r="D2619" t="s">
        <v>453</v>
      </c>
      <c r="E2619">
        <v>31829</v>
      </c>
      <c r="F2619" t="s">
        <v>817</v>
      </c>
      <c r="G2619">
        <v>318</v>
      </c>
      <c r="H2619" t="s">
        <v>67</v>
      </c>
      <c r="I2619">
        <v>3</v>
      </c>
      <c r="J2619" t="s">
        <v>50</v>
      </c>
    </row>
    <row r="2620" spans="1:10" x14ac:dyDescent="0.25">
      <c r="A2620" t="s">
        <v>7355</v>
      </c>
      <c r="B2620">
        <f>4495.50035351737*(1/100/100)</f>
        <v>0.44955003535173704</v>
      </c>
      <c r="C2620">
        <v>23138</v>
      </c>
      <c r="D2620" t="s">
        <v>4250</v>
      </c>
      <c r="E2620">
        <v>31810</v>
      </c>
      <c r="F2620" t="s">
        <v>805</v>
      </c>
      <c r="G2620">
        <v>318</v>
      </c>
      <c r="H2620" t="s">
        <v>67</v>
      </c>
      <c r="I2620">
        <v>3</v>
      </c>
      <c r="J2620" t="s">
        <v>50</v>
      </c>
    </row>
    <row r="2621" spans="1:10" x14ac:dyDescent="0.25">
      <c r="A2621" t="s">
        <v>7355</v>
      </c>
      <c r="B2621">
        <f>63350.823488013*(1/100/100)</f>
        <v>6.3350823488012997</v>
      </c>
      <c r="C2621">
        <v>23139</v>
      </c>
      <c r="D2621" t="s">
        <v>4254</v>
      </c>
      <c r="E2621">
        <v>31811</v>
      </c>
      <c r="F2621" t="s">
        <v>4252</v>
      </c>
      <c r="G2621">
        <v>318</v>
      </c>
      <c r="H2621" t="s">
        <v>67</v>
      </c>
      <c r="I2621">
        <v>3</v>
      </c>
      <c r="J2621" t="s">
        <v>50</v>
      </c>
    </row>
    <row r="2622" spans="1:10" x14ac:dyDescent="0.25">
      <c r="A2622" t="s">
        <v>7355</v>
      </c>
      <c r="B2622">
        <f>57280.5165010928*(1/100/100)</f>
        <v>5.7280516501092809</v>
      </c>
      <c r="C2622">
        <v>23140</v>
      </c>
      <c r="D2622" t="s">
        <v>4266</v>
      </c>
      <c r="E2622">
        <v>31821</v>
      </c>
      <c r="F2622" t="s">
        <v>812</v>
      </c>
      <c r="G2622">
        <v>318</v>
      </c>
      <c r="H2622" t="s">
        <v>67</v>
      </c>
      <c r="I2622">
        <v>3</v>
      </c>
      <c r="J2622" t="s">
        <v>50</v>
      </c>
    </row>
    <row r="2623" spans="1:10" x14ac:dyDescent="0.25">
      <c r="A2623" t="s">
        <v>7355</v>
      </c>
      <c r="B2623">
        <f>8369.38944422635*(1/100/100)</f>
        <v>0.83693894442263506</v>
      </c>
      <c r="C2623">
        <v>23141</v>
      </c>
      <c r="D2623" t="s">
        <v>4234</v>
      </c>
      <c r="E2623">
        <v>31801</v>
      </c>
      <c r="F2623" t="s">
        <v>797</v>
      </c>
      <c r="G2623">
        <v>318</v>
      </c>
      <c r="H2623" t="s">
        <v>67</v>
      </c>
      <c r="I2623">
        <v>3</v>
      </c>
      <c r="J2623" t="s">
        <v>50</v>
      </c>
    </row>
    <row r="2624" spans="1:10" x14ac:dyDescent="0.25">
      <c r="A2624" t="s">
        <v>7355</v>
      </c>
      <c r="B2624">
        <f>73526.6540464695*(1/100/100)</f>
        <v>7.3526654046469506</v>
      </c>
      <c r="C2624">
        <v>23142</v>
      </c>
      <c r="D2624" t="s">
        <v>819</v>
      </c>
      <c r="E2624">
        <v>31833</v>
      </c>
      <c r="F2624" t="s">
        <v>819</v>
      </c>
      <c r="G2624">
        <v>318</v>
      </c>
      <c r="H2624" t="s">
        <v>67</v>
      </c>
      <c r="I2624">
        <v>3</v>
      </c>
      <c r="J2624" t="s">
        <v>50</v>
      </c>
    </row>
    <row r="2625" spans="1:10" x14ac:dyDescent="0.25">
      <c r="A2625" t="s">
        <v>7355</v>
      </c>
      <c r="B2625">
        <f>29545.3720394252*(1/100/100)</f>
        <v>2.9545372039425204</v>
      </c>
      <c r="C2625">
        <v>23143</v>
      </c>
      <c r="D2625" t="s">
        <v>4272</v>
      </c>
      <c r="E2625">
        <v>31827</v>
      </c>
      <c r="F2625" t="s">
        <v>816</v>
      </c>
      <c r="G2625">
        <v>318</v>
      </c>
      <c r="H2625" t="s">
        <v>67</v>
      </c>
      <c r="I2625">
        <v>3</v>
      </c>
      <c r="J2625" t="s">
        <v>50</v>
      </c>
    </row>
    <row r="2626" spans="1:10" x14ac:dyDescent="0.25">
      <c r="A2626" t="s">
        <v>7355</v>
      </c>
      <c r="B2626">
        <f>115871.211383015*(1/100/100)</f>
        <v>11.587121138301502</v>
      </c>
      <c r="C2626">
        <v>23144</v>
      </c>
      <c r="D2626" t="s">
        <v>4251</v>
      </c>
      <c r="E2626">
        <v>31810</v>
      </c>
      <c r="F2626" t="s">
        <v>805</v>
      </c>
      <c r="G2626">
        <v>318</v>
      </c>
      <c r="H2626" t="s">
        <v>67</v>
      </c>
      <c r="I2626">
        <v>3</v>
      </c>
      <c r="J2626" t="s">
        <v>50</v>
      </c>
    </row>
    <row r="2627" spans="1:10" x14ac:dyDescent="0.25">
      <c r="A2627" t="s">
        <v>7355</v>
      </c>
      <c r="B2627">
        <f>11769.7434271667*(1/100/100)</f>
        <v>1.1769743427166701</v>
      </c>
      <c r="C2627">
        <v>23145</v>
      </c>
      <c r="D2627" t="s">
        <v>4235</v>
      </c>
      <c r="E2627">
        <v>31801</v>
      </c>
      <c r="F2627" t="s">
        <v>797</v>
      </c>
      <c r="G2627">
        <v>318</v>
      </c>
      <c r="H2627" t="s">
        <v>67</v>
      </c>
      <c r="I2627">
        <v>3</v>
      </c>
      <c r="J2627" t="s">
        <v>50</v>
      </c>
    </row>
    <row r="2628" spans="1:10" x14ac:dyDescent="0.25">
      <c r="A2628" t="s">
        <v>7355</v>
      </c>
      <c r="B2628">
        <f>6561.88869817712*(1/100/100)</f>
        <v>0.65618886981771207</v>
      </c>
      <c r="C2628">
        <v>23146</v>
      </c>
      <c r="D2628" t="s">
        <v>4245</v>
      </c>
      <c r="E2628">
        <v>31808</v>
      </c>
      <c r="F2628" t="s">
        <v>803</v>
      </c>
      <c r="G2628">
        <v>318</v>
      </c>
      <c r="H2628" t="s">
        <v>67</v>
      </c>
      <c r="I2628">
        <v>3</v>
      </c>
      <c r="J2628" t="s">
        <v>50</v>
      </c>
    </row>
    <row r="2629" spans="1:10" x14ac:dyDescent="0.25">
      <c r="A2629" t="s">
        <v>7355</v>
      </c>
      <c r="B2629">
        <f>67436.7548201753*(1/100/100)</f>
        <v>6.7436754820175295</v>
      </c>
      <c r="C2629">
        <v>23147</v>
      </c>
      <c r="D2629" t="s">
        <v>827</v>
      </c>
      <c r="E2629">
        <v>31841</v>
      </c>
      <c r="F2629" t="s">
        <v>827</v>
      </c>
      <c r="G2629">
        <v>318</v>
      </c>
      <c r="H2629" t="s">
        <v>67</v>
      </c>
      <c r="I2629">
        <v>3</v>
      </c>
      <c r="J2629" t="s">
        <v>50</v>
      </c>
    </row>
    <row r="2630" spans="1:10" x14ac:dyDescent="0.25">
      <c r="A2630" t="s">
        <v>7355</v>
      </c>
      <c r="B2630">
        <f>33865.4161845052*(1/100/100)</f>
        <v>3.3865416184505204</v>
      </c>
      <c r="C2630">
        <v>23148</v>
      </c>
      <c r="D2630" t="s">
        <v>4301</v>
      </c>
      <c r="E2630">
        <v>31842</v>
      </c>
      <c r="F2630" t="s">
        <v>828</v>
      </c>
      <c r="G2630">
        <v>318</v>
      </c>
      <c r="H2630" t="s">
        <v>67</v>
      </c>
      <c r="I2630">
        <v>3</v>
      </c>
      <c r="J2630" t="s">
        <v>50</v>
      </c>
    </row>
    <row r="2631" spans="1:10" x14ac:dyDescent="0.25">
      <c r="A2631" t="s">
        <v>7355</v>
      </c>
      <c r="B2631">
        <f>5978.33359967566*(1/100/100)</f>
        <v>0.59783335996756604</v>
      </c>
      <c r="C2631">
        <v>23149</v>
      </c>
      <c r="D2631" t="s">
        <v>4273</v>
      </c>
      <c r="E2631">
        <v>31827</v>
      </c>
      <c r="F2631" t="s">
        <v>816</v>
      </c>
      <c r="G2631">
        <v>318</v>
      </c>
      <c r="H2631" t="s">
        <v>67</v>
      </c>
      <c r="I2631">
        <v>3</v>
      </c>
      <c r="J2631" t="s">
        <v>50</v>
      </c>
    </row>
    <row r="2632" spans="1:10" x14ac:dyDescent="0.25">
      <c r="A2632" t="s">
        <v>7355</v>
      </c>
      <c r="B2632">
        <f>22330.0840023889*(1/100/100)</f>
        <v>2.2330084002388899</v>
      </c>
      <c r="C2632">
        <v>23150</v>
      </c>
      <c r="D2632" t="s">
        <v>2867</v>
      </c>
      <c r="E2632">
        <v>31810</v>
      </c>
      <c r="F2632" t="s">
        <v>805</v>
      </c>
      <c r="G2632">
        <v>318</v>
      </c>
      <c r="H2632" t="s">
        <v>67</v>
      </c>
      <c r="I2632">
        <v>3</v>
      </c>
      <c r="J2632" t="s">
        <v>50</v>
      </c>
    </row>
    <row r="2633" spans="1:10" x14ac:dyDescent="0.25">
      <c r="A2633" t="s">
        <v>7355</v>
      </c>
      <c r="B2633">
        <f>186039.079937064*(1/100/100)</f>
        <v>18.6039079937064</v>
      </c>
      <c r="C2633">
        <v>23151</v>
      </c>
      <c r="D2633" t="s">
        <v>4311</v>
      </c>
      <c r="E2633">
        <v>31846</v>
      </c>
      <c r="F2633" t="s">
        <v>832</v>
      </c>
      <c r="G2633">
        <v>318</v>
      </c>
      <c r="H2633" t="s">
        <v>67</v>
      </c>
      <c r="I2633">
        <v>3</v>
      </c>
      <c r="J2633" t="s">
        <v>50</v>
      </c>
    </row>
    <row r="2634" spans="1:10" x14ac:dyDescent="0.25">
      <c r="A2634" t="s">
        <v>7355</v>
      </c>
      <c r="B2634">
        <f>45689.8747755449*(1/100/100)</f>
        <v>4.5689874775544901</v>
      </c>
      <c r="C2634">
        <v>23152</v>
      </c>
      <c r="D2634" t="s">
        <v>2954</v>
      </c>
      <c r="E2634">
        <v>31808</v>
      </c>
      <c r="F2634" t="s">
        <v>803</v>
      </c>
      <c r="G2634">
        <v>318</v>
      </c>
      <c r="H2634" t="s">
        <v>67</v>
      </c>
      <c r="I2634">
        <v>3</v>
      </c>
      <c r="J2634" t="s">
        <v>50</v>
      </c>
    </row>
    <row r="2635" spans="1:10" x14ac:dyDescent="0.25">
      <c r="A2635" t="s">
        <v>7355</v>
      </c>
      <c r="B2635">
        <f>127581.484821574*(1/100/100)</f>
        <v>12.7581484821574</v>
      </c>
      <c r="C2635">
        <v>23153</v>
      </c>
      <c r="D2635" t="s">
        <v>822</v>
      </c>
      <c r="E2635">
        <v>31836</v>
      </c>
      <c r="F2635" t="s">
        <v>822</v>
      </c>
      <c r="G2635">
        <v>318</v>
      </c>
      <c r="H2635" t="s">
        <v>67</v>
      </c>
      <c r="I2635">
        <v>3</v>
      </c>
      <c r="J2635" t="s">
        <v>50</v>
      </c>
    </row>
    <row r="2636" spans="1:10" x14ac:dyDescent="0.25">
      <c r="A2636" t="s">
        <v>7355</v>
      </c>
      <c r="B2636">
        <f>109762.109077692*(1/100/100)</f>
        <v>10.9762109077692</v>
      </c>
      <c r="C2636">
        <v>23201</v>
      </c>
      <c r="D2636" t="s">
        <v>3700</v>
      </c>
      <c r="E2636">
        <v>32314</v>
      </c>
      <c r="F2636" t="s">
        <v>942</v>
      </c>
      <c r="G2636">
        <v>323</v>
      </c>
      <c r="H2636" t="s">
        <v>72</v>
      </c>
      <c r="I2636">
        <v>3</v>
      </c>
      <c r="J2636" t="s">
        <v>50</v>
      </c>
    </row>
    <row r="2637" spans="1:10" x14ac:dyDescent="0.25">
      <c r="A2637" t="s">
        <v>7355</v>
      </c>
      <c r="B2637">
        <f>52605.3933155324*(1/100/100)</f>
        <v>5.2605393315532396</v>
      </c>
      <c r="C2637">
        <v>23202</v>
      </c>
      <c r="D2637" t="s">
        <v>4872</v>
      </c>
      <c r="E2637">
        <v>32309</v>
      </c>
      <c r="F2637" t="s">
        <v>937</v>
      </c>
      <c r="G2637">
        <v>323</v>
      </c>
      <c r="H2637" t="s">
        <v>72</v>
      </c>
      <c r="I2637">
        <v>3</v>
      </c>
      <c r="J2637" t="s">
        <v>50</v>
      </c>
    </row>
    <row r="2638" spans="1:10" x14ac:dyDescent="0.25">
      <c r="A2638" t="s">
        <v>7355</v>
      </c>
      <c r="B2638">
        <f>174238.425129639*(1/100/100)</f>
        <v>17.423842512963901</v>
      </c>
      <c r="C2638">
        <v>23203</v>
      </c>
      <c r="D2638" t="s">
        <v>4873</v>
      </c>
      <c r="E2638">
        <v>32309</v>
      </c>
      <c r="F2638" t="s">
        <v>937</v>
      </c>
      <c r="G2638">
        <v>323</v>
      </c>
      <c r="H2638" t="s">
        <v>72</v>
      </c>
      <c r="I2638">
        <v>3</v>
      </c>
      <c r="J2638" t="s">
        <v>50</v>
      </c>
    </row>
    <row r="2639" spans="1:10" x14ac:dyDescent="0.25">
      <c r="A2639" t="s">
        <v>7355</v>
      </c>
      <c r="B2639">
        <f>143088.930651708*(1/100/100)</f>
        <v>14.308893065170802</v>
      </c>
      <c r="C2639">
        <v>23204</v>
      </c>
      <c r="D2639" t="s">
        <v>940</v>
      </c>
      <c r="E2639">
        <v>32312</v>
      </c>
      <c r="F2639" t="s">
        <v>940</v>
      </c>
      <c r="G2639">
        <v>323</v>
      </c>
      <c r="H2639" t="s">
        <v>72</v>
      </c>
      <c r="I2639">
        <v>3</v>
      </c>
      <c r="J2639" t="s">
        <v>50</v>
      </c>
    </row>
    <row r="2640" spans="1:10" x14ac:dyDescent="0.25">
      <c r="A2640" t="s">
        <v>7355</v>
      </c>
      <c r="B2640">
        <f>173708.471205197*(1/100/100)</f>
        <v>17.370847120519702</v>
      </c>
      <c r="C2640">
        <v>23205</v>
      </c>
      <c r="D2640" t="s">
        <v>974</v>
      </c>
      <c r="E2640">
        <v>32314</v>
      </c>
      <c r="F2640" t="s">
        <v>942</v>
      </c>
      <c r="G2640">
        <v>323</v>
      </c>
      <c r="H2640" t="s">
        <v>72</v>
      </c>
      <c r="I2640">
        <v>3</v>
      </c>
      <c r="J2640" t="s">
        <v>50</v>
      </c>
    </row>
    <row r="2641" spans="1:10" x14ac:dyDescent="0.25">
      <c r="A2641" t="s">
        <v>7355</v>
      </c>
      <c r="B2641">
        <f>320941.454517915*(1/100/100)</f>
        <v>32.094145451791498</v>
      </c>
      <c r="C2641">
        <v>23206</v>
      </c>
      <c r="D2641" t="s">
        <v>943</v>
      </c>
      <c r="E2641">
        <v>32315</v>
      </c>
      <c r="F2641" t="s">
        <v>943</v>
      </c>
      <c r="G2641">
        <v>323</v>
      </c>
      <c r="H2641" t="s">
        <v>72</v>
      </c>
      <c r="I2641">
        <v>3</v>
      </c>
      <c r="J2641" t="s">
        <v>50</v>
      </c>
    </row>
    <row r="2642" spans="1:10" x14ac:dyDescent="0.25">
      <c r="A2642" t="s">
        <v>7355</v>
      </c>
      <c r="B2642">
        <f>46139.6163578745*(1/100/100)</f>
        <v>4.6139616357874509</v>
      </c>
      <c r="C2642">
        <v>23207</v>
      </c>
      <c r="D2642" t="s">
        <v>4877</v>
      </c>
      <c r="E2642">
        <v>32314</v>
      </c>
      <c r="F2642" t="s">
        <v>942</v>
      </c>
      <c r="G2642">
        <v>323</v>
      </c>
      <c r="H2642" t="s">
        <v>72</v>
      </c>
      <c r="I2642">
        <v>3</v>
      </c>
      <c r="J2642" t="s">
        <v>50</v>
      </c>
    </row>
    <row r="2643" spans="1:10" x14ac:dyDescent="0.25">
      <c r="A2643" t="s">
        <v>7355</v>
      </c>
      <c r="B2643">
        <f>192713.874728628*(1/100/100)</f>
        <v>19.271387472862802</v>
      </c>
      <c r="C2643">
        <v>23208</v>
      </c>
      <c r="D2643" t="s">
        <v>945</v>
      </c>
      <c r="E2643">
        <v>32317</v>
      </c>
      <c r="F2643" t="s">
        <v>945</v>
      </c>
      <c r="G2643">
        <v>323</v>
      </c>
      <c r="H2643" t="s">
        <v>72</v>
      </c>
      <c r="I2643">
        <v>3</v>
      </c>
      <c r="J2643" t="s">
        <v>50</v>
      </c>
    </row>
    <row r="2644" spans="1:10" x14ac:dyDescent="0.25">
      <c r="A2644" t="s">
        <v>7355</v>
      </c>
      <c r="B2644">
        <f>116656.048335925*(1/100/100)</f>
        <v>11.665604833592502</v>
      </c>
      <c r="C2644">
        <v>23209</v>
      </c>
      <c r="D2644" t="s">
        <v>4868</v>
      </c>
      <c r="E2644">
        <v>32302</v>
      </c>
      <c r="F2644" t="s">
        <v>931</v>
      </c>
      <c r="G2644">
        <v>323</v>
      </c>
      <c r="H2644" t="s">
        <v>72</v>
      </c>
      <c r="I2644">
        <v>3</v>
      </c>
      <c r="J2644" t="s">
        <v>50</v>
      </c>
    </row>
    <row r="2645" spans="1:10" x14ac:dyDescent="0.25">
      <c r="A2645" t="s">
        <v>7355</v>
      </c>
      <c r="B2645">
        <f>49169.091443459*(1/100/100)</f>
        <v>4.9169091443459001</v>
      </c>
      <c r="C2645">
        <v>23210</v>
      </c>
      <c r="D2645" t="s">
        <v>4878</v>
      </c>
      <c r="E2645">
        <v>32314</v>
      </c>
      <c r="F2645" t="s">
        <v>942</v>
      </c>
      <c r="G2645">
        <v>323</v>
      </c>
      <c r="H2645" t="s">
        <v>72</v>
      </c>
      <c r="I2645">
        <v>3</v>
      </c>
      <c r="J2645" t="s">
        <v>50</v>
      </c>
    </row>
    <row r="2646" spans="1:10" x14ac:dyDescent="0.25">
      <c r="A2646" t="s">
        <v>7355</v>
      </c>
      <c r="B2646">
        <f>52024.8092154138*(1/100/100)</f>
        <v>5.2024809215413805</v>
      </c>
      <c r="C2646">
        <v>23211</v>
      </c>
      <c r="D2646" t="s">
        <v>4879</v>
      </c>
      <c r="E2646">
        <v>32314</v>
      </c>
      <c r="F2646" t="s">
        <v>942</v>
      </c>
      <c r="G2646">
        <v>323</v>
      </c>
      <c r="H2646" t="s">
        <v>72</v>
      </c>
      <c r="I2646">
        <v>3</v>
      </c>
      <c r="J2646" t="s">
        <v>50</v>
      </c>
    </row>
    <row r="2647" spans="1:10" x14ac:dyDescent="0.25">
      <c r="A2647" t="s">
        <v>7355</v>
      </c>
      <c r="B2647">
        <f>177103.85082007*(1/100/100)</f>
        <v>17.710385082007001</v>
      </c>
      <c r="C2647">
        <v>23301</v>
      </c>
      <c r="D2647" t="s">
        <v>799</v>
      </c>
      <c r="E2647">
        <v>31804</v>
      </c>
      <c r="F2647" t="s">
        <v>799</v>
      </c>
      <c r="G2647">
        <v>318</v>
      </c>
      <c r="H2647" t="s">
        <v>67</v>
      </c>
      <c r="I2647">
        <v>3</v>
      </c>
      <c r="J2647" t="s">
        <v>50</v>
      </c>
    </row>
    <row r="2648" spans="1:10" x14ac:dyDescent="0.25">
      <c r="A2648" t="s">
        <v>7355</v>
      </c>
      <c r="B2648">
        <f>14876.8775935084*(1/100/100)</f>
        <v>1.48768775935084</v>
      </c>
      <c r="C2648">
        <v>23302</v>
      </c>
      <c r="D2648" t="s">
        <v>4150</v>
      </c>
      <c r="E2648">
        <v>31844</v>
      </c>
      <c r="F2648" t="s">
        <v>830</v>
      </c>
      <c r="G2648">
        <v>318</v>
      </c>
      <c r="H2648" t="s">
        <v>67</v>
      </c>
      <c r="I2648">
        <v>3</v>
      </c>
      <c r="J2648" t="s">
        <v>50</v>
      </c>
    </row>
    <row r="2649" spans="1:10" x14ac:dyDescent="0.25">
      <c r="A2649" t="s">
        <v>7355</v>
      </c>
      <c r="B2649">
        <f>349379.525594999*(1/100/100)</f>
        <v>34.937952559499905</v>
      </c>
      <c r="C2649">
        <v>23303</v>
      </c>
      <c r="D2649" t="s">
        <v>4291</v>
      </c>
      <c r="E2649">
        <v>31839</v>
      </c>
      <c r="F2649" t="s">
        <v>825</v>
      </c>
      <c r="G2649">
        <v>318</v>
      </c>
      <c r="H2649" t="s">
        <v>67</v>
      </c>
      <c r="I2649">
        <v>3</v>
      </c>
      <c r="J2649" t="s">
        <v>50</v>
      </c>
    </row>
    <row r="2650" spans="1:10" x14ac:dyDescent="0.25">
      <c r="A2650" t="s">
        <v>7355</v>
      </c>
      <c r="B2650">
        <f>53039.4698283617*(1/100/100)</f>
        <v>5.3039469828361705</v>
      </c>
      <c r="C2650">
        <v>23304</v>
      </c>
      <c r="D2650" t="s">
        <v>4292</v>
      </c>
      <c r="E2650">
        <v>31839</v>
      </c>
      <c r="F2650" t="s">
        <v>825</v>
      </c>
      <c r="G2650">
        <v>318</v>
      </c>
      <c r="H2650" t="s">
        <v>67</v>
      </c>
      <c r="I2650">
        <v>3</v>
      </c>
      <c r="J2650" t="s">
        <v>50</v>
      </c>
    </row>
    <row r="2651" spans="1:10" x14ac:dyDescent="0.25">
      <c r="A2651" t="s">
        <v>7355</v>
      </c>
      <c r="B2651">
        <f>45869.5178969428*(1/100/100)</f>
        <v>4.5869517896942806</v>
      </c>
      <c r="C2651">
        <v>23305</v>
      </c>
      <c r="D2651" t="s">
        <v>4280</v>
      </c>
      <c r="E2651">
        <v>31831</v>
      </c>
      <c r="F2651" t="s">
        <v>4281</v>
      </c>
      <c r="G2651">
        <v>318</v>
      </c>
      <c r="H2651" t="s">
        <v>67</v>
      </c>
      <c r="I2651">
        <v>3</v>
      </c>
      <c r="J2651" t="s">
        <v>50</v>
      </c>
    </row>
    <row r="2652" spans="1:10" x14ac:dyDescent="0.25">
      <c r="A2652" t="s">
        <v>7355</v>
      </c>
      <c r="B2652">
        <f>70401.5851521906*(1/100/100)</f>
        <v>7.0401585152190602</v>
      </c>
      <c r="C2652">
        <v>23306</v>
      </c>
      <c r="D2652" t="s">
        <v>4285</v>
      </c>
      <c r="E2652">
        <v>31832</v>
      </c>
      <c r="F2652" t="s">
        <v>818</v>
      </c>
      <c r="G2652">
        <v>318</v>
      </c>
      <c r="H2652" t="s">
        <v>67</v>
      </c>
      <c r="I2652">
        <v>3</v>
      </c>
      <c r="J2652" t="s">
        <v>50</v>
      </c>
    </row>
    <row r="2653" spans="1:10" x14ac:dyDescent="0.25">
      <c r="A2653" t="s">
        <v>7355</v>
      </c>
      <c r="B2653">
        <f>130734.535952777*(1/100/100)</f>
        <v>13.073453595277702</v>
      </c>
      <c r="C2653">
        <v>23307</v>
      </c>
      <c r="D2653" t="s">
        <v>807</v>
      </c>
      <c r="E2653">
        <v>31813</v>
      </c>
      <c r="F2653" t="s">
        <v>807</v>
      </c>
      <c r="G2653">
        <v>318</v>
      </c>
      <c r="H2653" t="s">
        <v>67</v>
      </c>
      <c r="I2653">
        <v>3</v>
      </c>
      <c r="J2653" t="s">
        <v>50</v>
      </c>
    </row>
    <row r="2654" spans="1:10" x14ac:dyDescent="0.25">
      <c r="A2654" t="s">
        <v>7355</v>
      </c>
      <c r="B2654">
        <f>24843.7740195906*(1/100/100)</f>
        <v>2.4843774019590601</v>
      </c>
      <c r="C2654">
        <v>23308</v>
      </c>
      <c r="D2654" t="s">
        <v>4289</v>
      </c>
      <c r="E2654">
        <v>31835</v>
      </c>
      <c r="F2654" t="s">
        <v>821</v>
      </c>
      <c r="G2654">
        <v>318</v>
      </c>
      <c r="H2654" t="s">
        <v>67</v>
      </c>
      <c r="I2654">
        <v>3</v>
      </c>
      <c r="J2654" t="s">
        <v>50</v>
      </c>
    </row>
    <row r="2655" spans="1:10" x14ac:dyDescent="0.25">
      <c r="A2655" t="s">
        <v>7355</v>
      </c>
      <c r="B2655">
        <f>23460.0534632789*(1/100/100)</f>
        <v>2.3460053463278898</v>
      </c>
      <c r="C2655">
        <v>23309</v>
      </c>
      <c r="D2655" t="s">
        <v>4305</v>
      </c>
      <c r="E2655">
        <v>31844</v>
      </c>
      <c r="F2655" t="s">
        <v>830</v>
      </c>
      <c r="G2655">
        <v>318</v>
      </c>
      <c r="H2655" t="s">
        <v>67</v>
      </c>
      <c r="I2655">
        <v>3</v>
      </c>
      <c r="J2655" t="s">
        <v>50</v>
      </c>
    </row>
    <row r="2656" spans="1:10" x14ac:dyDescent="0.25">
      <c r="A2656" t="s">
        <v>7355</v>
      </c>
      <c r="B2656">
        <f>35285.2321985619*(1/100/100)</f>
        <v>3.52852321985619</v>
      </c>
      <c r="C2656">
        <v>23310</v>
      </c>
      <c r="D2656" t="s">
        <v>4302</v>
      </c>
      <c r="E2656">
        <v>31843</v>
      </c>
      <c r="F2656" t="s">
        <v>829</v>
      </c>
      <c r="G2656">
        <v>318</v>
      </c>
      <c r="H2656" t="s">
        <v>67</v>
      </c>
      <c r="I2656">
        <v>3</v>
      </c>
      <c r="J2656" t="s">
        <v>50</v>
      </c>
    </row>
    <row r="2657" spans="1:10" x14ac:dyDescent="0.25">
      <c r="A2657" t="s">
        <v>7355</v>
      </c>
      <c r="B2657">
        <f>43691.7622814236*(1/100/100)</f>
        <v>4.3691762281423605</v>
      </c>
      <c r="C2657">
        <v>23311</v>
      </c>
      <c r="D2657" t="s">
        <v>4312</v>
      </c>
      <c r="E2657">
        <v>31847</v>
      </c>
      <c r="F2657" t="s">
        <v>833</v>
      </c>
      <c r="G2657">
        <v>318</v>
      </c>
      <c r="H2657" t="s">
        <v>67</v>
      </c>
      <c r="I2657">
        <v>3</v>
      </c>
      <c r="J2657" t="s">
        <v>50</v>
      </c>
    </row>
    <row r="2658" spans="1:10" x14ac:dyDescent="0.25">
      <c r="A2658" t="s">
        <v>7355</v>
      </c>
      <c r="B2658">
        <f>12549.8717250076*(1/100/100)</f>
        <v>1.2549871725007602</v>
      </c>
      <c r="C2658">
        <v>23312</v>
      </c>
      <c r="D2658" t="s">
        <v>220</v>
      </c>
      <c r="E2658">
        <v>31823</v>
      </c>
      <c r="F2658" t="s">
        <v>813</v>
      </c>
      <c r="G2658">
        <v>318</v>
      </c>
      <c r="H2658" t="s">
        <v>67</v>
      </c>
      <c r="I2658">
        <v>3</v>
      </c>
      <c r="J2658" t="s">
        <v>50</v>
      </c>
    </row>
    <row r="2659" spans="1:10" x14ac:dyDescent="0.25">
      <c r="A2659" t="s">
        <v>7355</v>
      </c>
      <c r="B2659">
        <f>37361.4062672611*(1/100/100)</f>
        <v>3.7361406267261104</v>
      </c>
      <c r="C2659">
        <v>23313</v>
      </c>
      <c r="D2659" t="s">
        <v>4303</v>
      </c>
      <c r="E2659">
        <v>31843</v>
      </c>
      <c r="F2659" t="s">
        <v>829</v>
      </c>
      <c r="G2659">
        <v>318</v>
      </c>
      <c r="H2659" t="s">
        <v>67</v>
      </c>
      <c r="I2659">
        <v>3</v>
      </c>
      <c r="J2659" t="s">
        <v>50</v>
      </c>
    </row>
    <row r="2660" spans="1:10" x14ac:dyDescent="0.25">
      <c r="A2660" t="s">
        <v>7355</v>
      </c>
      <c r="B2660">
        <f>12136.2218810586*(1/100/100)</f>
        <v>1.21362218810586</v>
      </c>
      <c r="C2660">
        <v>23314</v>
      </c>
      <c r="D2660" t="s">
        <v>2130</v>
      </c>
      <c r="E2660">
        <v>31843</v>
      </c>
      <c r="F2660" t="s">
        <v>829</v>
      </c>
      <c r="G2660">
        <v>318</v>
      </c>
      <c r="H2660" t="s">
        <v>67</v>
      </c>
      <c r="I2660">
        <v>3</v>
      </c>
      <c r="J2660" t="s">
        <v>50</v>
      </c>
    </row>
    <row r="2661" spans="1:10" x14ac:dyDescent="0.25">
      <c r="A2661" t="s">
        <v>7355</v>
      </c>
      <c r="B2661">
        <f>28407.6570053103*(1/100/100)</f>
        <v>2.8407657005310298</v>
      </c>
      <c r="C2661">
        <v>23315</v>
      </c>
      <c r="D2661" t="s">
        <v>4267</v>
      </c>
      <c r="E2661">
        <v>31823</v>
      </c>
      <c r="F2661" t="s">
        <v>813</v>
      </c>
      <c r="G2661">
        <v>318</v>
      </c>
      <c r="H2661" t="s">
        <v>67</v>
      </c>
      <c r="I2661">
        <v>3</v>
      </c>
      <c r="J2661" t="s">
        <v>50</v>
      </c>
    </row>
    <row r="2662" spans="1:10" x14ac:dyDescent="0.25">
      <c r="A2662" t="s">
        <v>7355</v>
      </c>
      <c r="B2662">
        <f>12084.6697324931*(1/100/100)</f>
        <v>1.2084669732493101</v>
      </c>
      <c r="C2662">
        <v>23316</v>
      </c>
      <c r="D2662" t="s">
        <v>4260</v>
      </c>
      <c r="E2662">
        <v>31817</v>
      </c>
      <c r="F2662" t="s">
        <v>810</v>
      </c>
      <c r="G2662">
        <v>318</v>
      </c>
      <c r="H2662" t="s">
        <v>67</v>
      </c>
      <c r="I2662">
        <v>3</v>
      </c>
      <c r="J2662" t="s">
        <v>50</v>
      </c>
    </row>
    <row r="2663" spans="1:10" x14ac:dyDescent="0.25">
      <c r="A2663" t="s">
        <v>7355</v>
      </c>
      <c r="B2663">
        <f>109528.202274141*(1/100/100)</f>
        <v>10.952820227414101</v>
      </c>
      <c r="C2663">
        <v>23317</v>
      </c>
      <c r="D2663" t="s">
        <v>2186</v>
      </c>
      <c r="E2663">
        <v>31817</v>
      </c>
      <c r="F2663" t="s">
        <v>810</v>
      </c>
      <c r="G2663">
        <v>318</v>
      </c>
      <c r="H2663" t="s">
        <v>67</v>
      </c>
      <c r="I2663">
        <v>3</v>
      </c>
      <c r="J2663" t="s">
        <v>50</v>
      </c>
    </row>
    <row r="2664" spans="1:10" x14ac:dyDescent="0.25">
      <c r="A2664" t="s">
        <v>7355</v>
      </c>
      <c r="B2664">
        <f>24119.8885023932*(1/100/100)</f>
        <v>2.4119888502393203</v>
      </c>
      <c r="C2664">
        <v>23318</v>
      </c>
      <c r="D2664" t="s">
        <v>3476</v>
      </c>
      <c r="E2664">
        <v>31839</v>
      </c>
      <c r="F2664" t="s">
        <v>825</v>
      </c>
      <c r="G2664">
        <v>318</v>
      </c>
      <c r="H2664" t="s">
        <v>67</v>
      </c>
      <c r="I2664">
        <v>3</v>
      </c>
      <c r="J2664" t="s">
        <v>50</v>
      </c>
    </row>
    <row r="2665" spans="1:10" x14ac:dyDescent="0.25">
      <c r="A2665" t="s">
        <v>7355</v>
      </c>
      <c r="B2665">
        <f>73358.3037997013*(1/100/100)</f>
        <v>7.3358303799701305</v>
      </c>
      <c r="C2665">
        <v>23319</v>
      </c>
      <c r="D2665" t="s">
        <v>4262</v>
      </c>
      <c r="E2665">
        <v>31818</v>
      </c>
      <c r="F2665" t="s">
        <v>67</v>
      </c>
      <c r="G2665">
        <v>318</v>
      </c>
      <c r="H2665" t="s">
        <v>67</v>
      </c>
      <c r="I2665">
        <v>3</v>
      </c>
      <c r="J2665" t="s">
        <v>50</v>
      </c>
    </row>
    <row r="2666" spans="1:10" x14ac:dyDescent="0.25">
      <c r="A2666" t="s">
        <v>7355</v>
      </c>
      <c r="B2666">
        <f>76471.3251003169*(1/100/100)</f>
        <v>7.6471325100316907</v>
      </c>
      <c r="C2666">
        <v>23320</v>
      </c>
      <c r="D2666" t="s">
        <v>4261</v>
      </c>
      <c r="E2666">
        <v>31817</v>
      </c>
      <c r="F2666" t="s">
        <v>810</v>
      </c>
      <c r="G2666">
        <v>318</v>
      </c>
      <c r="H2666" t="s">
        <v>67</v>
      </c>
      <c r="I2666">
        <v>3</v>
      </c>
      <c r="J2666" t="s">
        <v>50</v>
      </c>
    </row>
    <row r="2667" spans="1:10" x14ac:dyDescent="0.25">
      <c r="A2667" t="s">
        <v>7355</v>
      </c>
      <c r="B2667">
        <f>801056.141291734*(1/100/100)</f>
        <v>80.105614129173404</v>
      </c>
      <c r="C2667">
        <v>23321</v>
      </c>
      <c r="D2667" t="s">
        <v>67</v>
      </c>
      <c r="E2667">
        <v>31818</v>
      </c>
      <c r="F2667" t="s">
        <v>67</v>
      </c>
      <c r="G2667">
        <v>318</v>
      </c>
      <c r="H2667" t="s">
        <v>67</v>
      </c>
      <c r="I2667">
        <v>3</v>
      </c>
      <c r="J2667" t="s">
        <v>50</v>
      </c>
    </row>
    <row r="2668" spans="1:10" x14ac:dyDescent="0.25">
      <c r="A2668" t="s">
        <v>7355</v>
      </c>
      <c r="B2668">
        <f>62289.6690597284*(1/100/100)</f>
        <v>6.2289669059728405</v>
      </c>
      <c r="C2668">
        <v>23323</v>
      </c>
      <c r="D2668" t="s">
        <v>4282</v>
      </c>
      <c r="E2668">
        <v>31831</v>
      </c>
      <c r="F2668" t="s">
        <v>4281</v>
      </c>
      <c r="G2668">
        <v>318</v>
      </c>
      <c r="H2668" t="s">
        <v>67</v>
      </c>
      <c r="I2668">
        <v>3</v>
      </c>
      <c r="J2668" t="s">
        <v>50</v>
      </c>
    </row>
    <row r="2669" spans="1:10" x14ac:dyDescent="0.25">
      <c r="A2669" t="s">
        <v>7355</v>
      </c>
      <c r="B2669">
        <f>18136.5746761544*(1/100/100)</f>
        <v>1.81365746761544</v>
      </c>
      <c r="C2669">
        <v>23324</v>
      </c>
      <c r="D2669" t="s">
        <v>4255</v>
      </c>
      <c r="E2669">
        <v>31813</v>
      </c>
      <c r="F2669" t="s">
        <v>807</v>
      </c>
      <c r="G2669">
        <v>318</v>
      </c>
      <c r="H2669" t="s">
        <v>67</v>
      </c>
      <c r="I2669">
        <v>3</v>
      </c>
      <c r="J2669" t="s">
        <v>50</v>
      </c>
    </row>
    <row r="2670" spans="1:10" x14ac:dyDescent="0.25">
      <c r="A2670" t="s">
        <v>7355</v>
      </c>
      <c r="B2670">
        <f>36770.5266741857*(1/100/100)</f>
        <v>3.67705266741857</v>
      </c>
      <c r="C2670">
        <v>23325</v>
      </c>
      <c r="D2670" t="s">
        <v>3593</v>
      </c>
      <c r="E2670">
        <v>31849</v>
      </c>
      <c r="F2670" t="s">
        <v>835</v>
      </c>
      <c r="G2670">
        <v>318</v>
      </c>
      <c r="H2670" t="s">
        <v>67</v>
      </c>
      <c r="I2670">
        <v>3</v>
      </c>
      <c r="J2670" t="s">
        <v>50</v>
      </c>
    </row>
    <row r="2671" spans="1:10" x14ac:dyDescent="0.25">
      <c r="A2671" t="s">
        <v>7355</v>
      </c>
      <c r="B2671">
        <f>123401.041116817*(1/100/100)</f>
        <v>12.340104111681701</v>
      </c>
      <c r="C2671">
        <v>23326</v>
      </c>
      <c r="D2671" t="s">
        <v>4263</v>
      </c>
      <c r="E2671">
        <v>31818</v>
      </c>
      <c r="F2671" t="s">
        <v>67</v>
      </c>
      <c r="G2671">
        <v>318</v>
      </c>
      <c r="H2671" t="s">
        <v>67</v>
      </c>
      <c r="I2671">
        <v>3</v>
      </c>
      <c r="J2671" t="s">
        <v>50</v>
      </c>
    </row>
    <row r="2672" spans="1:10" x14ac:dyDescent="0.25">
      <c r="A2672" t="s">
        <v>7355</v>
      </c>
      <c r="B2672">
        <f>191586.216243083*(1/100/100)</f>
        <v>19.158621624308303</v>
      </c>
      <c r="C2672">
        <v>23327</v>
      </c>
      <c r="D2672" t="s">
        <v>813</v>
      </c>
      <c r="E2672">
        <v>31823</v>
      </c>
      <c r="F2672" t="s">
        <v>813</v>
      </c>
      <c r="G2672">
        <v>318</v>
      </c>
      <c r="H2672" t="s">
        <v>67</v>
      </c>
      <c r="I2672">
        <v>3</v>
      </c>
      <c r="J2672" t="s">
        <v>50</v>
      </c>
    </row>
    <row r="2673" spans="1:10" x14ac:dyDescent="0.25">
      <c r="A2673" t="s">
        <v>7355</v>
      </c>
      <c r="B2673">
        <f>255102.326665425*(1/100/100)</f>
        <v>25.510232666542503</v>
      </c>
      <c r="C2673">
        <v>23328</v>
      </c>
      <c r="D2673" t="s">
        <v>815</v>
      </c>
      <c r="E2673">
        <v>31826</v>
      </c>
      <c r="F2673" t="s">
        <v>815</v>
      </c>
      <c r="G2673">
        <v>318</v>
      </c>
      <c r="H2673" t="s">
        <v>67</v>
      </c>
      <c r="I2673">
        <v>3</v>
      </c>
      <c r="J2673" t="s">
        <v>50</v>
      </c>
    </row>
    <row r="2674" spans="1:10" x14ac:dyDescent="0.25">
      <c r="A2674" t="s">
        <v>7355</v>
      </c>
      <c r="B2674">
        <f>75612.2918990122*(1/100/100)</f>
        <v>7.5612291899012201</v>
      </c>
      <c r="C2674">
        <v>23329</v>
      </c>
      <c r="D2674" t="s">
        <v>4293</v>
      </c>
      <c r="E2674">
        <v>31839</v>
      </c>
      <c r="F2674" t="s">
        <v>825</v>
      </c>
      <c r="G2674">
        <v>318</v>
      </c>
      <c r="H2674" t="s">
        <v>67</v>
      </c>
      <c r="I2674">
        <v>3</v>
      </c>
      <c r="J2674" t="s">
        <v>50</v>
      </c>
    </row>
    <row r="2675" spans="1:10" x14ac:dyDescent="0.25">
      <c r="A2675" t="s">
        <v>7355</v>
      </c>
      <c r="B2675">
        <f>39466.4306674787*(1/100/100)</f>
        <v>3.9466430667478702</v>
      </c>
      <c r="C2675">
        <v>23330</v>
      </c>
      <c r="D2675" t="s">
        <v>4306</v>
      </c>
      <c r="E2675">
        <v>31844</v>
      </c>
      <c r="F2675" t="s">
        <v>830</v>
      </c>
      <c r="G2675">
        <v>318</v>
      </c>
      <c r="H2675" t="s">
        <v>67</v>
      </c>
      <c r="I2675">
        <v>3</v>
      </c>
      <c r="J2675" t="s">
        <v>50</v>
      </c>
    </row>
    <row r="2676" spans="1:10" x14ac:dyDescent="0.25">
      <c r="A2676" t="s">
        <v>7355</v>
      </c>
      <c r="B2676">
        <f>11362.6557180351*(1/100/100)</f>
        <v>1.13626557180351</v>
      </c>
      <c r="C2676">
        <v>23331</v>
      </c>
      <c r="D2676" t="s">
        <v>4286</v>
      </c>
      <c r="E2676">
        <v>31832</v>
      </c>
      <c r="F2676" t="s">
        <v>818</v>
      </c>
      <c r="G2676">
        <v>318</v>
      </c>
      <c r="H2676" t="s">
        <v>67</v>
      </c>
      <c r="I2676">
        <v>3</v>
      </c>
      <c r="J2676" t="s">
        <v>50</v>
      </c>
    </row>
    <row r="2677" spans="1:10" x14ac:dyDescent="0.25">
      <c r="A2677" t="s">
        <v>7355</v>
      </c>
      <c r="B2677">
        <f>180321.977159518*(1/100/100)</f>
        <v>18.032197715951799</v>
      </c>
      <c r="C2677">
        <v>23332</v>
      </c>
      <c r="D2677" t="s">
        <v>4294</v>
      </c>
      <c r="E2677">
        <v>31839</v>
      </c>
      <c r="F2677" t="s">
        <v>825</v>
      </c>
      <c r="G2677">
        <v>318</v>
      </c>
      <c r="H2677" t="s">
        <v>67</v>
      </c>
      <c r="I2677">
        <v>3</v>
      </c>
      <c r="J2677" t="s">
        <v>50</v>
      </c>
    </row>
    <row r="2678" spans="1:10" x14ac:dyDescent="0.25">
      <c r="A2678" t="s">
        <v>7355</v>
      </c>
      <c r="B2678">
        <f>23954.8443514563*(1/100/100)</f>
        <v>2.3954844351456304</v>
      </c>
      <c r="C2678">
        <v>23333</v>
      </c>
      <c r="D2678" t="s">
        <v>4269</v>
      </c>
      <c r="E2678">
        <v>31826</v>
      </c>
      <c r="F2678" t="s">
        <v>815</v>
      </c>
      <c r="G2678">
        <v>318</v>
      </c>
      <c r="H2678" t="s">
        <v>67</v>
      </c>
      <c r="I2678">
        <v>3</v>
      </c>
      <c r="J2678" t="s">
        <v>50</v>
      </c>
    </row>
    <row r="2679" spans="1:10" x14ac:dyDescent="0.25">
      <c r="A2679" t="s">
        <v>7355</v>
      </c>
      <c r="B2679">
        <f>15990.4376323531*(1/100/100)</f>
        <v>1.5990437632353101</v>
      </c>
      <c r="C2679">
        <v>23334</v>
      </c>
      <c r="D2679" t="s">
        <v>4309</v>
      </c>
      <c r="E2679">
        <v>31845</v>
      </c>
      <c r="F2679" t="s">
        <v>831</v>
      </c>
      <c r="G2679">
        <v>318</v>
      </c>
      <c r="H2679" t="s">
        <v>67</v>
      </c>
      <c r="I2679">
        <v>3</v>
      </c>
      <c r="J2679" t="s">
        <v>50</v>
      </c>
    </row>
    <row r="2680" spans="1:10" x14ac:dyDescent="0.25">
      <c r="A2680" t="s">
        <v>7355</v>
      </c>
      <c r="B2680">
        <f>214951.150016025*(1/100/100)</f>
        <v>21.4951150016025</v>
      </c>
      <c r="C2680">
        <v>23335</v>
      </c>
      <c r="D2680" t="s">
        <v>4295</v>
      </c>
      <c r="E2680">
        <v>31839</v>
      </c>
      <c r="F2680" t="s">
        <v>825</v>
      </c>
      <c r="G2680">
        <v>318</v>
      </c>
      <c r="H2680" t="s">
        <v>67</v>
      </c>
      <c r="I2680">
        <v>3</v>
      </c>
      <c r="J2680" t="s">
        <v>50</v>
      </c>
    </row>
    <row r="2681" spans="1:10" x14ac:dyDescent="0.25">
      <c r="A2681" t="s">
        <v>7355</v>
      </c>
      <c r="B2681">
        <f>66330.8917293012*(1/100/100)</f>
        <v>6.6330891729301209</v>
      </c>
      <c r="C2681">
        <v>23336</v>
      </c>
      <c r="D2681" t="s">
        <v>4283</v>
      </c>
      <c r="E2681">
        <v>31831</v>
      </c>
      <c r="F2681" t="s">
        <v>4281</v>
      </c>
      <c r="G2681">
        <v>318</v>
      </c>
      <c r="H2681" t="s">
        <v>67</v>
      </c>
      <c r="I2681">
        <v>3</v>
      </c>
      <c r="J2681" t="s">
        <v>50</v>
      </c>
    </row>
    <row r="2682" spans="1:10" x14ac:dyDescent="0.25">
      <c r="A2682" t="s">
        <v>7355</v>
      </c>
      <c r="B2682">
        <f>41110.9348484127*(1/100/100)</f>
        <v>4.1110934848412697</v>
      </c>
      <c r="C2682">
        <v>23337</v>
      </c>
      <c r="D2682" t="s">
        <v>4268</v>
      </c>
      <c r="E2682">
        <v>31823</v>
      </c>
      <c r="F2682" t="s">
        <v>813</v>
      </c>
      <c r="G2682">
        <v>318</v>
      </c>
      <c r="H2682" t="s">
        <v>67</v>
      </c>
      <c r="I2682">
        <v>3</v>
      </c>
      <c r="J2682" t="s">
        <v>50</v>
      </c>
    </row>
    <row r="2683" spans="1:10" x14ac:dyDescent="0.25">
      <c r="A2683" t="s">
        <v>7355</v>
      </c>
      <c r="B2683">
        <f>55487.5997550497*(1/100/100)</f>
        <v>5.5487599755049697</v>
      </c>
      <c r="C2683">
        <v>23338</v>
      </c>
      <c r="D2683" t="s">
        <v>4287</v>
      </c>
      <c r="E2683">
        <v>31832</v>
      </c>
      <c r="F2683" t="s">
        <v>818</v>
      </c>
      <c r="G2683">
        <v>318</v>
      </c>
      <c r="H2683" t="s">
        <v>67</v>
      </c>
      <c r="I2683">
        <v>3</v>
      </c>
      <c r="J2683" t="s">
        <v>50</v>
      </c>
    </row>
    <row r="2684" spans="1:10" x14ac:dyDescent="0.25">
      <c r="A2684" t="s">
        <v>7355</v>
      </c>
      <c r="B2684">
        <f>40744.7204212724*(1/100/100)</f>
        <v>4.0744720421272405</v>
      </c>
      <c r="C2684">
        <v>23339</v>
      </c>
      <c r="D2684" t="s">
        <v>3742</v>
      </c>
      <c r="E2684">
        <v>31837</v>
      </c>
      <c r="F2684" t="s">
        <v>823</v>
      </c>
      <c r="G2684">
        <v>318</v>
      </c>
      <c r="H2684" t="s">
        <v>67</v>
      </c>
      <c r="I2684">
        <v>3</v>
      </c>
      <c r="J2684" t="s">
        <v>50</v>
      </c>
    </row>
    <row r="2685" spans="1:10" x14ac:dyDescent="0.25">
      <c r="A2685" t="s">
        <v>7355</v>
      </c>
      <c r="B2685">
        <f>49585.3415546636*(1/100/100)</f>
        <v>4.9585341554663609</v>
      </c>
      <c r="C2685">
        <v>23340</v>
      </c>
      <c r="D2685" t="s">
        <v>820</v>
      </c>
      <c r="E2685">
        <v>31834</v>
      </c>
      <c r="F2685" t="s">
        <v>820</v>
      </c>
      <c r="G2685">
        <v>318</v>
      </c>
      <c r="H2685" t="s">
        <v>67</v>
      </c>
      <c r="I2685">
        <v>3</v>
      </c>
      <c r="J2685" t="s">
        <v>50</v>
      </c>
    </row>
    <row r="2686" spans="1:10" x14ac:dyDescent="0.25">
      <c r="A2686" t="s">
        <v>7355</v>
      </c>
      <c r="B2686">
        <f>162445.689327898*(1/100/100)</f>
        <v>16.2445689327898</v>
      </c>
      <c r="C2686">
        <v>23341</v>
      </c>
      <c r="D2686" t="s">
        <v>821</v>
      </c>
      <c r="E2686">
        <v>31835</v>
      </c>
      <c r="F2686" t="s">
        <v>821</v>
      </c>
      <c r="G2686">
        <v>318</v>
      </c>
      <c r="H2686" t="s">
        <v>67</v>
      </c>
      <c r="I2686">
        <v>3</v>
      </c>
      <c r="J2686" t="s">
        <v>50</v>
      </c>
    </row>
    <row r="2687" spans="1:10" x14ac:dyDescent="0.25">
      <c r="A2687" t="s">
        <v>7355</v>
      </c>
      <c r="B2687">
        <f>96076.5849549555*(1/100/100)</f>
        <v>9.6076584954955511</v>
      </c>
      <c r="C2687">
        <v>23342</v>
      </c>
      <c r="D2687" t="s">
        <v>823</v>
      </c>
      <c r="E2687">
        <v>31837</v>
      </c>
      <c r="F2687" t="s">
        <v>823</v>
      </c>
      <c r="G2687">
        <v>318</v>
      </c>
      <c r="H2687" t="s">
        <v>67</v>
      </c>
      <c r="I2687">
        <v>3</v>
      </c>
      <c r="J2687" t="s">
        <v>50</v>
      </c>
    </row>
    <row r="2688" spans="1:10" x14ac:dyDescent="0.25">
      <c r="A2688" t="s">
        <v>7355</v>
      </c>
      <c r="B2688">
        <f>71326.2565433172*(1/100/100)</f>
        <v>7.1326256543317204</v>
      </c>
      <c r="C2688">
        <v>23343</v>
      </c>
      <c r="D2688" t="s">
        <v>4296</v>
      </c>
      <c r="E2688">
        <v>31839</v>
      </c>
      <c r="F2688" t="s">
        <v>825</v>
      </c>
      <c r="G2688">
        <v>318</v>
      </c>
      <c r="H2688" t="s">
        <v>67</v>
      </c>
      <c r="I2688">
        <v>3</v>
      </c>
      <c r="J2688" t="s">
        <v>50</v>
      </c>
    </row>
    <row r="2689" spans="1:10" x14ac:dyDescent="0.25">
      <c r="A2689" t="s">
        <v>7355</v>
      </c>
      <c r="B2689">
        <f>20032.4674467258*(1/100/100)</f>
        <v>2.0032467446725803</v>
      </c>
      <c r="C2689">
        <v>23344</v>
      </c>
      <c r="D2689" t="s">
        <v>4304</v>
      </c>
      <c r="E2689">
        <v>31843</v>
      </c>
      <c r="F2689" t="s">
        <v>829</v>
      </c>
      <c r="G2689">
        <v>318</v>
      </c>
      <c r="H2689" t="s">
        <v>67</v>
      </c>
      <c r="I2689">
        <v>3</v>
      </c>
      <c r="J2689" t="s">
        <v>50</v>
      </c>
    </row>
    <row r="2690" spans="1:10" x14ac:dyDescent="0.25">
      <c r="A2690" t="s">
        <v>7355</v>
      </c>
      <c r="B2690">
        <f>112555.880587508*(1/100/100)</f>
        <v>11.255588058750801</v>
      </c>
      <c r="C2690">
        <v>23345</v>
      </c>
      <c r="D2690" t="s">
        <v>4270</v>
      </c>
      <c r="E2690">
        <v>31826</v>
      </c>
      <c r="F2690" t="s">
        <v>815</v>
      </c>
      <c r="G2690">
        <v>318</v>
      </c>
      <c r="H2690" t="s">
        <v>67</v>
      </c>
      <c r="I2690">
        <v>3</v>
      </c>
      <c r="J2690" t="s">
        <v>50</v>
      </c>
    </row>
    <row r="2691" spans="1:10" x14ac:dyDescent="0.25">
      <c r="A2691" t="s">
        <v>7355</v>
      </c>
      <c r="B2691">
        <f>39202.0841149512*(1/100/100)</f>
        <v>3.9202084114951199</v>
      </c>
      <c r="C2691">
        <v>23346</v>
      </c>
      <c r="D2691" t="s">
        <v>4307</v>
      </c>
      <c r="E2691">
        <v>31844</v>
      </c>
      <c r="F2691" t="s">
        <v>830</v>
      </c>
      <c r="G2691">
        <v>318</v>
      </c>
      <c r="H2691" t="s">
        <v>67</v>
      </c>
      <c r="I2691">
        <v>3</v>
      </c>
      <c r="J2691" t="s">
        <v>50</v>
      </c>
    </row>
    <row r="2692" spans="1:10" x14ac:dyDescent="0.25">
      <c r="A2692" t="s">
        <v>7355</v>
      </c>
      <c r="B2692">
        <f>12460.1520474165*(1/100/100)</f>
        <v>1.2460152047416502</v>
      </c>
      <c r="C2692">
        <v>23347</v>
      </c>
      <c r="D2692" t="s">
        <v>3033</v>
      </c>
      <c r="E2692">
        <v>31843</v>
      </c>
      <c r="F2692" t="s">
        <v>829</v>
      </c>
      <c r="G2692">
        <v>318</v>
      </c>
      <c r="H2692" t="s">
        <v>67</v>
      </c>
      <c r="I2692">
        <v>3</v>
      </c>
      <c r="J2692" t="s">
        <v>50</v>
      </c>
    </row>
    <row r="2693" spans="1:10" x14ac:dyDescent="0.25">
      <c r="A2693" t="s">
        <v>7355</v>
      </c>
      <c r="B2693">
        <f>106907.655702743*(1/100/100)</f>
        <v>10.6907655702743</v>
      </c>
      <c r="C2693">
        <v>23348</v>
      </c>
      <c r="D2693" t="s">
        <v>4288</v>
      </c>
      <c r="E2693">
        <v>31832</v>
      </c>
      <c r="F2693" t="s">
        <v>818</v>
      </c>
      <c r="G2693">
        <v>318</v>
      </c>
      <c r="H2693" t="s">
        <v>67</v>
      </c>
      <c r="I2693">
        <v>3</v>
      </c>
      <c r="J2693" t="s">
        <v>50</v>
      </c>
    </row>
    <row r="2694" spans="1:10" x14ac:dyDescent="0.25">
      <c r="A2694" t="s">
        <v>7355</v>
      </c>
      <c r="B2694">
        <f>17564.1037390918*(1/100/100)</f>
        <v>1.7564103739091801</v>
      </c>
      <c r="C2694">
        <v>23349</v>
      </c>
      <c r="D2694" t="s">
        <v>4308</v>
      </c>
      <c r="E2694">
        <v>31844</v>
      </c>
      <c r="F2694" t="s">
        <v>830</v>
      </c>
      <c r="G2694">
        <v>318</v>
      </c>
      <c r="H2694" t="s">
        <v>67</v>
      </c>
      <c r="I2694">
        <v>3</v>
      </c>
      <c r="J2694" t="s">
        <v>50</v>
      </c>
    </row>
    <row r="2695" spans="1:10" x14ac:dyDescent="0.25">
      <c r="A2695" t="s">
        <v>7355</v>
      </c>
      <c r="B2695">
        <f>38765.4986269256*(1/100/100)</f>
        <v>3.8765498626925599</v>
      </c>
      <c r="C2695">
        <v>23350</v>
      </c>
      <c r="D2695" t="s">
        <v>4314</v>
      </c>
      <c r="E2695">
        <v>31849</v>
      </c>
      <c r="F2695" t="s">
        <v>835</v>
      </c>
      <c r="G2695">
        <v>318</v>
      </c>
      <c r="H2695" t="s">
        <v>67</v>
      </c>
      <c r="I2695">
        <v>3</v>
      </c>
      <c r="J2695" t="s">
        <v>50</v>
      </c>
    </row>
    <row r="2696" spans="1:10" x14ac:dyDescent="0.25">
      <c r="A2696" t="s">
        <v>7355</v>
      </c>
      <c r="B2696">
        <f>75118.9931492024*(1/100/100)</f>
        <v>7.5118993149202407</v>
      </c>
      <c r="C2696">
        <v>23351</v>
      </c>
      <c r="D2696" t="s">
        <v>4284</v>
      </c>
      <c r="E2696">
        <v>31831</v>
      </c>
      <c r="F2696" t="s">
        <v>4281</v>
      </c>
      <c r="G2696">
        <v>318</v>
      </c>
      <c r="H2696" t="s">
        <v>67</v>
      </c>
      <c r="I2696">
        <v>3</v>
      </c>
      <c r="J2696" t="s">
        <v>50</v>
      </c>
    </row>
    <row r="2697" spans="1:10" x14ac:dyDescent="0.25">
      <c r="A2697" t="s">
        <v>7355</v>
      </c>
      <c r="B2697">
        <f>120433.264974532*(1/100/100)</f>
        <v>12.043326497453201</v>
      </c>
      <c r="C2697">
        <v>23352</v>
      </c>
      <c r="D2697" t="s">
        <v>829</v>
      </c>
      <c r="E2697">
        <v>31843</v>
      </c>
      <c r="F2697" t="s">
        <v>829</v>
      </c>
      <c r="G2697">
        <v>318</v>
      </c>
      <c r="H2697" t="s">
        <v>67</v>
      </c>
      <c r="I2697">
        <v>3</v>
      </c>
      <c r="J2697" t="s">
        <v>50</v>
      </c>
    </row>
    <row r="2698" spans="1:10" x14ac:dyDescent="0.25">
      <c r="A2698" t="s">
        <v>7355</v>
      </c>
      <c r="B2698">
        <f>59365.6578900744*(1/100/100)</f>
        <v>5.9365657890074406</v>
      </c>
      <c r="C2698">
        <v>23353</v>
      </c>
      <c r="D2698" t="s">
        <v>830</v>
      </c>
      <c r="E2698">
        <v>31844</v>
      </c>
      <c r="F2698" t="s">
        <v>830</v>
      </c>
      <c r="G2698">
        <v>318</v>
      </c>
      <c r="H2698" t="s">
        <v>67</v>
      </c>
      <c r="I2698">
        <v>3</v>
      </c>
      <c r="J2698" t="s">
        <v>50</v>
      </c>
    </row>
    <row r="2699" spans="1:10" x14ac:dyDescent="0.25">
      <c r="A2699" t="s">
        <v>7355</v>
      </c>
      <c r="B2699">
        <f>96888.468275085*(1/100/100)</f>
        <v>9.6888468275085007</v>
      </c>
      <c r="C2699">
        <v>23354</v>
      </c>
      <c r="D2699" t="s">
        <v>831</v>
      </c>
      <c r="E2699">
        <v>31845</v>
      </c>
      <c r="F2699" t="s">
        <v>831</v>
      </c>
      <c r="G2699">
        <v>318</v>
      </c>
      <c r="H2699" t="s">
        <v>67</v>
      </c>
      <c r="I2699">
        <v>3</v>
      </c>
      <c r="J2699" t="s">
        <v>50</v>
      </c>
    </row>
    <row r="2700" spans="1:10" x14ac:dyDescent="0.25">
      <c r="A2700" t="s">
        <v>7355</v>
      </c>
      <c r="B2700">
        <f>21415.2269708051*(1/100/100)</f>
        <v>2.1415226970805099</v>
      </c>
      <c r="C2700">
        <v>23355</v>
      </c>
      <c r="D2700" t="s">
        <v>4313</v>
      </c>
      <c r="E2700">
        <v>31847</v>
      </c>
      <c r="F2700" t="s">
        <v>833</v>
      </c>
      <c r="G2700">
        <v>318</v>
      </c>
      <c r="H2700" t="s">
        <v>67</v>
      </c>
      <c r="I2700">
        <v>3</v>
      </c>
      <c r="J2700" t="s">
        <v>50</v>
      </c>
    </row>
    <row r="2701" spans="1:10" x14ac:dyDescent="0.25">
      <c r="A2701" t="s">
        <v>7355</v>
      </c>
      <c r="B2701">
        <f>103037.784848916*(1/100/100)</f>
        <v>10.3037784848916</v>
      </c>
      <c r="C2701">
        <v>23356</v>
      </c>
      <c r="D2701" t="s">
        <v>833</v>
      </c>
      <c r="E2701">
        <v>31847</v>
      </c>
      <c r="F2701" t="s">
        <v>833</v>
      </c>
      <c r="G2701">
        <v>318</v>
      </c>
      <c r="H2701" t="s">
        <v>67</v>
      </c>
      <c r="I2701">
        <v>3</v>
      </c>
      <c r="J2701" t="s">
        <v>50</v>
      </c>
    </row>
    <row r="2702" spans="1:10" x14ac:dyDescent="0.25">
      <c r="A2702" t="s">
        <v>7355</v>
      </c>
      <c r="B2702">
        <f>19683.8443850185*(1/100/100)</f>
        <v>1.9683844385018501</v>
      </c>
      <c r="C2702">
        <v>23357</v>
      </c>
      <c r="D2702" t="s">
        <v>4315</v>
      </c>
      <c r="E2702">
        <v>31849</v>
      </c>
      <c r="F2702" t="s">
        <v>835</v>
      </c>
      <c r="G2702">
        <v>318</v>
      </c>
      <c r="H2702" t="s">
        <v>67</v>
      </c>
      <c r="I2702">
        <v>3</v>
      </c>
      <c r="J2702" t="s">
        <v>50</v>
      </c>
    </row>
    <row r="2703" spans="1:10" x14ac:dyDescent="0.25">
      <c r="A2703" t="s">
        <v>7355</v>
      </c>
      <c r="B2703">
        <f>168.614600716371*(1/100/100)</f>
        <v>1.6861460071637101E-2</v>
      </c>
      <c r="C2703">
        <v>23358</v>
      </c>
      <c r="D2703" t="s">
        <v>4310</v>
      </c>
      <c r="E2703">
        <v>31845</v>
      </c>
      <c r="F2703" t="s">
        <v>831</v>
      </c>
      <c r="G2703">
        <v>318</v>
      </c>
      <c r="H2703" t="s">
        <v>67</v>
      </c>
      <c r="I2703">
        <v>3</v>
      </c>
      <c r="J2703" t="s">
        <v>50</v>
      </c>
    </row>
    <row r="2704" spans="1:10" x14ac:dyDescent="0.25">
      <c r="A2704" t="s">
        <v>7355</v>
      </c>
      <c r="B2704">
        <f>5634.55019590245*(1/100/100)</f>
        <v>0.56345501959024502</v>
      </c>
      <c r="C2704">
        <v>23359</v>
      </c>
      <c r="D2704" t="s">
        <v>4297</v>
      </c>
      <c r="E2704">
        <v>31839</v>
      </c>
      <c r="F2704" t="s">
        <v>825</v>
      </c>
      <c r="G2704">
        <v>318</v>
      </c>
      <c r="H2704" t="s">
        <v>67</v>
      </c>
      <c r="I2704">
        <v>3</v>
      </c>
      <c r="J2704" t="s">
        <v>50</v>
      </c>
    </row>
    <row r="2705" spans="1:10" x14ac:dyDescent="0.25">
      <c r="A2705" t="s">
        <v>7355</v>
      </c>
      <c r="B2705">
        <f>298215.487190949*(1/100/100)</f>
        <v>29.821548719094899</v>
      </c>
      <c r="C2705">
        <v>23360</v>
      </c>
      <c r="D2705" t="s">
        <v>4298</v>
      </c>
      <c r="E2705">
        <v>31839</v>
      </c>
      <c r="F2705" t="s">
        <v>825</v>
      </c>
      <c r="G2705">
        <v>318</v>
      </c>
      <c r="H2705" t="s">
        <v>67</v>
      </c>
      <c r="I2705">
        <v>3</v>
      </c>
      <c r="J2705" t="s">
        <v>50</v>
      </c>
    </row>
    <row r="2706" spans="1:10" x14ac:dyDescent="0.25">
      <c r="A2706" t="s">
        <v>7355</v>
      </c>
      <c r="B2706">
        <f>88121.7074088416*(1/100/100)</f>
        <v>8.8121707408841594</v>
      </c>
      <c r="C2706">
        <v>23361</v>
      </c>
      <c r="D2706" t="s">
        <v>4299</v>
      </c>
      <c r="E2706">
        <v>31839</v>
      </c>
      <c r="F2706" t="s">
        <v>825</v>
      </c>
      <c r="G2706">
        <v>318</v>
      </c>
      <c r="H2706" t="s">
        <v>67</v>
      </c>
      <c r="I2706">
        <v>3</v>
      </c>
      <c r="J2706" t="s">
        <v>50</v>
      </c>
    </row>
    <row r="2707" spans="1:10" x14ac:dyDescent="0.25">
      <c r="A2707" t="s">
        <v>7355</v>
      </c>
      <c r="B2707">
        <f>279595.309088441*(1/100/100)</f>
        <v>27.959530908844105</v>
      </c>
      <c r="C2707">
        <v>23401</v>
      </c>
      <c r="D2707" t="s">
        <v>4866</v>
      </c>
      <c r="E2707">
        <v>32301</v>
      </c>
      <c r="F2707" t="s">
        <v>930</v>
      </c>
      <c r="G2707">
        <v>323</v>
      </c>
      <c r="H2707" t="s">
        <v>72</v>
      </c>
      <c r="I2707">
        <v>3</v>
      </c>
      <c r="J2707" t="s">
        <v>50</v>
      </c>
    </row>
    <row r="2708" spans="1:10" x14ac:dyDescent="0.25">
      <c r="A2708" t="s">
        <v>7355</v>
      </c>
      <c r="B2708">
        <f>118926.84965895*(1/100/100)</f>
        <v>11.892684965895</v>
      </c>
      <c r="C2708">
        <v>23402</v>
      </c>
      <c r="D2708" t="s">
        <v>4867</v>
      </c>
      <c r="E2708">
        <v>32301</v>
      </c>
      <c r="F2708" t="s">
        <v>930</v>
      </c>
      <c r="G2708">
        <v>323</v>
      </c>
      <c r="H2708" t="s">
        <v>72</v>
      </c>
      <c r="I2708">
        <v>3</v>
      </c>
      <c r="J2708" t="s">
        <v>50</v>
      </c>
    </row>
    <row r="2709" spans="1:10" x14ac:dyDescent="0.25">
      <c r="A2709" t="s">
        <v>7355</v>
      </c>
      <c r="B2709">
        <f>27499.5908990211*(1/100/100)</f>
        <v>2.7499590899021102</v>
      </c>
      <c r="C2709">
        <v>23403</v>
      </c>
      <c r="D2709" t="s">
        <v>4871</v>
      </c>
      <c r="E2709">
        <v>32306</v>
      </c>
      <c r="F2709" t="s">
        <v>934</v>
      </c>
      <c r="G2709">
        <v>323</v>
      </c>
      <c r="H2709" t="s">
        <v>72</v>
      </c>
      <c r="I2709">
        <v>3</v>
      </c>
      <c r="J2709" t="s">
        <v>50</v>
      </c>
    </row>
    <row r="2710" spans="1:10" x14ac:dyDescent="0.25">
      <c r="A2710" t="s">
        <v>7355</v>
      </c>
      <c r="B2710">
        <f>80769.0034689852*(1/100/100)</f>
        <v>8.0769003468985208</v>
      </c>
      <c r="C2710">
        <v>23404</v>
      </c>
      <c r="D2710" t="s">
        <v>4883</v>
      </c>
      <c r="E2710">
        <v>32319</v>
      </c>
      <c r="F2710" t="s">
        <v>947</v>
      </c>
      <c r="G2710">
        <v>323</v>
      </c>
      <c r="H2710" t="s">
        <v>72</v>
      </c>
      <c r="I2710">
        <v>3</v>
      </c>
      <c r="J2710" t="s">
        <v>50</v>
      </c>
    </row>
    <row r="2711" spans="1:10" x14ac:dyDescent="0.25">
      <c r="A2711" t="s">
        <v>7355</v>
      </c>
      <c r="B2711">
        <f>195081.121114533*(1/100/100)</f>
        <v>19.5081121114533</v>
      </c>
      <c r="C2711">
        <v>23405</v>
      </c>
      <c r="D2711" t="s">
        <v>932</v>
      </c>
      <c r="E2711">
        <v>32304</v>
      </c>
      <c r="F2711" t="s">
        <v>932</v>
      </c>
      <c r="G2711">
        <v>323</v>
      </c>
      <c r="H2711" t="s">
        <v>72</v>
      </c>
      <c r="I2711">
        <v>3</v>
      </c>
      <c r="J2711" t="s">
        <v>50</v>
      </c>
    </row>
    <row r="2712" spans="1:10" x14ac:dyDescent="0.25">
      <c r="A2712" t="s">
        <v>7355</v>
      </c>
      <c r="B2712">
        <f>10296.8670710171*(1/100/100)</f>
        <v>1.0296867071017102</v>
      </c>
      <c r="C2712">
        <v>23406</v>
      </c>
      <c r="D2712" t="s">
        <v>4894</v>
      </c>
      <c r="E2712">
        <v>32336</v>
      </c>
      <c r="F2712" t="s">
        <v>962</v>
      </c>
      <c r="G2712">
        <v>323</v>
      </c>
      <c r="H2712" t="s">
        <v>72</v>
      </c>
      <c r="I2712">
        <v>3</v>
      </c>
      <c r="J2712" t="s">
        <v>50</v>
      </c>
    </row>
    <row r="2713" spans="1:10" x14ac:dyDescent="0.25">
      <c r="A2713" t="s">
        <v>7355</v>
      </c>
      <c r="B2713">
        <f>225807.719948656*(1/100/100)</f>
        <v>22.580771994865604</v>
      </c>
      <c r="C2713">
        <v>23407</v>
      </c>
      <c r="D2713" t="s">
        <v>934</v>
      </c>
      <c r="E2713">
        <v>32306</v>
      </c>
      <c r="F2713" t="s">
        <v>934</v>
      </c>
      <c r="G2713">
        <v>323</v>
      </c>
      <c r="H2713" t="s">
        <v>72</v>
      </c>
      <c r="I2713">
        <v>3</v>
      </c>
      <c r="J2713" t="s">
        <v>50</v>
      </c>
    </row>
    <row r="2714" spans="1:10" x14ac:dyDescent="0.25">
      <c r="A2714" t="s">
        <v>7355</v>
      </c>
      <c r="B2714">
        <f>311013.936034469*(1/100/100)</f>
        <v>31.101393603446901</v>
      </c>
      <c r="C2714">
        <v>23408</v>
      </c>
      <c r="D2714" t="s">
        <v>935</v>
      </c>
      <c r="E2714">
        <v>32307</v>
      </c>
      <c r="F2714" t="s">
        <v>935</v>
      </c>
      <c r="G2714">
        <v>323</v>
      </c>
      <c r="H2714" t="s">
        <v>72</v>
      </c>
      <c r="I2714">
        <v>3</v>
      </c>
      <c r="J2714" t="s">
        <v>50</v>
      </c>
    </row>
    <row r="2715" spans="1:10" x14ac:dyDescent="0.25">
      <c r="A2715" t="s">
        <v>7355</v>
      </c>
      <c r="B2715">
        <f>119430.236455797*(1/100/100)</f>
        <v>11.9430236455797</v>
      </c>
      <c r="C2715">
        <v>23409</v>
      </c>
      <c r="D2715" t="s">
        <v>4880</v>
      </c>
      <c r="E2715">
        <v>32316</v>
      </c>
      <c r="F2715" t="s">
        <v>944</v>
      </c>
      <c r="G2715">
        <v>323</v>
      </c>
      <c r="H2715" t="s">
        <v>72</v>
      </c>
      <c r="I2715">
        <v>3</v>
      </c>
      <c r="J2715" t="s">
        <v>50</v>
      </c>
    </row>
    <row r="2716" spans="1:10" x14ac:dyDescent="0.25">
      <c r="A2716" t="s">
        <v>7355</v>
      </c>
      <c r="B2716">
        <f>20263.9954197247*(1/100/100)</f>
        <v>2.0263995419724701</v>
      </c>
      <c r="C2716">
        <v>23410</v>
      </c>
      <c r="D2716" t="s">
        <v>782</v>
      </c>
      <c r="E2716">
        <v>32311</v>
      </c>
      <c r="F2716" t="s">
        <v>939</v>
      </c>
      <c r="G2716">
        <v>323</v>
      </c>
      <c r="H2716" t="s">
        <v>72</v>
      </c>
      <c r="I2716">
        <v>3</v>
      </c>
      <c r="J2716" t="s">
        <v>50</v>
      </c>
    </row>
    <row r="2717" spans="1:10" x14ac:dyDescent="0.25">
      <c r="A2717" t="s">
        <v>7355</v>
      </c>
      <c r="B2717">
        <f>78392.8558645741*(1/100/100)</f>
        <v>7.83928558645741</v>
      </c>
      <c r="C2717">
        <v>23411</v>
      </c>
      <c r="D2717" t="s">
        <v>4881</v>
      </c>
      <c r="E2717">
        <v>32316</v>
      </c>
      <c r="F2717" t="s">
        <v>944</v>
      </c>
      <c r="G2717">
        <v>323</v>
      </c>
      <c r="H2717" t="s">
        <v>72</v>
      </c>
      <c r="I2717">
        <v>3</v>
      </c>
      <c r="J2717" t="s">
        <v>50</v>
      </c>
    </row>
    <row r="2718" spans="1:10" x14ac:dyDescent="0.25">
      <c r="A2718" t="s">
        <v>7355</v>
      </c>
      <c r="B2718">
        <f>111563.521879647*(1/100/100)</f>
        <v>11.1563521879647</v>
      </c>
      <c r="C2718">
        <v>23412</v>
      </c>
      <c r="D2718" t="s">
        <v>2219</v>
      </c>
      <c r="E2718">
        <v>32304</v>
      </c>
      <c r="F2718" t="s">
        <v>932</v>
      </c>
      <c r="G2718">
        <v>323</v>
      </c>
      <c r="H2718" t="s">
        <v>72</v>
      </c>
      <c r="I2718">
        <v>3</v>
      </c>
      <c r="J2718" t="s">
        <v>50</v>
      </c>
    </row>
    <row r="2719" spans="1:10" x14ac:dyDescent="0.25">
      <c r="A2719" t="s">
        <v>7355</v>
      </c>
      <c r="B2719">
        <f>147621.155655034*(1/100/100)</f>
        <v>14.7621155655034</v>
      </c>
      <c r="C2719">
        <v>23413</v>
      </c>
      <c r="D2719" t="s">
        <v>938</v>
      </c>
      <c r="E2719">
        <v>32310</v>
      </c>
      <c r="F2719" t="s">
        <v>938</v>
      </c>
      <c r="G2719">
        <v>323</v>
      </c>
      <c r="H2719" t="s">
        <v>72</v>
      </c>
      <c r="I2719">
        <v>3</v>
      </c>
      <c r="J2719" t="s">
        <v>50</v>
      </c>
    </row>
    <row r="2720" spans="1:10" x14ac:dyDescent="0.25">
      <c r="A2720" t="s">
        <v>7355</v>
      </c>
      <c r="B2720">
        <f>38686.8286222683*(1/100/100)</f>
        <v>3.8686828622268306</v>
      </c>
      <c r="C2720">
        <v>23414</v>
      </c>
      <c r="D2720" t="s">
        <v>4885</v>
      </c>
      <c r="E2720">
        <v>32320</v>
      </c>
      <c r="F2720" t="s">
        <v>948</v>
      </c>
      <c r="G2720">
        <v>323</v>
      </c>
      <c r="H2720" t="s">
        <v>72</v>
      </c>
      <c r="I2720">
        <v>3</v>
      </c>
      <c r="J2720" t="s">
        <v>50</v>
      </c>
    </row>
    <row r="2721" spans="1:10" x14ac:dyDescent="0.25">
      <c r="A2721" t="s">
        <v>7355</v>
      </c>
      <c r="B2721">
        <f>294100.445700114*(1/100/100)</f>
        <v>29.410044570011401</v>
      </c>
      <c r="C2721">
        <v>23415</v>
      </c>
      <c r="D2721" t="s">
        <v>941</v>
      </c>
      <c r="E2721">
        <v>32313</v>
      </c>
      <c r="F2721" t="s">
        <v>941</v>
      </c>
      <c r="G2721">
        <v>323</v>
      </c>
      <c r="H2721" t="s">
        <v>72</v>
      </c>
      <c r="I2721">
        <v>3</v>
      </c>
      <c r="J2721" t="s">
        <v>50</v>
      </c>
    </row>
    <row r="2722" spans="1:10" x14ac:dyDescent="0.25">
      <c r="A2722" t="s">
        <v>7355</v>
      </c>
      <c r="B2722">
        <f>70133.7232710549*(1/100/100)</f>
        <v>7.0133723271054906</v>
      </c>
      <c r="C2722">
        <v>23416</v>
      </c>
      <c r="D2722" t="s">
        <v>4882</v>
      </c>
      <c r="E2722">
        <v>32316</v>
      </c>
      <c r="F2722" t="s">
        <v>944</v>
      </c>
      <c r="G2722">
        <v>323</v>
      </c>
      <c r="H2722" t="s">
        <v>72</v>
      </c>
      <c r="I2722">
        <v>3</v>
      </c>
      <c r="J2722" t="s">
        <v>50</v>
      </c>
    </row>
    <row r="2723" spans="1:10" x14ac:dyDescent="0.25">
      <c r="A2723" t="s">
        <v>7355</v>
      </c>
      <c r="B2723">
        <f>27613.6615903122*(1/100/100)</f>
        <v>2.76136615903122</v>
      </c>
      <c r="C2723">
        <v>23417</v>
      </c>
      <c r="D2723" t="s">
        <v>4892</v>
      </c>
      <c r="E2723">
        <v>32333</v>
      </c>
      <c r="F2723" t="s">
        <v>959</v>
      </c>
      <c r="G2723">
        <v>323</v>
      </c>
      <c r="H2723" t="s">
        <v>72</v>
      </c>
      <c r="I2723">
        <v>3</v>
      </c>
      <c r="J2723" t="s">
        <v>50</v>
      </c>
    </row>
    <row r="2724" spans="1:10" x14ac:dyDescent="0.25">
      <c r="A2724" t="s">
        <v>7355</v>
      </c>
      <c r="B2724">
        <f>91760.8341115052*(1/100/100)</f>
        <v>9.1760834111505201</v>
      </c>
      <c r="C2724">
        <v>23418</v>
      </c>
      <c r="D2724" t="s">
        <v>944</v>
      </c>
      <c r="E2724">
        <v>32316</v>
      </c>
      <c r="F2724" t="s">
        <v>944</v>
      </c>
      <c r="G2724">
        <v>323</v>
      </c>
      <c r="H2724" t="s">
        <v>72</v>
      </c>
      <c r="I2724">
        <v>3</v>
      </c>
      <c r="J2724" t="s">
        <v>50</v>
      </c>
    </row>
    <row r="2725" spans="1:10" x14ac:dyDescent="0.25">
      <c r="A2725" t="s">
        <v>7355</v>
      </c>
      <c r="B2725">
        <f>342861.237692836*(1/100/100)</f>
        <v>34.286123769283599</v>
      </c>
      <c r="C2725">
        <v>23419</v>
      </c>
      <c r="D2725" t="s">
        <v>946</v>
      </c>
      <c r="E2725">
        <v>32318</v>
      </c>
      <c r="F2725" t="s">
        <v>946</v>
      </c>
      <c r="G2725">
        <v>323</v>
      </c>
      <c r="H2725" t="s">
        <v>72</v>
      </c>
      <c r="I2725">
        <v>3</v>
      </c>
      <c r="J2725" t="s">
        <v>50</v>
      </c>
    </row>
    <row r="2726" spans="1:10" x14ac:dyDescent="0.25">
      <c r="A2726" t="s">
        <v>7355</v>
      </c>
      <c r="B2726">
        <f>4805.04768027271*(1/100/100)</f>
        <v>0.48050476802727099</v>
      </c>
      <c r="C2726">
        <v>23420</v>
      </c>
      <c r="D2726" t="s">
        <v>4523</v>
      </c>
      <c r="E2726">
        <v>32306</v>
      </c>
      <c r="F2726" t="s">
        <v>934</v>
      </c>
      <c r="G2726">
        <v>323</v>
      </c>
      <c r="H2726" t="s">
        <v>72</v>
      </c>
      <c r="I2726">
        <v>3</v>
      </c>
      <c r="J2726" t="s">
        <v>50</v>
      </c>
    </row>
    <row r="2727" spans="1:10" x14ac:dyDescent="0.25">
      <c r="A2727" t="s">
        <v>7355</v>
      </c>
      <c r="B2727">
        <f>85841.2015269963*(1/100/100)</f>
        <v>8.5841201526996311</v>
      </c>
      <c r="C2727">
        <v>23421</v>
      </c>
      <c r="D2727" t="s">
        <v>4874</v>
      </c>
      <c r="E2727">
        <v>32311</v>
      </c>
      <c r="F2727" t="s">
        <v>939</v>
      </c>
      <c r="G2727">
        <v>323</v>
      </c>
      <c r="H2727" t="s">
        <v>72</v>
      </c>
      <c r="I2727">
        <v>3</v>
      </c>
      <c r="J2727" t="s">
        <v>50</v>
      </c>
    </row>
    <row r="2728" spans="1:10" x14ac:dyDescent="0.25">
      <c r="A2728" t="s">
        <v>7355</v>
      </c>
      <c r="B2728">
        <f>191562.906914969*(1/100/100)</f>
        <v>19.156290691496903</v>
      </c>
      <c r="C2728">
        <v>23422</v>
      </c>
      <c r="D2728" t="s">
        <v>4886</v>
      </c>
      <c r="E2728">
        <v>32320</v>
      </c>
      <c r="F2728" t="s">
        <v>948</v>
      </c>
      <c r="G2728">
        <v>323</v>
      </c>
      <c r="H2728" t="s">
        <v>72</v>
      </c>
      <c r="I2728">
        <v>3</v>
      </c>
      <c r="J2728" t="s">
        <v>50</v>
      </c>
    </row>
    <row r="2729" spans="1:10" x14ac:dyDescent="0.25">
      <c r="A2729" t="s">
        <v>7355</v>
      </c>
      <c r="B2729">
        <f>68373.3621915691*(1/100/100)</f>
        <v>6.8373362191569109</v>
      </c>
      <c r="C2729">
        <v>23423</v>
      </c>
      <c r="D2729" t="s">
        <v>4895</v>
      </c>
      <c r="E2729">
        <v>32336</v>
      </c>
      <c r="F2729" t="s">
        <v>962</v>
      </c>
      <c r="G2729">
        <v>323</v>
      </c>
      <c r="H2729" t="s">
        <v>72</v>
      </c>
      <c r="I2729">
        <v>3</v>
      </c>
      <c r="J2729" t="s">
        <v>50</v>
      </c>
    </row>
    <row r="2730" spans="1:10" x14ac:dyDescent="0.25">
      <c r="A2730" t="s">
        <v>7355</v>
      </c>
      <c r="B2730">
        <f>13921.5863041998*(1/100/100)</f>
        <v>1.39215863041998</v>
      </c>
      <c r="C2730">
        <v>23425</v>
      </c>
      <c r="D2730" t="s">
        <v>4875</v>
      </c>
      <c r="E2730">
        <v>32311</v>
      </c>
      <c r="F2730" t="s">
        <v>939</v>
      </c>
      <c r="G2730">
        <v>323</v>
      </c>
      <c r="H2730" t="s">
        <v>72</v>
      </c>
      <c r="I2730">
        <v>3</v>
      </c>
      <c r="J2730" t="s">
        <v>50</v>
      </c>
    </row>
    <row r="2731" spans="1:10" x14ac:dyDescent="0.25">
      <c r="A2731" t="s">
        <v>7355</v>
      </c>
      <c r="B2731">
        <f>364898.721943852*(1/100/100)</f>
        <v>36.489872194385207</v>
      </c>
      <c r="C2731">
        <v>23426</v>
      </c>
      <c r="D2731" t="s">
        <v>4869</v>
      </c>
      <c r="E2731">
        <v>32305</v>
      </c>
      <c r="F2731" t="s">
        <v>933</v>
      </c>
      <c r="G2731">
        <v>323</v>
      </c>
      <c r="H2731" t="s">
        <v>72</v>
      </c>
      <c r="I2731">
        <v>3</v>
      </c>
      <c r="J2731" t="s">
        <v>50</v>
      </c>
    </row>
    <row r="2732" spans="1:10" x14ac:dyDescent="0.25">
      <c r="A2732" t="s">
        <v>7355</v>
      </c>
      <c r="B2732">
        <f>40930.0216817055*(1/100/100)</f>
        <v>4.0930021681705497</v>
      </c>
      <c r="C2732">
        <v>23427</v>
      </c>
      <c r="D2732" t="s">
        <v>4889</v>
      </c>
      <c r="E2732">
        <v>32332</v>
      </c>
      <c r="F2732" t="s">
        <v>958</v>
      </c>
      <c r="G2732">
        <v>323</v>
      </c>
      <c r="H2732" t="s">
        <v>72</v>
      </c>
      <c r="I2732">
        <v>3</v>
      </c>
      <c r="J2732" t="s">
        <v>50</v>
      </c>
    </row>
    <row r="2733" spans="1:10" x14ac:dyDescent="0.25">
      <c r="A2733" t="s">
        <v>7355</v>
      </c>
      <c r="B2733">
        <f>29462.7356410109*(1/100/100)</f>
        <v>2.94627356410109</v>
      </c>
      <c r="C2733">
        <v>23428</v>
      </c>
      <c r="D2733" t="s">
        <v>4257</v>
      </c>
      <c r="E2733">
        <v>32316</v>
      </c>
      <c r="F2733" t="s">
        <v>944</v>
      </c>
      <c r="G2733">
        <v>323</v>
      </c>
      <c r="H2733" t="s">
        <v>72</v>
      </c>
      <c r="I2733">
        <v>3</v>
      </c>
      <c r="J2733" t="s">
        <v>50</v>
      </c>
    </row>
    <row r="2734" spans="1:10" x14ac:dyDescent="0.25">
      <c r="A2734" t="s">
        <v>7355</v>
      </c>
      <c r="B2734">
        <f>184652.673516262*(1/100/100)</f>
        <v>18.465267351626203</v>
      </c>
      <c r="C2734">
        <v>23429</v>
      </c>
      <c r="D2734" t="s">
        <v>4884</v>
      </c>
      <c r="E2734">
        <v>32319</v>
      </c>
      <c r="F2734" t="s">
        <v>947</v>
      </c>
      <c r="G2734">
        <v>323</v>
      </c>
      <c r="H2734" t="s">
        <v>72</v>
      </c>
      <c r="I2734">
        <v>3</v>
      </c>
      <c r="J2734" t="s">
        <v>50</v>
      </c>
    </row>
    <row r="2735" spans="1:10" x14ac:dyDescent="0.25">
      <c r="A2735" t="s">
        <v>7355</v>
      </c>
      <c r="B2735">
        <f>218182.255344249*(1/100/100)</f>
        <v>21.818225534424901</v>
      </c>
      <c r="C2735">
        <v>23430</v>
      </c>
      <c r="D2735" t="s">
        <v>2663</v>
      </c>
      <c r="E2735">
        <v>32325</v>
      </c>
      <c r="F2735" t="s">
        <v>953</v>
      </c>
      <c r="G2735">
        <v>323</v>
      </c>
      <c r="H2735" t="s">
        <v>72</v>
      </c>
      <c r="I2735">
        <v>3</v>
      </c>
      <c r="J2735" t="s">
        <v>50</v>
      </c>
    </row>
    <row r="2736" spans="1:10" x14ac:dyDescent="0.25">
      <c r="A2736" t="s">
        <v>7355</v>
      </c>
      <c r="B2736">
        <f>17530.3710636654*(1/100/100)</f>
        <v>1.75303710636654</v>
      </c>
      <c r="C2736">
        <v>23431</v>
      </c>
      <c r="D2736" t="s">
        <v>4893</v>
      </c>
      <c r="E2736">
        <v>32333</v>
      </c>
      <c r="F2736" t="s">
        <v>959</v>
      </c>
      <c r="G2736">
        <v>323</v>
      </c>
      <c r="H2736" t="s">
        <v>72</v>
      </c>
      <c r="I2736">
        <v>3</v>
      </c>
      <c r="J2736" t="s">
        <v>50</v>
      </c>
    </row>
    <row r="2737" spans="1:10" x14ac:dyDescent="0.25">
      <c r="A2737" t="s">
        <v>7355</v>
      </c>
      <c r="B2737">
        <f>147307.822745109*(1/100/100)</f>
        <v>14.730782274510901</v>
      </c>
      <c r="C2737">
        <v>23432</v>
      </c>
      <c r="D2737" t="s">
        <v>954</v>
      </c>
      <c r="E2737">
        <v>32326</v>
      </c>
      <c r="F2737" t="s">
        <v>954</v>
      </c>
      <c r="G2737">
        <v>323</v>
      </c>
      <c r="H2737" t="s">
        <v>72</v>
      </c>
      <c r="I2737">
        <v>3</v>
      </c>
      <c r="J2737" t="s">
        <v>50</v>
      </c>
    </row>
    <row r="2738" spans="1:10" x14ac:dyDescent="0.25">
      <c r="A2738" t="s">
        <v>7355</v>
      </c>
      <c r="B2738">
        <f>517626.239245102*(1/100/100)</f>
        <v>51.762623924510201</v>
      </c>
      <c r="C2738">
        <v>23433</v>
      </c>
      <c r="D2738" t="s">
        <v>955</v>
      </c>
      <c r="E2738">
        <v>32327</v>
      </c>
      <c r="F2738" t="s">
        <v>955</v>
      </c>
      <c r="G2738">
        <v>323</v>
      </c>
      <c r="H2738" t="s">
        <v>72</v>
      </c>
      <c r="I2738">
        <v>3</v>
      </c>
      <c r="J2738" t="s">
        <v>50</v>
      </c>
    </row>
    <row r="2739" spans="1:10" x14ac:dyDescent="0.25">
      <c r="A2739" t="s">
        <v>7355</v>
      </c>
      <c r="B2739">
        <f>179611.784712847*(1/100/100)</f>
        <v>17.9611784712847</v>
      </c>
      <c r="C2739">
        <v>23434</v>
      </c>
      <c r="D2739" t="s">
        <v>4897</v>
      </c>
      <c r="E2739">
        <v>32337</v>
      </c>
      <c r="F2739" t="s">
        <v>963</v>
      </c>
      <c r="G2739">
        <v>323</v>
      </c>
      <c r="H2739" t="s">
        <v>72</v>
      </c>
      <c r="I2739">
        <v>3</v>
      </c>
      <c r="J2739" t="s">
        <v>50</v>
      </c>
    </row>
    <row r="2740" spans="1:10" x14ac:dyDescent="0.25">
      <c r="A2740" t="s">
        <v>7355</v>
      </c>
      <c r="B2740">
        <f>74277.0011884788*(1/100/100)</f>
        <v>7.4277001188478797</v>
      </c>
      <c r="C2740">
        <v>23435</v>
      </c>
      <c r="D2740" t="s">
        <v>4876</v>
      </c>
      <c r="E2740">
        <v>32311</v>
      </c>
      <c r="F2740" t="s">
        <v>939</v>
      </c>
      <c r="G2740">
        <v>323</v>
      </c>
      <c r="H2740" t="s">
        <v>72</v>
      </c>
      <c r="I2740">
        <v>3</v>
      </c>
      <c r="J2740" t="s">
        <v>50</v>
      </c>
    </row>
    <row r="2741" spans="1:10" x14ac:dyDescent="0.25">
      <c r="A2741" t="s">
        <v>7355</v>
      </c>
      <c r="B2741">
        <f>321755.731007587*(1/100/100)</f>
        <v>32.175573100758697</v>
      </c>
      <c r="C2741">
        <v>23436</v>
      </c>
      <c r="D2741" t="s">
        <v>956</v>
      </c>
      <c r="E2741">
        <v>32330</v>
      </c>
      <c r="F2741" t="s">
        <v>956</v>
      </c>
      <c r="G2741">
        <v>323</v>
      </c>
      <c r="H2741" t="s">
        <v>72</v>
      </c>
      <c r="I2741">
        <v>3</v>
      </c>
      <c r="J2741" t="s">
        <v>50</v>
      </c>
    </row>
    <row r="2742" spans="1:10" x14ac:dyDescent="0.25">
      <c r="A2742" t="s">
        <v>7355</v>
      </c>
      <c r="B2742">
        <f>57867.0106090612*(1/100/100)</f>
        <v>5.7867010609061209</v>
      </c>
      <c r="C2742">
        <v>23437</v>
      </c>
      <c r="D2742" t="s">
        <v>4870</v>
      </c>
      <c r="E2742">
        <v>32305</v>
      </c>
      <c r="F2742" t="s">
        <v>933</v>
      </c>
      <c r="G2742">
        <v>323</v>
      </c>
      <c r="H2742" t="s">
        <v>72</v>
      </c>
      <c r="I2742">
        <v>3</v>
      </c>
      <c r="J2742" t="s">
        <v>50</v>
      </c>
    </row>
    <row r="2743" spans="1:10" x14ac:dyDescent="0.25">
      <c r="A2743" t="s">
        <v>7355</v>
      </c>
      <c r="B2743">
        <f>77941.377987867*(1/100/100)</f>
        <v>7.7941377987867009</v>
      </c>
      <c r="C2743">
        <v>23438</v>
      </c>
      <c r="D2743" t="s">
        <v>959</v>
      </c>
      <c r="E2743">
        <v>32333</v>
      </c>
      <c r="F2743" t="s">
        <v>959</v>
      </c>
      <c r="G2743">
        <v>323</v>
      </c>
      <c r="H2743" t="s">
        <v>72</v>
      </c>
      <c r="I2743">
        <v>3</v>
      </c>
      <c r="J2743" t="s">
        <v>50</v>
      </c>
    </row>
    <row r="2744" spans="1:10" x14ac:dyDescent="0.25">
      <c r="A2744" t="s">
        <v>7355</v>
      </c>
      <c r="B2744">
        <f>223531.563032872*(1/100/100)</f>
        <v>22.353156303287204</v>
      </c>
      <c r="C2744">
        <v>23439</v>
      </c>
      <c r="D2744" t="s">
        <v>3102</v>
      </c>
      <c r="E2744">
        <v>32334</v>
      </c>
      <c r="F2744" t="s">
        <v>960</v>
      </c>
      <c r="G2744">
        <v>323</v>
      </c>
      <c r="H2744" t="s">
        <v>72</v>
      </c>
      <c r="I2744">
        <v>3</v>
      </c>
      <c r="J2744" t="s">
        <v>50</v>
      </c>
    </row>
    <row r="2745" spans="1:10" x14ac:dyDescent="0.25">
      <c r="A2745" t="s">
        <v>7355</v>
      </c>
      <c r="B2745">
        <f>125781.971014884*(1/100/100)</f>
        <v>12.578197101488399</v>
      </c>
      <c r="C2745">
        <v>23440</v>
      </c>
      <c r="D2745" t="s">
        <v>4896</v>
      </c>
      <c r="E2745">
        <v>32336</v>
      </c>
      <c r="F2745" t="s">
        <v>962</v>
      </c>
      <c r="G2745">
        <v>323</v>
      </c>
      <c r="H2745" t="s">
        <v>72</v>
      </c>
      <c r="I2745">
        <v>3</v>
      </c>
      <c r="J2745" t="s">
        <v>50</v>
      </c>
    </row>
    <row r="2746" spans="1:10" x14ac:dyDescent="0.25">
      <c r="A2746" t="s">
        <v>7355</v>
      </c>
      <c r="B2746">
        <f>295839.525743233*(1/100/100)</f>
        <v>29.583952574323298</v>
      </c>
      <c r="C2746">
        <v>23441</v>
      </c>
      <c r="D2746" t="s">
        <v>4349</v>
      </c>
      <c r="E2746">
        <v>32337</v>
      </c>
      <c r="F2746" t="s">
        <v>963</v>
      </c>
      <c r="G2746">
        <v>323</v>
      </c>
      <c r="H2746" t="s">
        <v>72</v>
      </c>
      <c r="I2746">
        <v>3</v>
      </c>
      <c r="J2746" t="s">
        <v>50</v>
      </c>
    </row>
    <row r="2747" spans="1:10" x14ac:dyDescent="0.25">
      <c r="A2747" t="s">
        <v>7355</v>
      </c>
      <c r="B2747">
        <f>210968.891441127*(1/100/100)</f>
        <v>21.096889144112701</v>
      </c>
      <c r="C2747">
        <v>23442</v>
      </c>
      <c r="D2747" t="s">
        <v>964</v>
      </c>
      <c r="E2747">
        <v>32338</v>
      </c>
      <c r="F2747" t="s">
        <v>964</v>
      </c>
      <c r="G2747">
        <v>323</v>
      </c>
      <c r="H2747" t="s">
        <v>72</v>
      </c>
      <c r="I2747">
        <v>3</v>
      </c>
      <c r="J2747" t="s">
        <v>50</v>
      </c>
    </row>
    <row r="2748" spans="1:10" x14ac:dyDescent="0.25">
      <c r="A2748" t="s">
        <v>7355</v>
      </c>
      <c r="B2748">
        <f>3192896.03612472*(1/100/100)</f>
        <v>319.28960361247198</v>
      </c>
      <c r="C2748">
        <v>23443</v>
      </c>
      <c r="D2748" t="s">
        <v>458</v>
      </c>
      <c r="E2748">
        <v>30401</v>
      </c>
      <c r="F2748" t="s">
        <v>458</v>
      </c>
      <c r="G2748">
        <v>304</v>
      </c>
      <c r="H2748" t="s">
        <v>53</v>
      </c>
      <c r="I2748">
        <v>3</v>
      </c>
      <c r="J2748" t="s">
        <v>50</v>
      </c>
    </row>
    <row r="2749" spans="1:10" x14ac:dyDescent="0.25">
      <c r="A2749" t="s">
        <v>7355</v>
      </c>
      <c r="B2749">
        <f>225989.038534125*(1/100/100)</f>
        <v>22.598903853412502</v>
      </c>
      <c r="C2749">
        <v>23444</v>
      </c>
      <c r="D2749" t="s">
        <v>961</v>
      </c>
      <c r="E2749">
        <v>32335</v>
      </c>
      <c r="F2749" t="s">
        <v>961</v>
      </c>
      <c r="G2749">
        <v>323</v>
      </c>
      <c r="H2749" t="s">
        <v>72</v>
      </c>
      <c r="I2749">
        <v>3</v>
      </c>
      <c r="J2749" t="s">
        <v>50</v>
      </c>
    </row>
    <row r="2750" spans="1:10" x14ac:dyDescent="0.25">
      <c r="A2750" t="s">
        <v>7355</v>
      </c>
      <c r="B2750">
        <f>22726.4080298535*(1/100/100)</f>
        <v>2.2726408029853502</v>
      </c>
      <c r="C2750">
        <v>23445</v>
      </c>
      <c r="D2750" t="s">
        <v>2278</v>
      </c>
      <c r="E2750">
        <v>32332</v>
      </c>
      <c r="F2750" t="s">
        <v>958</v>
      </c>
      <c r="G2750">
        <v>323</v>
      </c>
      <c r="H2750" t="s">
        <v>72</v>
      </c>
      <c r="I2750">
        <v>3</v>
      </c>
      <c r="J2750" t="s">
        <v>50</v>
      </c>
    </row>
    <row r="2751" spans="1:10" x14ac:dyDescent="0.25">
      <c r="A2751" t="s">
        <v>7355</v>
      </c>
      <c r="B2751">
        <f>20311.3814975768*(1/100/100)</f>
        <v>2.0311381497576799</v>
      </c>
      <c r="C2751">
        <v>23446</v>
      </c>
      <c r="D2751" t="s">
        <v>4887</v>
      </c>
      <c r="E2751">
        <v>32323</v>
      </c>
      <c r="F2751" t="s">
        <v>951</v>
      </c>
      <c r="G2751">
        <v>323</v>
      </c>
      <c r="H2751" t="s">
        <v>72</v>
      </c>
      <c r="I2751">
        <v>3</v>
      </c>
      <c r="J2751" t="s">
        <v>50</v>
      </c>
    </row>
    <row r="2752" spans="1:10" x14ac:dyDescent="0.25">
      <c r="A2752" t="s">
        <v>7355</v>
      </c>
      <c r="B2752">
        <f>181981.847955623*(1/100/100)</f>
        <v>18.198184795562302</v>
      </c>
      <c r="C2752">
        <v>23447</v>
      </c>
      <c r="D2752" t="s">
        <v>936</v>
      </c>
      <c r="E2752">
        <v>32308</v>
      </c>
      <c r="F2752" t="s">
        <v>936</v>
      </c>
      <c r="G2752">
        <v>323</v>
      </c>
      <c r="H2752" t="s">
        <v>72</v>
      </c>
      <c r="I2752">
        <v>3</v>
      </c>
      <c r="J2752" t="s">
        <v>50</v>
      </c>
    </row>
    <row r="2753" spans="1:10" x14ac:dyDescent="0.25">
      <c r="A2753" t="s">
        <v>7355</v>
      </c>
      <c r="B2753">
        <f>116691.240739664*(1/100/100)</f>
        <v>11.669124073966401</v>
      </c>
      <c r="C2753">
        <v>23448</v>
      </c>
      <c r="D2753" t="s">
        <v>949</v>
      </c>
      <c r="E2753">
        <v>32321</v>
      </c>
      <c r="F2753" t="s">
        <v>949</v>
      </c>
      <c r="G2753">
        <v>323</v>
      </c>
      <c r="H2753" t="s">
        <v>72</v>
      </c>
      <c r="I2753">
        <v>3</v>
      </c>
      <c r="J2753" t="s">
        <v>50</v>
      </c>
    </row>
    <row r="2754" spans="1:10" x14ac:dyDescent="0.25">
      <c r="A2754" t="s">
        <v>7355</v>
      </c>
      <c r="B2754">
        <f>64776.1654680645*(1/100/100)</f>
        <v>6.4776165468064502</v>
      </c>
      <c r="C2754">
        <v>23449</v>
      </c>
      <c r="D2754" t="s">
        <v>950</v>
      </c>
      <c r="E2754">
        <v>32322</v>
      </c>
      <c r="F2754" t="s">
        <v>950</v>
      </c>
      <c r="G2754">
        <v>323</v>
      </c>
      <c r="H2754" t="s">
        <v>72</v>
      </c>
      <c r="I2754">
        <v>3</v>
      </c>
      <c r="J2754" t="s">
        <v>50</v>
      </c>
    </row>
    <row r="2755" spans="1:10" x14ac:dyDescent="0.25">
      <c r="A2755" t="s">
        <v>7355</v>
      </c>
      <c r="B2755">
        <f>142499.709396991*(1/100/100)</f>
        <v>14.249970939699102</v>
      </c>
      <c r="C2755">
        <v>23450</v>
      </c>
      <c r="D2755" t="s">
        <v>4888</v>
      </c>
      <c r="E2755">
        <v>32331</v>
      </c>
      <c r="F2755" t="s">
        <v>957</v>
      </c>
      <c r="G2755">
        <v>323</v>
      </c>
      <c r="H2755" t="s">
        <v>72</v>
      </c>
      <c r="I2755">
        <v>3</v>
      </c>
      <c r="J2755" t="s">
        <v>50</v>
      </c>
    </row>
    <row r="2756" spans="1:10" x14ac:dyDescent="0.25">
      <c r="A2756" t="s">
        <v>7355</v>
      </c>
      <c r="B2756">
        <f>22650.7436398291*(1/100/100)</f>
        <v>2.2650743639829098</v>
      </c>
      <c r="C2756">
        <v>23451</v>
      </c>
      <c r="D2756" t="s">
        <v>4890</v>
      </c>
      <c r="E2756">
        <v>32332</v>
      </c>
      <c r="F2756" t="s">
        <v>958</v>
      </c>
      <c r="G2756">
        <v>323</v>
      </c>
      <c r="H2756" t="s">
        <v>72</v>
      </c>
      <c r="I2756">
        <v>3</v>
      </c>
      <c r="J2756" t="s">
        <v>50</v>
      </c>
    </row>
    <row r="2757" spans="1:10" x14ac:dyDescent="0.25">
      <c r="A2757" t="s">
        <v>7355</v>
      </c>
      <c r="B2757">
        <f>23860.4487669913*(1/100/100)</f>
        <v>2.3860448766991302</v>
      </c>
      <c r="C2757">
        <v>23452</v>
      </c>
      <c r="D2757" t="s">
        <v>4263</v>
      </c>
      <c r="E2757">
        <v>32332</v>
      </c>
      <c r="F2757" t="s">
        <v>958</v>
      </c>
      <c r="G2757">
        <v>323</v>
      </c>
      <c r="H2757" t="s">
        <v>72</v>
      </c>
      <c r="I2757">
        <v>3</v>
      </c>
      <c r="J2757" t="s">
        <v>50</v>
      </c>
    </row>
    <row r="2758" spans="1:10" x14ac:dyDescent="0.25">
      <c r="A2758" t="s">
        <v>7355</v>
      </c>
      <c r="B2758">
        <f>216346.069814176*(1/100/100)</f>
        <v>21.634606981417601</v>
      </c>
      <c r="C2758">
        <v>23453</v>
      </c>
      <c r="D2758" t="s">
        <v>951</v>
      </c>
      <c r="E2758">
        <v>32323</v>
      </c>
      <c r="F2758" t="s">
        <v>951</v>
      </c>
      <c r="G2758">
        <v>323</v>
      </c>
      <c r="H2758" t="s">
        <v>72</v>
      </c>
      <c r="I2758">
        <v>3</v>
      </c>
      <c r="J2758" t="s">
        <v>50</v>
      </c>
    </row>
    <row r="2759" spans="1:10" x14ac:dyDescent="0.25">
      <c r="A2759" t="s">
        <v>7355</v>
      </c>
      <c r="B2759">
        <f>95060.6112089963*(1/100/100)</f>
        <v>9.5060611208996306</v>
      </c>
      <c r="C2759">
        <v>23454</v>
      </c>
      <c r="D2759" t="s">
        <v>952</v>
      </c>
      <c r="E2759">
        <v>32324</v>
      </c>
      <c r="F2759" t="s">
        <v>952</v>
      </c>
      <c r="G2759">
        <v>323</v>
      </c>
      <c r="H2759" t="s">
        <v>72</v>
      </c>
      <c r="I2759">
        <v>3</v>
      </c>
      <c r="J2759" t="s">
        <v>50</v>
      </c>
    </row>
    <row r="2760" spans="1:10" x14ac:dyDescent="0.25">
      <c r="A2760" t="s">
        <v>7355</v>
      </c>
      <c r="B2760">
        <f>44473.2463293849*(1/100/100)</f>
        <v>4.4473246329384901</v>
      </c>
      <c r="C2760">
        <v>23455</v>
      </c>
      <c r="D2760" t="s">
        <v>957</v>
      </c>
      <c r="E2760">
        <v>32331</v>
      </c>
      <c r="F2760" t="s">
        <v>957</v>
      </c>
      <c r="G2760">
        <v>323</v>
      </c>
      <c r="H2760" t="s">
        <v>72</v>
      </c>
      <c r="I2760">
        <v>3</v>
      </c>
      <c r="J2760" t="s">
        <v>50</v>
      </c>
    </row>
    <row r="2761" spans="1:10" x14ac:dyDescent="0.25">
      <c r="A2761" t="s">
        <v>7355</v>
      </c>
      <c r="B2761">
        <f>38537.1253462375*(1/100/100)</f>
        <v>3.8537125346237504</v>
      </c>
      <c r="C2761">
        <v>23456</v>
      </c>
      <c r="D2761" t="s">
        <v>958</v>
      </c>
      <c r="E2761">
        <v>32332</v>
      </c>
      <c r="F2761" t="s">
        <v>958</v>
      </c>
      <c r="G2761">
        <v>323</v>
      </c>
      <c r="H2761" t="s">
        <v>72</v>
      </c>
      <c r="I2761">
        <v>3</v>
      </c>
      <c r="J2761" t="s">
        <v>50</v>
      </c>
    </row>
    <row r="2762" spans="1:10" x14ac:dyDescent="0.25">
      <c r="A2762" t="s">
        <v>7355</v>
      </c>
      <c r="B2762">
        <f>116384.313822393*(1/100/100)</f>
        <v>11.6384313822393</v>
      </c>
      <c r="C2762">
        <v>23457</v>
      </c>
      <c r="D2762" t="s">
        <v>4891</v>
      </c>
      <c r="E2762">
        <v>32332</v>
      </c>
      <c r="F2762" t="s">
        <v>958</v>
      </c>
      <c r="G2762">
        <v>323</v>
      </c>
      <c r="H2762" t="s">
        <v>72</v>
      </c>
      <c r="I2762">
        <v>3</v>
      </c>
      <c r="J2762" t="s">
        <v>50</v>
      </c>
    </row>
    <row r="2763" spans="1:10" x14ac:dyDescent="0.25">
      <c r="A2763" t="s">
        <v>7355</v>
      </c>
      <c r="B2763">
        <f>816.36269798115*(1/100/100)</f>
        <v>8.1636269798115002E-2</v>
      </c>
      <c r="C2763">
        <v>24001</v>
      </c>
      <c r="D2763" t="s">
        <v>4921</v>
      </c>
      <c r="E2763">
        <v>32505</v>
      </c>
      <c r="F2763" t="s">
        <v>969</v>
      </c>
      <c r="G2763">
        <v>325</v>
      </c>
      <c r="H2763" t="s">
        <v>73</v>
      </c>
      <c r="I2763">
        <v>3</v>
      </c>
      <c r="J2763" t="s">
        <v>50</v>
      </c>
    </row>
    <row r="2764" spans="1:10" x14ac:dyDescent="0.25">
      <c r="A2764" t="s">
        <v>7355</v>
      </c>
      <c r="B2764">
        <f>217786.828810568*(1/100/100)</f>
        <v>21.778682881056799</v>
      </c>
      <c r="C2764">
        <v>24002</v>
      </c>
      <c r="D2764" t="s">
        <v>965</v>
      </c>
      <c r="E2764">
        <v>32501</v>
      </c>
      <c r="F2764" t="s">
        <v>965</v>
      </c>
      <c r="G2764">
        <v>325</v>
      </c>
      <c r="H2764" t="s">
        <v>73</v>
      </c>
      <c r="I2764">
        <v>3</v>
      </c>
      <c r="J2764" t="s">
        <v>50</v>
      </c>
    </row>
    <row r="2765" spans="1:10" x14ac:dyDescent="0.25">
      <c r="A2765" t="s">
        <v>7355</v>
      </c>
      <c r="B2765">
        <f>22254.4093268462*(1/100/100)</f>
        <v>2.2254409326846201</v>
      </c>
      <c r="C2765">
        <v>24003</v>
      </c>
      <c r="D2765" t="s">
        <v>4922</v>
      </c>
      <c r="E2765">
        <v>32505</v>
      </c>
      <c r="F2765" t="s">
        <v>969</v>
      </c>
      <c r="G2765">
        <v>325</v>
      </c>
      <c r="H2765" t="s">
        <v>73</v>
      </c>
      <c r="I2765">
        <v>3</v>
      </c>
      <c r="J2765" t="s">
        <v>50</v>
      </c>
    </row>
    <row r="2766" spans="1:10" x14ac:dyDescent="0.25">
      <c r="A2766" t="s">
        <v>7355</v>
      </c>
      <c r="B2766">
        <f>50337.4558377295*(1/100/100)</f>
        <v>5.0337455837729506</v>
      </c>
      <c r="C2766">
        <v>24004</v>
      </c>
      <c r="D2766" t="s">
        <v>5025</v>
      </c>
      <c r="E2766">
        <v>32520</v>
      </c>
      <c r="F2766" t="s">
        <v>980</v>
      </c>
      <c r="G2766">
        <v>325</v>
      </c>
      <c r="H2766" t="s">
        <v>73</v>
      </c>
      <c r="I2766">
        <v>3</v>
      </c>
      <c r="J2766" t="s">
        <v>50</v>
      </c>
    </row>
    <row r="2767" spans="1:10" x14ac:dyDescent="0.25">
      <c r="A2767" t="s">
        <v>7355</v>
      </c>
      <c r="B2767">
        <f>36218.5357922509*(1/100/100)</f>
        <v>3.6218535792250899</v>
      </c>
      <c r="C2767">
        <v>24005</v>
      </c>
      <c r="D2767" t="s">
        <v>4898</v>
      </c>
      <c r="E2767">
        <v>32501</v>
      </c>
      <c r="F2767" t="s">
        <v>965</v>
      </c>
      <c r="G2767">
        <v>325</v>
      </c>
      <c r="H2767" t="s">
        <v>73</v>
      </c>
      <c r="I2767">
        <v>3</v>
      </c>
      <c r="J2767" t="s">
        <v>50</v>
      </c>
    </row>
    <row r="2768" spans="1:10" x14ac:dyDescent="0.25">
      <c r="A2768" t="s">
        <v>7355</v>
      </c>
      <c r="B2768">
        <f>41625.9512016654*(1/100/100)</f>
        <v>4.1625951201665403</v>
      </c>
      <c r="C2768">
        <v>24006</v>
      </c>
      <c r="D2768" t="s">
        <v>4923</v>
      </c>
      <c r="E2768">
        <v>32505</v>
      </c>
      <c r="F2768" t="s">
        <v>969</v>
      </c>
      <c r="G2768">
        <v>325</v>
      </c>
      <c r="H2768" t="s">
        <v>73</v>
      </c>
      <c r="I2768">
        <v>3</v>
      </c>
      <c r="J2768" t="s">
        <v>50</v>
      </c>
    </row>
    <row r="2769" spans="1:10" x14ac:dyDescent="0.25">
      <c r="A2769" t="s">
        <v>7355</v>
      </c>
      <c r="B2769">
        <f>140.248491678015*(1/100/100)</f>
        <v>1.4024849167801501E-2</v>
      </c>
      <c r="C2769">
        <v>24008</v>
      </c>
      <c r="D2769" t="s">
        <v>4899</v>
      </c>
      <c r="E2769">
        <v>32501</v>
      </c>
      <c r="F2769" t="s">
        <v>965</v>
      </c>
      <c r="G2769">
        <v>325</v>
      </c>
      <c r="H2769" t="s">
        <v>73</v>
      </c>
      <c r="I2769">
        <v>3</v>
      </c>
      <c r="J2769" t="s">
        <v>50</v>
      </c>
    </row>
    <row r="2770" spans="1:10" x14ac:dyDescent="0.25">
      <c r="A2770" t="s">
        <v>7355</v>
      </c>
      <c r="B2770">
        <f>2245.4602206525*(1/100/100)</f>
        <v>0.22454602206525001</v>
      </c>
      <c r="C2770">
        <v>24009</v>
      </c>
      <c r="D2770" t="s">
        <v>3732</v>
      </c>
      <c r="E2770">
        <v>32520</v>
      </c>
      <c r="F2770" t="s">
        <v>980</v>
      </c>
      <c r="G2770">
        <v>325</v>
      </c>
      <c r="H2770" t="s">
        <v>73</v>
      </c>
      <c r="I2770">
        <v>3</v>
      </c>
      <c r="J2770" t="s">
        <v>50</v>
      </c>
    </row>
    <row r="2771" spans="1:10" x14ac:dyDescent="0.25">
      <c r="A2771" t="s">
        <v>7355</v>
      </c>
      <c r="B2771">
        <f>554.439286268449*(1/100/100)</f>
        <v>5.5443928626844899E-2</v>
      </c>
      <c r="C2771">
        <v>24010</v>
      </c>
      <c r="D2771" t="s">
        <v>5026</v>
      </c>
      <c r="E2771">
        <v>32520</v>
      </c>
      <c r="F2771" t="s">
        <v>980</v>
      </c>
      <c r="G2771">
        <v>325</v>
      </c>
      <c r="H2771" t="s">
        <v>73</v>
      </c>
      <c r="I2771">
        <v>3</v>
      </c>
      <c r="J2771" t="s">
        <v>50</v>
      </c>
    </row>
    <row r="2772" spans="1:10" x14ac:dyDescent="0.25">
      <c r="A2772" t="s">
        <v>7355</v>
      </c>
      <c r="B2772">
        <f>84919.8044767861*(1/100/100)</f>
        <v>8.4919804476786105</v>
      </c>
      <c r="C2772">
        <v>24011</v>
      </c>
      <c r="D2772" t="s">
        <v>968</v>
      </c>
      <c r="E2772">
        <v>32504</v>
      </c>
      <c r="F2772" t="s">
        <v>968</v>
      </c>
      <c r="G2772">
        <v>325</v>
      </c>
      <c r="H2772" t="s">
        <v>73</v>
      </c>
      <c r="I2772">
        <v>3</v>
      </c>
      <c r="J2772" t="s">
        <v>50</v>
      </c>
    </row>
    <row r="2773" spans="1:10" x14ac:dyDescent="0.25">
      <c r="A2773" t="s">
        <v>7355</v>
      </c>
      <c r="B2773">
        <f>23825.6742891913*(1/100/100)</f>
        <v>2.3825674289191303</v>
      </c>
      <c r="C2773">
        <v>24012</v>
      </c>
      <c r="D2773" t="s">
        <v>4900</v>
      </c>
      <c r="E2773">
        <v>32501</v>
      </c>
      <c r="F2773" t="s">
        <v>965</v>
      </c>
      <c r="G2773">
        <v>325</v>
      </c>
      <c r="H2773" t="s">
        <v>73</v>
      </c>
      <c r="I2773">
        <v>3</v>
      </c>
      <c r="J2773" t="s">
        <v>50</v>
      </c>
    </row>
    <row r="2774" spans="1:10" x14ac:dyDescent="0.25">
      <c r="A2774" t="s">
        <v>7355</v>
      </c>
      <c r="B2774">
        <f>62.9670380008285*(1/100/100)</f>
        <v>6.2967038000828505E-3</v>
      </c>
      <c r="C2774">
        <v>24013</v>
      </c>
      <c r="D2774" t="s">
        <v>5027</v>
      </c>
      <c r="E2774">
        <v>32520</v>
      </c>
      <c r="F2774" t="s">
        <v>980</v>
      </c>
      <c r="G2774">
        <v>325</v>
      </c>
      <c r="H2774" t="s">
        <v>73</v>
      </c>
      <c r="I2774">
        <v>3</v>
      </c>
      <c r="J2774" t="s">
        <v>50</v>
      </c>
    </row>
    <row r="2775" spans="1:10" x14ac:dyDescent="0.25">
      <c r="A2775" t="s">
        <v>7355</v>
      </c>
      <c r="B2775">
        <f>223.975221595479*(1/100/100)</f>
        <v>2.2397522159547902E-2</v>
      </c>
      <c r="C2775">
        <v>24014</v>
      </c>
      <c r="D2775" t="s">
        <v>5028</v>
      </c>
      <c r="E2775">
        <v>32520</v>
      </c>
      <c r="F2775" t="s">
        <v>980</v>
      </c>
      <c r="G2775">
        <v>325</v>
      </c>
      <c r="H2775" t="s">
        <v>73</v>
      </c>
      <c r="I2775">
        <v>3</v>
      </c>
      <c r="J2775" t="s">
        <v>50</v>
      </c>
    </row>
    <row r="2776" spans="1:10" x14ac:dyDescent="0.25">
      <c r="A2776" t="s">
        <v>7355</v>
      </c>
      <c r="B2776">
        <f>24889.4503510941*(1/100/100)</f>
        <v>2.4889450351094102</v>
      </c>
      <c r="C2776">
        <v>24016</v>
      </c>
      <c r="D2776" t="s">
        <v>5029</v>
      </c>
      <c r="E2776">
        <v>32520</v>
      </c>
      <c r="F2776" t="s">
        <v>980</v>
      </c>
      <c r="G2776">
        <v>325</v>
      </c>
      <c r="H2776" t="s">
        <v>73</v>
      </c>
      <c r="I2776">
        <v>3</v>
      </c>
      <c r="J2776" t="s">
        <v>50</v>
      </c>
    </row>
    <row r="2777" spans="1:10" x14ac:dyDescent="0.25">
      <c r="A2777" t="s">
        <v>7355</v>
      </c>
      <c r="B2777">
        <f>27795.4471152395*(1/100/100)</f>
        <v>2.7795447115239504</v>
      </c>
      <c r="C2777">
        <v>24017</v>
      </c>
      <c r="D2777" t="s">
        <v>5066</v>
      </c>
      <c r="E2777">
        <v>32524</v>
      </c>
      <c r="F2777" t="s">
        <v>984</v>
      </c>
      <c r="G2777">
        <v>325</v>
      </c>
      <c r="H2777" t="s">
        <v>73</v>
      </c>
      <c r="I2777">
        <v>3</v>
      </c>
      <c r="J2777" t="s">
        <v>50</v>
      </c>
    </row>
    <row r="2778" spans="1:10" x14ac:dyDescent="0.25">
      <c r="A2778" t="s">
        <v>7355</v>
      </c>
      <c r="B2778">
        <f>31685.4275022525*(1/100/100)</f>
        <v>3.1685427502252503</v>
      </c>
      <c r="C2778">
        <v>24019</v>
      </c>
      <c r="D2778" t="s">
        <v>4915</v>
      </c>
      <c r="E2778">
        <v>32504</v>
      </c>
      <c r="F2778" t="s">
        <v>968</v>
      </c>
      <c r="G2778">
        <v>325</v>
      </c>
      <c r="H2778" t="s">
        <v>73</v>
      </c>
      <c r="I2778">
        <v>3</v>
      </c>
      <c r="J2778" t="s">
        <v>50</v>
      </c>
    </row>
    <row r="2779" spans="1:10" x14ac:dyDescent="0.25">
      <c r="A2779" t="s">
        <v>7355</v>
      </c>
      <c r="B2779">
        <f>122799.157885049*(1/100/100)</f>
        <v>12.279915788504901</v>
      </c>
      <c r="C2779">
        <v>24020</v>
      </c>
      <c r="D2779" t="s">
        <v>969</v>
      </c>
      <c r="E2779">
        <v>32505</v>
      </c>
      <c r="F2779" t="s">
        <v>969</v>
      </c>
      <c r="G2779">
        <v>325</v>
      </c>
      <c r="H2779" t="s">
        <v>73</v>
      </c>
      <c r="I2779">
        <v>3</v>
      </c>
      <c r="J2779" t="s">
        <v>50</v>
      </c>
    </row>
    <row r="2780" spans="1:10" x14ac:dyDescent="0.25">
      <c r="A2780" t="s">
        <v>7355</v>
      </c>
      <c r="B2780">
        <f>33727.7368148545*(1/100/100)</f>
        <v>3.3727736814854499</v>
      </c>
      <c r="C2780">
        <v>24021</v>
      </c>
      <c r="D2780" t="s">
        <v>5067</v>
      </c>
      <c r="E2780">
        <v>32524</v>
      </c>
      <c r="F2780" t="s">
        <v>984</v>
      </c>
      <c r="G2780">
        <v>325</v>
      </c>
      <c r="H2780" t="s">
        <v>73</v>
      </c>
      <c r="I2780">
        <v>3</v>
      </c>
      <c r="J2780" t="s">
        <v>50</v>
      </c>
    </row>
    <row r="2781" spans="1:10" x14ac:dyDescent="0.25">
      <c r="A2781" t="s">
        <v>7355</v>
      </c>
      <c r="B2781">
        <f>27232.5532424071*(1/100/100)</f>
        <v>2.7232553242407098</v>
      </c>
      <c r="C2781">
        <v>24022</v>
      </c>
      <c r="D2781" t="s">
        <v>4916</v>
      </c>
      <c r="E2781">
        <v>32504</v>
      </c>
      <c r="F2781" t="s">
        <v>968</v>
      </c>
      <c r="G2781">
        <v>325</v>
      </c>
      <c r="H2781" t="s">
        <v>73</v>
      </c>
      <c r="I2781">
        <v>3</v>
      </c>
      <c r="J2781" t="s">
        <v>50</v>
      </c>
    </row>
    <row r="2782" spans="1:10" x14ac:dyDescent="0.25">
      <c r="A2782" t="s">
        <v>7355</v>
      </c>
      <c r="B2782">
        <f>151.178039519236*(1/100/100)</f>
        <v>1.51178039519236E-2</v>
      </c>
      <c r="C2782">
        <v>24023</v>
      </c>
      <c r="D2782" t="s">
        <v>4901</v>
      </c>
      <c r="E2782">
        <v>32501</v>
      </c>
      <c r="F2782" t="s">
        <v>965</v>
      </c>
      <c r="G2782">
        <v>325</v>
      </c>
      <c r="H2782" t="s">
        <v>73</v>
      </c>
      <c r="I2782">
        <v>3</v>
      </c>
      <c r="J2782" t="s">
        <v>50</v>
      </c>
    </row>
    <row r="2783" spans="1:10" x14ac:dyDescent="0.25">
      <c r="A2783" t="s">
        <v>7355</v>
      </c>
      <c r="B2783">
        <f>44148.251141535*(1/100/100)</f>
        <v>4.4148251141535004</v>
      </c>
      <c r="C2783">
        <v>24024</v>
      </c>
      <c r="D2783" t="s">
        <v>5043</v>
      </c>
      <c r="E2783">
        <v>32524</v>
      </c>
      <c r="F2783" t="s">
        <v>984</v>
      </c>
      <c r="G2783">
        <v>325</v>
      </c>
      <c r="H2783" t="s">
        <v>73</v>
      </c>
      <c r="I2783">
        <v>3</v>
      </c>
      <c r="J2783" t="s">
        <v>50</v>
      </c>
    </row>
    <row r="2784" spans="1:10" x14ac:dyDescent="0.25">
      <c r="A2784" t="s">
        <v>7355</v>
      </c>
      <c r="B2784">
        <f>52595.1788415803*(1/100/100)</f>
        <v>5.2595178841580301</v>
      </c>
      <c r="C2784">
        <v>24025</v>
      </c>
      <c r="D2784" t="s">
        <v>4917</v>
      </c>
      <c r="E2784">
        <v>32504</v>
      </c>
      <c r="F2784" t="s">
        <v>968</v>
      </c>
      <c r="G2784">
        <v>325</v>
      </c>
      <c r="H2784" t="s">
        <v>73</v>
      </c>
      <c r="I2784">
        <v>3</v>
      </c>
      <c r="J2784" t="s">
        <v>50</v>
      </c>
    </row>
    <row r="2785" spans="1:10" x14ac:dyDescent="0.25">
      <c r="A2785" t="s">
        <v>7355</v>
      </c>
      <c r="B2785">
        <f>70.8821450728807*(1/100/100)</f>
        <v>7.0882145072880707E-3</v>
      </c>
      <c r="C2785">
        <v>24026</v>
      </c>
      <c r="D2785" t="s">
        <v>4832</v>
      </c>
      <c r="E2785">
        <v>32520</v>
      </c>
      <c r="F2785" t="s">
        <v>980</v>
      </c>
      <c r="G2785">
        <v>325</v>
      </c>
      <c r="H2785" t="s">
        <v>73</v>
      </c>
      <c r="I2785">
        <v>3</v>
      </c>
      <c r="J2785" t="s">
        <v>50</v>
      </c>
    </row>
    <row r="2786" spans="1:10" x14ac:dyDescent="0.25">
      <c r="A2786" t="s">
        <v>7355</v>
      </c>
      <c r="B2786">
        <f>7535.34516095223*(1/100/100)</f>
        <v>0.75353451609522304</v>
      </c>
      <c r="C2786">
        <v>24027</v>
      </c>
      <c r="D2786" t="s">
        <v>4578</v>
      </c>
      <c r="E2786">
        <v>32520</v>
      </c>
      <c r="F2786" t="s">
        <v>980</v>
      </c>
      <c r="G2786">
        <v>325</v>
      </c>
      <c r="H2786" t="s">
        <v>73</v>
      </c>
      <c r="I2786">
        <v>3</v>
      </c>
      <c r="J2786" t="s">
        <v>50</v>
      </c>
    </row>
    <row r="2787" spans="1:10" x14ac:dyDescent="0.25">
      <c r="A2787" t="s">
        <v>7355</v>
      </c>
      <c r="B2787">
        <f>31895.9981084062*(1/100/100)</f>
        <v>3.1895998108406198</v>
      </c>
      <c r="C2787">
        <v>24028</v>
      </c>
      <c r="D2787" t="s">
        <v>4924</v>
      </c>
      <c r="E2787">
        <v>32505</v>
      </c>
      <c r="F2787" t="s">
        <v>969</v>
      </c>
      <c r="G2787">
        <v>325</v>
      </c>
      <c r="H2787" t="s">
        <v>73</v>
      </c>
      <c r="I2787">
        <v>3</v>
      </c>
      <c r="J2787" t="s">
        <v>50</v>
      </c>
    </row>
    <row r="2788" spans="1:10" x14ac:dyDescent="0.25">
      <c r="A2788" t="s">
        <v>7355</v>
      </c>
      <c r="B2788">
        <f>9324.85781065601*(1/100/100)</f>
        <v>0.93248578106560109</v>
      </c>
      <c r="C2788">
        <v>24029</v>
      </c>
      <c r="D2788" t="s">
        <v>5030</v>
      </c>
      <c r="E2788">
        <v>32520</v>
      </c>
      <c r="F2788" t="s">
        <v>980</v>
      </c>
      <c r="G2788">
        <v>325</v>
      </c>
      <c r="H2788" t="s">
        <v>73</v>
      </c>
      <c r="I2788">
        <v>3</v>
      </c>
      <c r="J2788" t="s">
        <v>50</v>
      </c>
    </row>
    <row r="2789" spans="1:10" x14ac:dyDescent="0.25">
      <c r="A2789" t="s">
        <v>7355</v>
      </c>
      <c r="B2789">
        <f>60.6648754559212*(1/100/100)</f>
        <v>6.0664875455921198E-3</v>
      </c>
      <c r="C2789">
        <v>24032</v>
      </c>
      <c r="D2789" t="s">
        <v>4747</v>
      </c>
      <c r="E2789">
        <v>32520</v>
      </c>
      <c r="F2789" t="s">
        <v>980</v>
      </c>
      <c r="G2789">
        <v>325</v>
      </c>
      <c r="H2789" t="s">
        <v>73</v>
      </c>
      <c r="I2789">
        <v>3</v>
      </c>
      <c r="J2789" t="s">
        <v>50</v>
      </c>
    </row>
    <row r="2790" spans="1:10" x14ac:dyDescent="0.25">
      <c r="A2790" t="s">
        <v>7355</v>
      </c>
      <c r="B2790">
        <f>23698.804253852*(1/100/100)</f>
        <v>2.3698804253852002</v>
      </c>
      <c r="C2790">
        <v>24033</v>
      </c>
      <c r="D2790" t="s">
        <v>4918</v>
      </c>
      <c r="E2790">
        <v>32504</v>
      </c>
      <c r="F2790" t="s">
        <v>968</v>
      </c>
      <c r="G2790">
        <v>325</v>
      </c>
      <c r="H2790" t="s">
        <v>73</v>
      </c>
      <c r="I2790">
        <v>3</v>
      </c>
      <c r="J2790" t="s">
        <v>50</v>
      </c>
    </row>
    <row r="2791" spans="1:10" x14ac:dyDescent="0.25">
      <c r="A2791" t="s">
        <v>7355</v>
      </c>
      <c r="B2791">
        <f>9868.24331619338*(1/100/100)</f>
        <v>0.98682433161933814</v>
      </c>
      <c r="C2791">
        <v>24034</v>
      </c>
      <c r="D2791" t="s">
        <v>5031</v>
      </c>
      <c r="E2791">
        <v>32520</v>
      </c>
      <c r="F2791" t="s">
        <v>980</v>
      </c>
      <c r="G2791">
        <v>325</v>
      </c>
      <c r="H2791" t="s">
        <v>73</v>
      </c>
      <c r="I2791">
        <v>3</v>
      </c>
      <c r="J2791" t="s">
        <v>50</v>
      </c>
    </row>
    <row r="2792" spans="1:10" x14ac:dyDescent="0.25">
      <c r="A2792" t="s">
        <v>7355</v>
      </c>
      <c r="B2792">
        <f>16273.1624539614*(1/100/100)</f>
        <v>1.6273162453961401</v>
      </c>
      <c r="C2792">
        <v>24035</v>
      </c>
      <c r="D2792" t="s">
        <v>5032</v>
      </c>
      <c r="E2792">
        <v>32520</v>
      </c>
      <c r="F2792" t="s">
        <v>980</v>
      </c>
      <c r="G2792">
        <v>325</v>
      </c>
      <c r="H2792" t="s">
        <v>73</v>
      </c>
      <c r="I2792">
        <v>3</v>
      </c>
      <c r="J2792" t="s">
        <v>50</v>
      </c>
    </row>
    <row r="2793" spans="1:10" x14ac:dyDescent="0.25">
      <c r="A2793" t="s">
        <v>7355</v>
      </c>
      <c r="B2793">
        <f>14050.0341166721*(1/100/100)</f>
        <v>1.4050034116672099</v>
      </c>
      <c r="C2793">
        <v>24036</v>
      </c>
      <c r="D2793" t="s">
        <v>5068</v>
      </c>
      <c r="E2793">
        <v>32524</v>
      </c>
      <c r="F2793" t="s">
        <v>984</v>
      </c>
      <c r="G2793">
        <v>325</v>
      </c>
      <c r="H2793" t="s">
        <v>73</v>
      </c>
      <c r="I2793">
        <v>3</v>
      </c>
      <c r="J2793" t="s">
        <v>50</v>
      </c>
    </row>
    <row r="2794" spans="1:10" x14ac:dyDescent="0.25">
      <c r="A2794" t="s">
        <v>7355</v>
      </c>
      <c r="B2794">
        <f>257.737921285568*(1/100/100)</f>
        <v>2.5773792128556801E-2</v>
      </c>
      <c r="C2794">
        <v>24037</v>
      </c>
      <c r="D2794" t="s">
        <v>5033</v>
      </c>
      <c r="E2794">
        <v>32520</v>
      </c>
      <c r="F2794" t="s">
        <v>980</v>
      </c>
      <c r="G2794">
        <v>325</v>
      </c>
      <c r="H2794" t="s">
        <v>73</v>
      </c>
      <c r="I2794">
        <v>3</v>
      </c>
      <c r="J2794" t="s">
        <v>50</v>
      </c>
    </row>
    <row r="2795" spans="1:10" x14ac:dyDescent="0.25">
      <c r="A2795" t="s">
        <v>7355</v>
      </c>
      <c r="B2795">
        <f>59053.9479882347*(1/100/100)</f>
        <v>5.9053947988234707</v>
      </c>
      <c r="C2795">
        <v>24039</v>
      </c>
      <c r="D2795" t="s">
        <v>4925</v>
      </c>
      <c r="E2795">
        <v>32505</v>
      </c>
      <c r="F2795" t="s">
        <v>969</v>
      </c>
      <c r="G2795">
        <v>325</v>
      </c>
      <c r="H2795" t="s">
        <v>73</v>
      </c>
      <c r="I2795">
        <v>3</v>
      </c>
      <c r="J2795" t="s">
        <v>50</v>
      </c>
    </row>
    <row r="2796" spans="1:10" x14ac:dyDescent="0.25">
      <c r="A2796" t="s">
        <v>7355</v>
      </c>
      <c r="B2796">
        <f>423.471377386272*(1/100/100)</f>
        <v>4.2347137738627201E-2</v>
      </c>
      <c r="C2796">
        <v>24040</v>
      </c>
      <c r="D2796" t="s">
        <v>5034</v>
      </c>
      <c r="E2796">
        <v>32520</v>
      </c>
      <c r="F2796" t="s">
        <v>980</v>
      </c>
      <c r="G2796">
        <v>325</v>
      </c>
      <c r="H2796" t="s">
        <v>73</v>
      </c>
      <c r="I2796">
        <v>3</v>
      </c>
      <c r="J2796" t="s">
        <v>50</v>
      </c>
    </row>
    <row r="2797" spans="1:10" x14ac:dyDescent="0.25">
      <c r="A2797" t="s">
        <v>7355</v>
      </c>
      <c r="B2797">
        <f>11940.9896730417*(1/100/100)</f>
        <v>1.1940989673041702</v>
      </c>
      <c r="C2797">
        <v>24041</v>
      </c>
      <c r="D2797" t="s">
        <v>5069</v>
      </c>
      <c r="E2797">
        <v>32524</v>
      </c>
      <c r="F2797" t="s">
        <v>984</v>
      </c>
      <c r="G2797">
        <v>325</v>
      </c>
      <c r="H2797" t="s">
        <v>73</v>
      </c>
      <c r="I2797">
        <v>3</v>
      </c>
      <c r="J2797" t="s">
        <v>50</v>
      </c>
    </row>
    <row r="2798" spans="1:10" x14ac:dyDescent="0.25">
      <c r="A2798" t="s">
        <v>7355</v>
      </c>
      <c r="B2798">
        <f>58504.8480372977*(1/100/100)</f>
        <v>5.8504848037297705</v>
      </c>
      <c r="C2798">
        <v>24042</v>
      </c>
      <c r="D2798" t="s">
        <v>5035</v>
      </c>
      <c r="E2798">
        <v>32520</v>
      </c>
      <c r="F2798" t="s">
        <v>980</v>
      </c>
      <c r="G2798">
        <v>325</v>
      </c>
      <c r="H2798" t="s">
        <v>73</v>
      </c>
      <c r="I2798">
        <v>3</v>
      </c>
      <c r="J2798" t="s">
        <v>50</v>
      </c>
    </row>
    <row r="2799" spans="1:10" x14ac:dyDescent="0.25">
      <c r="A2799" t="s">
        <v>7355</v>
      </c>
      <c r="B2799">
        <f>158.304697898089*(1/100/100)</f>
        <v>1.5830469789808899E-2</v>
      </c>
      <c r="C2799">
        <v>24043</v>
      </c>
      <c r="D2799" t="s">
        <v>5036</v>
      </c>
      <c r="E2799">
        <v>32520</v>
      </c>
      <c r="F2799" t="s">
        <v>980</v>
      </c>
      <c r="G2799">
        <v>325</v>
      </c>
      <c r="H2799" t="s">
        <v>73</v>
      </c>
      <c r="I2799">
        <v>3</v>
      </c>
      <c r="J2799" t="s">
        <v>50</v>
      </c>
    </row>
    <row r="2800" spans="1:10" x14ac:dyDescent="0.25">
      <c r="A2800" t="s">
        <v>7355</v>
      </c>
      <c r="B2800">
        <f>12785.6566965179*(1/100/100)</f>
        <v>1.2785656696517902</v>
      </c>
      <c r="C2800">
        <v>24044</v>
      </c>
      <c r="D2800" t="s">
        <v>3298</v>
      </c>
      <c r="E2800">
        <v>32520</v>
      </c>
      <c r="F2800" t="s">
        <v>980</v>
      </c>
      <c r="G2800">
        <v>325</v>
      </c>
      <c r="H2800" t="s">
        <v>73</v>
      </c>
      <c r="I2800">
        <v>3</v>
      </c>
      <c r="J2800" t="s">
        <v>50</v>
      </c>
    </row>
    <row r="2801" spans="1:10" x14ac:dyDescent="0.25">
      <c r="A2801" t="s">
        <v>7355</v>
      </c>
      <c r="B2801">
        <f>17251.521394412*(1/100/100)</f>
        <v>1.7251521394412002</v>
      </c>
      <c r="C2801">
        <v>24045</v>
      </c>
      <c r="D2801" t="s">
        <v>704</v>
      </c>
      <c r="E2801">
        <v>32520</v>
      </c>
      <c r="F2801" t="s">
        <v>980</v>
      </c>
      <c r="G2801">
        <v>325</v>
      </c>
      <c r="H2801" t="s">
        <v>73</v>
      </c>
      <c r="I2801">
        <v>3</v>
      </c>
      <c r="J2801" t="s">
        <v>50</v>
      </c>
    </row>
    <row r="2802" spans="1:10" x14ac:dyDescent="0.25">
      <c r="A2802" t="s">
        <v>7355</v>
      </c>
      <c r="B2802">
        <f>194.460412035864*(1/100/100)</f>
        <v>1.9446041203586402E-2</v>
      </c>
      <c r="C2802">
        <v>24046</v>
      </c>
      <c r="D2802" t="s">
        <v>4903</v>
      </c>
      <c r="E2802">
        <v>32501</v>
      </c>
      <c r="F2802" t="s">
        <v>965</v>
      </c>
      <c r="G2802">
        <v>325</v>
      </c>
      <c r="H2802" t="s">
        <v>73</v>
      </c>
      <c r="I2802">
        <v>3</v>
      </c>
      <c r="J2802" t="s">
        <v>50</v>
      </c>
    </row>
    <row r="2803" spans="1:10" x14ac:dyDescent="0.25">
      <c r="A2803" t="s">
        <v>7355</v>
      </c>
      <c r="B2803">
        <f>4630.21822396747*(1/100/100)</f>
        <v>0.46302182239674705</v>
      </c>
      <c r="C2803">
        <v>24047</v>
      </c>
      <c r="D2803" t="s">
        <v>5037</v>
      </c>
      <c r="E2803">
        <v>32520</v>
      </c>
      <c r="F2803" t="s">
        <v>980</v>
      </c>
      <c r="G2803">
        <v>325</v>
      </c>
      <c r="H2803" t="s">
        <v>73</v>
      </c>
      <c r="I2803">
        <v>3</v>
      </c>
      <c r="J2803" t="s">
        <v>50</v>
      </c>
    </row>
    <row r="2804" spans="1:10" x14ac:dyDescent="0.25">
      <c r="A2804" t="s">
        <v>7355</v>
      </c>
      <c r="B2804">
        <f>27441.8433459333*(1/100/100)</f>
        <v>2.7441843345933301</v>
      </c>
      <c r="C2804">
        <v>24048</v>
      </c>
      <c r="D2804" t="s">
        <v>4904</v>
      </c>
      <c r="E2804">
        <v>32501</v>
      </c>
      <c r="F2804" t="s">
        <v>965</v>
      </c>
      <c r="G2804">
        <v>325</v>
      </c>
      <c r="H2804" t="s">
        <v>73</v>
      </c>
      <c r="I2804">
        <v>3</v>
      </c>
      <c r="J2804" t="s">
        <v>50</v>
      </c>
    </row>
    <row r="2805" spans="1:10" x14ac:dyDescent="0.25">
      <c r="A2805" t="s">
        <v>7355</v>
      </c>
      <c r="B2805">
        <f>183.075024080459*(1/100/100)</f>
        <v>1.8307502408045902E-2</v>
      </c>
      <c r="C2805">
        <v>24049</v>
      </c>
      <c r="D2805" t="s">
        <v>4070</v>
      </c>
      <c r="E2805">
        <v>32520</v>
      </c>
      <c r="F2805" t="s">
        <v>980</v>
      </c>
      <c r="G2805">
        <v>325</v>
      </c>
      <c r="H2805" t="s">
        <v>73</v>
      </c>
      <c r="I2805">
        <v>3</v>
      </c>
      <c r="J2805" t="s">
        <v>50</v>
      </c>
    </row>
    <row r="2806" spans="1:10" x14ac:dyDescent="0.25">
      <c r="A2806" t="s">
        <v>7355</v>
      </c>
      <c r="B2806">
        <f>14254.9476244366*(1/100/100)</f>
        <v>1.42549476244366</v>
      </c>
      <c r="C2806">
        <v>24050</v>
      </c>
      <c r="D2806" t="s">
        <v>4919</v>
      </c>
      <c r="E2806">
        <v>32504</v>
      </c>
      <c r="F2806" t="s">
        <v>968</v>
      </c>
      <c r="G2806">
        <v>325</v>
      </c>
      <c r="H2806" t="s">
        <v>73</v>
      </c>
      <c r="I2806">
        <v>3</v>
      </c>
      <c r="J2806" t="s">
        <v>50</v>
      </c>
    </row>
    <row r="2807" spans="1:10" x14ac:dyDescent="0.25">
      <c r="A2807" t="s">
        <v>7355</v>
      </c>
      <c r="B2807">
        <f>38072.8824642901*(1/100/100)</f>
        <v>3.8072882464290103</v>
      </c>
      <c r="C2807">
        <v>24051</v>
      </c>
      <c r="D2807" t="s">
        <v>4926</v>
      </c>
      <c r="E2807">
        <v>32505</v>
      </c>
      <c r="F2807" t="s">
        <v>969</v>
      </c>
      <c r="G2807">
        <v>325</v>
      </c>
      <c r="H2807" t="s">
        <v>73</v>
      </c>
      <c r="I2807">
        <v>3</v>
      </c>
      <c r="J2807" t="s">
        <v>50</v>
      </c>
    </row>
    <row r="2808" spans="1:10" x14ac:dyDescent="0.25">
      <c r="A2808" t="s">
        <v>7355</v>
      </c>
      <c r="B2808">
        <f>20568.1657433651*(1/100/100)</f>
        <v>2.0568165743365103</v>
      </c>
      <c r="C2808">
        <v>24052</v>
      </c>
      <c r="D2808" t="s">
        <v>3310</v>
      </c>
      <c r="E2808">
        <v>32524</v>
      </c>
      <c r="F2808" t="s">
        <v>984</v>
      </c>
      <c r="G2808">
        <v>325</v>
      </c>
      <c r="H2808" t="s">
        <v>73</v>
      </c>
      <c r="I2808">
        <v>3</v>
      </c>
      <c r="J2808" t="s">
        <v>50</v>
      </c>
    </row>
    <row r="2809" spans="1:10" x14ac:dyDescent="0.25">
      <c r="A2809" t="s">
        <v>7355</v>
      </c>
      <c r="B2809">
        <f>16598.3213643247*(1/100/100)</f>
        <v>1.6598321364324702</v>
      </c>
      <c r="C2809">
        <v>24054</v>
      </c>
      <c r="D2809" t="s">
        <v>5006</v>
      </c>
      <c r="E2809">
        <v>32520</v>
      </c>
      <c r="F2809" t="s">
        <v>980</v>
      </c>
      <c r="G2809">
        <v>325</v>
      </c>
      <c r="H2809" t="s">
        <v>73</v>
      </c>
      <c r="I2809">
        <v>3</v>
      </c>
      <c r="J2809" t="s">
        <v>50</v>
      </c>
    </row>
    <row r="2810" spans="1:10" x14ac:dyDescent="0.25">
      <c r="A2810" t="s">
        <v>7355</v>
      </c>
      <c r="B2810">
        <f>37368.5137730946*(1/100/100)</f>
        <v>3.7368513773094603</v>
      </c>
      <c r="C2810">
        <v>24055</v>
      </c>
      <c r="D2810" t="s">
        <v>3209</v>
      </c>
      <c r="E2810">
        <v>32505</v>
      </c>
      <c r="F2810" t="s">
        <v>969</v>
      </c>
      <c r="G2810">
        <v>325</v>
      </c>
      <c r="H2810" t="s">
        <v>73</v>
      </c>
      <c r="I2810">
        <v>3</v>
      </c>
      <c r="J2810" t="s">
        <v>50</v>
      </c>
    </row>
    <row r="2811" spans="1:10" x14ac:dyDescent="0.25">
      <c r="A2811" t="s">
        <v>7355</v>
      </c>
      <c r="B2811">
        <f>91399.7893059788*(1/100/100)</f>
        <v>9.1399789305978807</v>
      </c>
      <c r="C2811">
        <v>24056</v>
      </c>
      <c r="D2811" t="s">
        <v>984</v>
      </c>
      <c r="E2811">
        <v>32524</v>
      </c>
      <c r="F2811" t="s">
        <v>984</v>
      </c>
      <c r="G2811">
        <v>325</v>
      </c>
      <c r="H2811" t="s">
        <v>73</v>
      </c>
      <c r="I2811">
        <v>3</v>
      </c>
      <c r="J2811" t="s">
        <v>50</v>
      </c>
    </row>
    <row r="2812" spans="1:10" x14ac:dyDescent="0.25">
      <c r="A2812" t="s">
        <v>7355</v>
      </c>
      <c r="B2812">
        <f>32.2348544934385*(1/100/100)</f>
        <v>3.2234854493438498E-3</v>
      </c>
      <c r="C2812">
        <v>24058</v>
      </c>
      <c r="D2812" t="s">
        <v>5038</v>
      </c>
      <c r="E2812">
        <v>32520</v>
      </c>
      <c r="F2812" t="s">
        <v>980</v>
      </c>
      <c r="G2812">
        <v>325</v>
      </c>
      <c r="H2812" t="s">
        <v>73</v>
      </c>
      <c r="I2812">
        <v>3</v>
      </c>
      <c r="J2812" t="s">
        <v>50</v>
      </c>
    </row>
    <row r="2813" spans="1:10" x14ac:dyDescent="0.25">
      <c r="A2813" t="s">
        <v>7355</v>
      </c>
      <c r="B2813">
        <f>3950.23117700312*(1/100/100)</f>
        <v>0.39502311770031201</v>
      </c>
      <c r="C2813">
        <v>24059</v>
      </c>
      <c r="D2813" t="s">
        <v>2228</v>
      </c>
      <c r="E2813">
        <v>32501</v>
      </c>
      <c r="F2813" t="s">
        <v>965</v>
      </c>
      <c r="G2813">
        <v>325</v>
      </c>
      <c r="H2813" t="s">
        <v>73</v>
      </c>
      <c r="I2813">
        <v>3</v>
      </c>
      <c r="J2813" t="s">
        <v>50</v>
      </c>
    </row>
    <row r="2814" spans="1:10" x14ac:dyDescent="0.25">
      <c r="A2814" t="s">
        <v>7355</v>
      </c>
      <c r="B2814">
        <f>38920.1589835719*(1/100/100)</f>
        <v>3.8920158983571902</v>
      </c>
      <c r="C2814">
        <v>24060</v>
      </c>
      <c r="D2814" t="s">
        <v>5070</v>
      </c>
      <c r="E2814">
        <v>32524</v>
      </c>
      <c r="F2814" t="s">
        <v>984</v>
      </c>
      <c r="G2814">
        <v>325</v>
      </c>
      <c r="H2814" t="s">
        <v>73</v>
      </c>
      <c r="I2814">
        <v>3</v>
      </c>
      <c r="J2814" t="s">
        <v>50</v>
      </c>
    </row>
    <row r="2815" spans="1:10" x14ac:dyDescent="0.25">
      <c r="A2815" t="s">
        <v>7355</v>
      </c>
      <c r="B2815">
        <f>41687.1907712524*(1/100/100)</f>
        <v>4.1687190771252398</v>
      </c>
      <c r="C2815">
        <v>24062</v>
      </c>
      <c r="D2815" t="s">
        <v>4905</v>
      </c>
      <c r="E2815">
        <v>32501</v>
      </c>
      <c r="F2815" t="s">
        <v>965</v>
      </c>
      <c r="G2815">
        <v>325</v>
      </c>
      <c r="H2815" t="s">
        <v>73</v>
      </c>
      <c r="I2815">
        <v>3</v>
      </c>
      <c r="J2815" t="s">
        <v>50</v>
      </c>
    </row>
    <row r="2816" spans="1:10" x14ac:dyDescent="0.25">
      <c r="A2816" t="s">
        <v>7355</v>
      </c>
      <c r="B2816">
        <f>145.695902672905*(1/100/100)</f>
        <v>1.4569590267290499E-2</v>
      </c>
      <c r="C2816">
        <v>24063</v>
      </c>
      <c r="D2816" t="s">
        <v>3276</v>
      </c>
      <c r="E2816">
        <v>32520</v>
      </c>
      <c r="F2816" t="s">
        <v>980</v>
      </c>
      <c r="G2816">
        <v>325</v>
      </c>
      <c r="H2816" t="s">
        <v>73</v>
      </c>
      <c r="I2816">
        <v>3</v>
      </c>
      <c r="J2816" t="s">
        <v>50</v>
      </c>
    </row>
    <row r="2817" spans="1:10" x14ac:dyDescent="0.25">
      <c r="A2817" t="s">
        <v>7355</v>
      </c>
      <c r="B2817">
        <f>3147.09545216567*(1/100/100)</f>
        <v>0.31470954521656702</v>
      </c>
      <c r="C2817">
        <v>24065</v>
      </c>
      <c r="D2817" t="s">
        <v>4757</v>
      </c>
      <c r="E2817">
        <v>32520</v>
      </c>
      <c r="F2817" t="s">
        <v>980</v>
      </c>
      <c r="G2817">
        <v>325</v>
      </c>
      <c r="H2817" t="s">
        <v>73</v>
      </c>
      <c r="I2817">
        <v>3</v>
      </c>
      <c r="J2817" t="s">
        <v>50</v>
      </c>
    </row>
    <row r="2818" spans="1:10" x14ac:dyDescent="0.25">
      <c r="A2818" t="s">
        <v>7355</v>
      </c>
      <c r="B2818">
        <f>18901.3510896733*(1/100/100)</f>
        <v>1.8901351089673299</v>
      </c>
      <c r="C2818">
        <v>24066</v>
      </c>
      <c r="D2818" t="s">
        <v>5039</v>
      </c>
      <c r="E2818">
        <v>32520</v>
      </c>
      <c r="F2818" t="s">
        <v>980</v>
      </c>
      <c r="G2818">
        <v>325</v>
      </c>
      <c r="H2818" t="s">
        <v>73</v>
      </c>
      <c r="I2818">
        <v>3</v>
      </c>
      <c r="J2818" t="s">
        <v>50</v>
      </c>
    </row>
    <row r="2819" spans="1:10" x14ac:dyDescent="0.25">
      <c r="A2819" t="s">
        <v>7355</v>
      </c>
      <c r="B2819">
        <f>42446.4387259458*(1/100/100)</f>
        <v>4.2446438725945805</v>
      </c>
      <c r="C2819">
        <v>24067</v>
      </c>
      <c r="D2819" t="s">
        <v>4927</v>
      </c>
      <c r="E2819">
        <v>32505</v>
      </c>
      <c r="F2819" t="s">
        <v>969</v>
      </c>
      <c r="G2819">
        <v>325</v>
      </c>
      <c r="H2819" t="s">
        <v>73</v>
      </c>
      <c r="I2819">
        <v>3</v>
      </c>
      <c r="J2819" t="s">
        <v>50</v>
      </c>
    </row>
    <row r="2820" spans="1:10" x14ac:dyDescent="0.25">
      <c r="A2820" t="s">
        <v>7355</v>
      </c>
      <c r="B2820">
        <f>9226.936330086*(1/100/100)</f>
        <v>0.92269363300860008</v>
      </c>
      <c r="C2820">
        <v>24068</v>
      </c>
      <c r="D2820" t="s">
        <v>5040</v>
      </c>
      <c r="E2820">
        <v>32520</v>
      </c>
      <c r="F2820" t="s">
        <v>980</v>
      </c>
      <c r="G2820">
        <v>325</v>
      </c>
      <c r="H2820" t="s">
        <v>73</v>
      </c>
      <c r="I2820">
        <v>3</v>
      </c>
      <c r="J2820" t="s">
        <v>50</v>
      </c>
    </row>
    <row r="2821" spans="1:10" x14ac:dyDescent="0.25">
      <c r="A2821" t="s">
        <v>7355</v>
      </c>
      <c r="B2821">
        <f>19706.2610958229*(1/100/100)</f>
        <v>1.9706261095822903</v>
      </c>
      <c r="C2821">
        <v>24069</v>
      </c>
      <c r="D2821" t="s">
        <v>4920</v>
      </c>
      <c r="E2821">
        <v>32504</v>
      </c>
      <c r="F2821" t="s">
        <v>968</v>
      </c>
      <c r="G2821">
        <v>325</v>
      </c>
      <c r="H2821" t="s">
        <v>73</v>
      </c>
      <c r="I2821">
        <v>3</v>
      </c>
      <c r="J2821" t="s">
        <v>50</v>
      </c>
    </row>
    <row r="2822" spans="1:10" x14ac:dyDescent="0.25">
      <c r="A2822" t="s">
        <v>7355</v>
      </c>
      <c r="B2822">
        <f>279.481990042993*(1/100/100)</f>
        <v>2.79481990042993E-2</v>
      </c>
      <c r="C2822">
        <v>24070</v>
      </c>
      <c r="D2822" t="s">
        <v>4906</v>
      </c>
      <c r="E2822">
        <v>32501</v>
      </c>
      <c r="F2822" t="s">
        <v>965</v>
      </c>
      <c r="G2822">
        <v>325</v>
      </c>
      <c r="H2822" t="s">
        <v>73</v>
      </c>
      <c r="I2822">
        <v>3</v>
      </c>
      <c r="J2822" t="s">
        <v>50</v>
      </c>
    </row>
    <row r="2823" spans="1:10" x14ac:dyDescent="0.25">
      <c r="A2823" t="s">
        <v>7355</v>
      </c>
      <c r="B2823">
        <f>21659.9661857879*(1/100/100)</f>
        <v>2.1659966185787902</v>
      </c>
      <c r="C2823">
        <v>24072</v>
      </c>
      <c r="D2823" t="s">
        <v>4907</v>
      </c>
      <c r="E2823">
        <v>32501</v>
      </c>
      <c r="F2823" t="s">
        <v>965</v>
      </c>
      <c r="G2823">
        <v>325</v>
      </c>
      <c r="H2823" t="s">
        <v>73</v>
      </c>
      <c r="I2823">
        <v>3</v>
      </c>
      <c r="J2823" t="s">
        <v>50</v>
      </c>
    </row>
    <row r="2824" spans="1:10" x14ac:dyDescent="0.25">
      <c r="A2824" t="s">
        <v>7355</v>
      </c>
      <c r="B2824">
        <f>9599.71653165306*(1/100/100)</f>
        <v>0.95997165316530608</v>
      </c>
      <c r="C2824">
        <v>24101</v>
      </c>
      <c r="D2824" t="s">
        <v>3700</v>
      </c>
      <c r="E2824">
        <v>32508</v>
      </c>
      <c r="F2824" t="s">
        <v>971</v>
      </c>
      <c r="G2824">
        <v>325</v>
      </c>
      <c r="H2824" t="s">
        <v>73</v>
      </c>
      <c r="I2824">
        <v>3</v>
      </c>
      <c r="J2824" t="s">
        <v>50</v>
      </c>
    </row>
    <row r="2825" spans="1:10" x14ac:dyDescent="0.25">
      <c r="A2825" t="s">
        <v>7355</v>
      </c>
      <c r="B2825">
        <f>8690.63425537685*(1/100/100)</f>
        <v>0.86906342553768501</v>
      </c>
      <c r="C2825">
        <v>24102</v>
      </c>
      <c r="D2825" t="s">
        <v>4931</v>
      </c>
      <c r="E2825">
        <v>32508</v>
      </c>
      <c r="F2825" t="s">
        <v>971</v>
      </c>
      <c r="G2825">
        <v>325</v>
      </c>
      <c r="H2825" t="s">
        <v>73</v>
      </c>
      <c r="I2825">
        <v>3</v>
      </c>
      <c r="J2825" t="s">
        <v>50</v>
      </c>
    </row>
    <row r="2826" spans="1:10" x14ac:dyDescent="0.25">
      <c r="A2826" t="s">
        <v>7355</v>
      </c>
      <c r="B2826">
        <f>55579.2248767847*(1/100/100)</f>
        <v>5.5579224876784696</v>
      </c>
      <c r="C2826">
        <v>24103</v>
      </c>
      <c r="D2826" t="s">
        <v>979</v>
      </c>
      <c r="E2826">
        <v>32519</v>
      </c>
      <c r="F2826" t="s">
        <v>979</v>
      </c>
      <c r="G2826">
        <v>325</v>
      </c>
      <c r="H2826" t="s">
        <v>73</v>
      </c>
      <c r="I2826">
        <v>3</v>
      </c>
      <c r="J2826" t="s">
        <v>50</v>
      </c>
    </row>
    <row r="2827" spans="1:10" x14ac:dyDescent="0.25">
      <c r="A2827" t="s">
        <v>7355</v>
      </c>
      <c r="B2827">
        <f>76421.3373101493*(1/100/100)</f>
        <v>7.6421337310149307</v>
      </c>
      <c r="C2827">
        <v>24104</v>
      </c>
      <c r="D2827" t="s">
        <v>966</v>
      </c>
      <c r="E2827">
        <v>32502</v>
      </c>
      <c r="F2827" t="s">
        <v>966</v>
      </c>
      <c r="G2827">
        <v>325</v>
      </c>
      <c r="H2827" t="s">
        <v>73</v>
      </c>
      <c r="I2827">
        <v>3</v>
      </c>
      <c r="J2827" t="s">
        <v>50</v>
      </c>
    </row>
    <row r="2828" spans="1:10" x14ac:dyDescent="0.25">
      <c r="A2828" t="s">
        <v>7355</v>
      </c>
      <c r="B2828">
        <f>5502.62648262178*(1/100/100)</f>
        <v>0.55026264826217808</v>
      </c>
      <c r="C2828">
        <v>24105</v>
      </c>
      <c r="D2828" t="s">
        <v>4932</v>
      </c>
      <c r="E2828">
        <v>32508</v>
      </c>
      <c r="F2828" t="s">
        <v>971</v>
      </c>
      <c r="G2828">
        <v>325</v>
      </c>
      <c r="H2828" t="s">
        <v>73</v>
      </c>
      <c r="I2828">
        <v>3</v>
      </c>
      <c r="J2828" t="s">
        <v>50</v>
      </c>
    </row>
    <row r="2829" spans="1:10" x14ac:dyDescent="0.25">
      <c r="A2829" t="s">
        <v>7355</v>
      </c>
      <c r="B2829">
        <f>21197.4695833317*(1/100/100)</f>
        <v>2.1197469583331698</v>
      </c>
      <c r="C2829">
        <v>24106</v>
      </c>
      <c r="D2829" t="s">
        <v>4933</v>
      </c>
      <c r="E2829">
        <v>32508</v>
      </c>
      <c r="F2829" t="s">
        <v>971</v>
      </c>
      <c r="G2829">
        <v>325</v>
      </c>
      <c r="H2829" t="s">
        <v>73</v>
      </c>
      <c r="I2829">
        <v>3</v>
      </c>
      <c r="J2829" t="s">
        <v>50</v>
      </c>
    </row>
    <row r="2830" spans="1:10" x14ac:dyDescent="0.25">
      <c r="A2830" t="s">
        <v>7355</v>
      </c>
      <c r="B2830">
        <f>24723.1196870419*(1/100/100)</f>
        <v>2.4723119687041901</v>
      </c>
      <c r="C2830">
        <v>24107</v>
      </c>
      <c r="D2830" t="s">
        <v>3666</v>
      </c>
      <c r="E2830">
        <v>32516</v>
      </c>
      <c r="F2830" t="s">
        <v>976</v>
      </c>
      <c r="G2830">
        <v>325</v>
      </c>
      <c r="H2830" t="s">
        <v>73</v>
      </c>
      <c r="I2830">
        <v>3</v>
      </c>
      <c r="J2830" t="s">
        <v>50</v>
      </c>
    </row>
    <row r="2831" spans="1:10" x14ac:dyDescent="0.25">
      <c r="A2831" t="s">
        <v>7355</v>
      </c>
      <c r="B2831">
        <f>23614.0361757128*(1/100/100)</f>
        <v>2.36140361757128</v>
      </c>
      <c r="C2831">
        <v>24108</v>
      </c>
      <c r="D2831" t="s">
        <v>4998</v>
      </c>
      <c r="E2831">
        <v>32516</v>
      </c>
      <c r="F2831" t="s">
        <v>976</v>
      </c>
      <c r="G2831">
        <v>325</v>
      </c>
      <c r="H2831" t="s">
        <v>73</v>
      </c>
      <c r="I2831">
        <v>3</v>
      </c>
      <c r="J2831" t="s">
        <v>50</v>
      </c>
    </row>
    <row r="2832" spans="1:10" x14ac:dyDescent="0.25">
      <c r="A2832" t="s">
        <v>7355</v>
      </c>
      <c r="B2832">
        <f>25640.1381973523*(1/100/100)</f>
        <v>2.56401381973523</v>
      </c>
      <c r="C2832">
        <v>24109</v>
      </c>
      <c r="D2832" t="s">
        <v>4026</v>
      </c>
      <c r="E2832">
        <v>32502</v>
      </c>
      <c r="F2832" t="s">
        <v>966</v>
      </c>
      <c r="G2832">
        <v>325</v>
      </c>
      <c r="H2832" t="s">
        <v>73</v>
      </c>
      <c r="I2832">
        <v>3</v>
      </c>
      <c r="J2832" t="s">
        <v>50</v>
      </c>
    </row>
    <row r="2833" spans="1:10" x14ac:dyDescent="0.25">
      <c r="A2833" t="s">
        <v>7355</v>
      </c>
      <c r="B2833">
        <f>18235.4322273484*(1/100/100)</f>
        <v>1.82354322273484</v>
      </c>
      <c r="C2833">
        <v>24110</v>
      </c>
      <c r="D2833" t="s">
        <v>916</v>
      </c>
      <c r="E2833">
        <v>32508</v>
      </c>
      <c r="F2833" t="s">
        <v>971</v>
      </c>
      <c r="G2833">
        <v>325</v>
      </c>
      <c r="H2833" t="s">
        <v>73</v>
      </c>
      <c r="I2833">
        <v>3</v>
      </c>
      <c r="J2833" t="s">
        <v>50</v>
      </c>
    </row>
    <row r="2834" spans="1:10" x14ac:dyDescent="0.25">
      <c r="A2834" t="s">
        <v>7355</v>
      </c>
      <c r="B2834">
        <f>16479.6178600279*(1/100/100)</f>
        <v>1.6479617860027902</v>
      </c>
      <c r="C2834">
        <v>24111</v>
      </c>
      <c r="D2834" t="s">
        <v>5020</v>
      </c>
      <c r="E2834">
        <v>32519</v>
      </c>
      <c r="F2834" t="s">
        <v>979</v>
      </c>
      <c r="G2834">
        <v>325</v>
      </c>
      <c r="H2834" t="s">
        <v>73</v>
      </c>
      <c r="I2834">
        <v>3</v>
      </c>
      <c r="J2834" t="s">
        <v>50</v>
      </c>
    </row>
    <row r="2835" spans="1:10" x14ac:dyDescent="0.25">
      <c r="A2835" t="s">
        <v>7355</v>
      </c>
      <c r="B2835">
        <f>7358.92599456352*(1/100/100)</f>
        <v>0.7358925994563521</v>
      </c>
      <c r="C2835">
        <v>24112</v>
      </c>
      <c r="D2835" t="s">
        <v>4934</v>
      </c>
      <c r="E2835">
        <v>32508</v>
      </c>
      <c r="F2835" t="s">
        <v>971</v>
      </c>
      <c r="G2835">
        <v>325</v>
      </c>
      <c r="H2835" t="s">
        <v>73</v>
      </c>
      <c r="I2835">
        <v>3</v>
      </c>
      <c r="J2835" t="s">
        <v>50</v>
      </c>
    </row>
    <row r="2836" spans="1:10" x14ac:dyDescent="0.25">
      <c r="A2836" t="s">
        <v>7355</v>
      </c>
      <c r="B2836">
        <f>5513.1308562162*(1/100/100)</f>
        <v>0.55131308562162007</v>
      </c>
      <c r="C2836">
        <v>24113</v>
      </c>
      <c r="D2836" t="s">
        <v>4935</v>
      </c>
      <c r="E2836">
        <v>32508</v>
      </c>
      <c r="F2836" t="s">
        <v>971</v>
      </c>
      <c r="G2836">
        <v>325</v>
      </c>
      <c r="H2836" t="s">
        <v>73</v>
      </c>
      <c r="I2836">
        <v>3</v>
      </c>
      <c r="J2836" t="s">
        <v>50</v>
      </c>
    </row>
    <row r="2837" spans="1:10" x14ac:dyDescent="0.25">
      <c r="A2837" t="s">
        <v>7355</v>
      </c>
      <c r="B2837">
        <f>13902.0924816444*(1/100/100)</f>
        <v>1.3902092481644401</v>
      </c>
      <c r="C2837">
        <v>24114</v>
      </c>
      <c r="D2837" t="s">
        <v>4908</v>
      </c>
      <c r="E2837">
        <v>32502</v>
      </c>
      <c r="F2837" t="s">
        <v>966</v>
      </c>
      <c r="G2837">
        <v>325</v>
      </c>
      <c r="H2837" t="s">
        <v>73</v>
      </c>
      <c r="I2837">
        <v>3</v>
      </c>
      <c r="J2837" t="s">
        <v>50</v>
      </c>
    </row>
    <row r="2838" spans="1:10" x14ac:dyDescent="0.25">
      <c r="A2838" t="s">
        <v>7355</v>
      </c>
      <c r="B2838">
        <f>21939.7193933228*(1/100/100)</f>
        <v>2.1939719393322803</v>
      </c>
      <c r="C2838">
        <v>24115</v>
      </c>
      <c r="D2838" t="s">
        <v>4936</v>
      </c>
      <c r="E2838">
        <v>32508</v>
      </c>
      <c r="F2838" t="s">
        <v>971</v>
      </c>
      <c r="G2838">
        <v>325</v>
      </c>
      <c r="H2838" t="s">
        <v>73</v>
      </c>
      <c r="I2838">
        <v>3</v>
      </c>
      <c r="J2838" t="s">
        <v>50</v>
      </c>
    </row>
    <row r="2839" spans="1:10" x14ac:dyDescent="0.25">
      <c r="A2839" t="s">
        <v>7355</v>
      </c>
      <c r="B2839">
        <f>17254.6619357539*(1/100/100)</f>
        <v>1.7254661935753899</v>
      </c>
      <c r="C2839">
        <v>24116</v>
      </c>
      <c r="D2839" t="s">
        <v>5021</v>
      </c>
      <c r="E2839">
        <v>32519</v>
      </c>
      <c r="F2839" t="s">
        <v>979</v>
      </c>
      <c r="G2839">
        <v>325</v>
      </c>
      <c r="H2839" t="s">
        <v>73</v>
      </c>
      <c r="I2839">
        <v>3</v>
      </c>
      <c r="J2839" t="s">
        <v>50</v>
      </c>
    </row>
    <row r="2840" spans="1:10" x14ac:dyDescent="0.25">
      <c r="A2840" t="s">
        <v>7355</v>
      </c>
      <c r="B2840">
        <f>7844.59980112266*(1/100/100)</f>
        <v>0.78445998011226603</v>
      </c>
      <c r="C2840">
        <v>24117</v>
      </c>
      <c r="D2840" t="s">
        <v>4999</v>
      </c>
      <c r="E2840">
        <v>32516</v>
      </c>
      <c r="F2840" t="s">
        <v>976</v>
      </c>
      <c r="G2840">
        <v>325</v>
      </c>
      <c r="H2840" t="s">
        <v>73</v>
      </c>
      <c r="I2840">
        <v>3</v>
      </c>
      <c r="J2840" t="s">
        <v>50</v>
      </c>
    </row>
    <row r="2841" spans="1:10" x14ac:dyDescent="0.25">
      <c r="A2841" t="s">
        <v>7355</v>
      </c>
      <c r="B2841">
        <f>16089.7449155178*(1/100/100)</f>
        <v>1.6089744915517801</v>
      </c>
      <c r="C2841">
        <v>24118</v>
      </c>
      <c r="D2841" t="s">
        <v>3452</v>
      </c>
      <c r="E2841">
        <v>32508</v>
      </c>
      <c r="F2841" t="s">
        <v>971</v>
      </c>
      <c r="G2841">
        <v>325</v>
      </c>
      <c r="H2841" t="s">
        <v>73</v>
      </c>
      <c r="I2841">
        <v>3</v>
      </c>
      <c r="J2841" t="s">
        <v>50</v>
      </c>
    </row>
    <row r="2842" spans="1:10" x14ac:dyDescent="0.25">
      <c r="A2842" t="s">
        <v>7355</v>
      </c>
      <c r="B2842">
        <f>21402.5719769573*(1/100/100)</f>
        <v>2.1402571976957301</v>
      </c>
      <c r="C2842">
        <v>24119</v>
      </c>
      <c r="D2842" t="s">
        <v>4937</v>
      </c>
      <c r="E2842">
        <v>32508</v>
      </c>
      <c r="F2842" t="s">
        <v>971</v>
      </c>
      <c r="G2842">
        <v>325</v>
      </c>
      <c r="H2842" t="s">
        <v>73</v>
      </c>
      <c r="I2842">
        <v>3</v>
      </c>
      <c r="J2842" t="s">
        <v>50</v>
      </c>
    </row>
    <row r="2843" spans="1:10" x14ac:dyDescent="0.25">
      <c r="A2843" t="s">
        <v>7355</v>
      </c>
      <c r="B2843">
        <f>1199.27253037416*(1/100/100)</f>
        <v>0.119927253037416</v>
      </c>
      <c r="C2843">
        <v>24120</v>
      </c>
      <c r="D2843" t="s">
        <v>5041</v>
      </c>
      <c r="E2843">
        <v>32521</v>
      </c>
      <c r="F2843" t="s">
        <v>981</v>
      </c>
      <c r="G2843">
        <v>325</v>
      </c>
      <c r="H2843" t="s">
        <v>73</v>
      </c>
      <c r="I2843">
        <v>3</v>
      </c>
      <c r="J2843" t="s">
        <v>50</v>
      </c>
    </row>
    <row r="2844" spans="1:10" x14ac:dyDescent="0.25">
      <c r="A2844" t="s">
        <v>7355</v>
      </c>
      <c r="B2844">
        <f>47190.2442882062*(1/100/100)</f>
        <v>4.7190244288206209</v>
      </c>
      <c r="C2844">
        <v>24121</v>
      </c>
      <c r="D2844" t="s">
        <v>3284</v>
      </c>
      <c r="E2844">
        <v>32508</v>
      </c>
      <c r="F2844" t="s">
        <v>971</v>
      </c>
      <c r="G2844">
        <v>325</v>
      </c>
      <c r="H2844" t="s">
        <v>73</v>
      </c>
      <c r="I2844">
        <v>3</v>
      </c>
      <c r="J2844" t="s">
        <v>50</v>
      </c>
    </row>
    <row r="2845" spans="1:10" x14ac:dyDescent="0.25">
      <c r="A2845" t="s">
        <v>7355</v>
      </c>
      <c r="B2845">
        <f>152162.002904781*(1/100/100)</f>
        <v>15.216200290478101</v>
      </c>
      <c r="C2845">
        <v>24122</v>
      </c>
      <c r="D2845" t="s">
        <v>4938</v>
      </c>
      <c r="E2845">
        <v>32508</v>
      </c>
      <c r="F2845" t="s">
        <v>971</v>
      </c>
      <c r="G2845">
        <v>325</v>
      </c>
      <c r="H2845" t="s">
        <v>73</v>
      </c>
      <c r="I2845">
        <v>3</v>
      </c>
      <c r="J2845" t="s">
        <v>50</v>
      </c>
    </row>
    <row r="2846" spans="1:10" x14ac:dyDescent="0.25">
      <c r="A2846" t="s">
        <v>7355</v>
      </c>
      <c r="B2846">
        <f>17013.4025168944*(1/100/100)</f>
        <v>1.70134025168944</v>
      </c>
      <c r="C2846">
        <v>24123</v>
      </c>
      <c r="D2846" t="s">
        <v>5042</v>
      </c>
      <c r="E2846">
        <v>32521</v>
      </c>
      <c r="F2846" t="s">
        <v>981</v>
      </c>
      <c r="G2846">
        <v>325</v>
      </c>
      <c r="H2846" t="s">
        <v>73</v>
      </c>
      <c r="I2846">
        <v>3</v>
      </c>
      <c r="J2846" t="s">
        <v>50</v>
      </c>
    </row>
    <row r="2847" spans="1:10" x14ac:dyDescent="0.25">
      <c r="A2847" t="s">
        <v>7355</v>
      </c>
      <c r="B2847">
        <f>22535.8727930256*(1/100/100)</f>
        <v>2.2535872793025602</v>
      </c>
      <c r="C2847">
        <v>24124</v>
      </c>
      <c r="D2847" t="s">
        <v>4939</v>
      </c>
      <c r="E2847">
        <v>32508</v>
      </c>
      <c r="F2847" t="s">
        <v>971</v>
      </c>
      <c r="G2847">
        <v>325</v>
      </c>
      <c r="H2847" t="s">
        <v>73</v>
      </c>
      <c r="I2847">
        <v>3</v>
      </c>
      <c r="J2847" t="s">
        <v>50</v>
      </c>
    </row>
    <row r="2848" spans="1:10" x14ac:dyDescent="0.25">
      <c r="A2848" t="s">
        <v>7355</v>
      </c>
      <c r="B2848">
        <f>25363.536408165*(1/100/100)</f>
        <v>2.5363536408165004</v>
      </c>
      <c r="C2848">
        <v>24125</v>
      </c>
      <c r="D2848" t="s">
        <v>5022</v>
      </c>
      <c r="E2848">
        <v>32519</v>
      </c>
      <c r="F2848" t="s">
        <v>979</v>
      </c>
      <c r="G2848">
        <v>325</v>
      </c>
      <c r="H2848" t="s">
        <v>73</v>
      </c>
      <c r="I2848">
        <v>3</v>
      </c>
      <c r="J2848" t="s">
        <v>50</v>
      </c>
    </row>
    <row r="2849" spans="1:10" x14ac:dyDescent="0.25">
      <c r="A2849" t="s">
        <v>7355</v>
      </c>
      <c r="B2849">
        <f>39653.874265023*(1/100/100)</f>
        <v>3.9653874265022999</v>
      </c>
      <c r="C2849">
        <v>24126</v>
      </c>
      <c r="D2849" t="s">
        <v>1042</v>
      </c>
      <c r="E2849">
        <v>32521</v>
      </c>
      <c r="F2849" t="s">
        <v>981</v>
      </c>
      <c r="G2849">
        <v>325</v>
      </c>
      <c r="H2849" t="s">
        <v>73</v>
      </c>
      <c r="I2849">
        <v>3</v>
      </c>
      <c r="J2849" t="s">
        <v>50</v>
      </c>
    </row>
    <row r="2850" spans="1:10" x14ac:dyDescent="0.25">
      <c r="A2850" t="s">
        <v>7355</v>
      </c>
      <c r="B2850">
        <f>13592.1045699154*(1/100/100)</f>
        <v>1.35921045699154</v>
      </c>
      <c r="C2850">
        <v>24127</v>
      </c>
      <c r="D2850" t="s">
        <v>4940</v>
      </c>
      <c r="E2850">
        <v>32508</v>
      </c>
      <c r="F2850" t="s">
        <v>971</v>
      </c>
      <c r="G2850">
        <v>325</v>
      </c>
      <c r="H2850" t="s">
        <v>73</v>
      </c>
      <c r="I2850">
        <v>3</v>
      </c>
      <c r="J2850" t="s">
        <v>50</v>
      </c>
    </row>
    <row r="2851" spans="1:10" x14ac:dyDescent="0.25">
      <c r="A2851" t="s">
        <v>7355</v>
      </c>
      <c r="B2851">
        <f>19128.3012220763*(1/100/100)</f>
        <v>1.9128301222076303</v>
      </c>
      <c r="C2851">
        <v>24128</v>
      </c>
      <c r="D2851" t="s">
        <v>4941</v>
      </c>
      <c r="E2851">
        <v>32508</v>
      </c>
      <c r="F2851" t="s">
        <v>971</v>
      </c>
      <c r="G2851">
        <v>325</v>
      </c>
      <c r="H2851" t="s">
        <v>73</v>
      </c>
      <c r="I2851">
        <v>3</v>
      </c>
      <c r="J2851" t="s">
        <v>50</v>
      </c>
    </row>
    <row r="2852" spans="1:10" x14ac:dyDescent="0.25">
      <c r="A2852" t="s">
        <v>7355</v>
      </c>
      <c r="B2852">
        <f>14499.801187971*(1/100/100)</f>
        <v>1.4499801187971</v>
      </c>
      <c r="C2852">
        <v>24129</v>
      </c>
      <c r="D2852" t="s">
        <v>3668</v>
      </c>
      <c r="E2852">
        <v>32502</v>
      </c>
      <c r="F2852" t="s">
        <v>966</v>
      </c>
      <c r="G2852">
        <v>325</v>
      </c>
      <c r="H2852" t="s">
        <v>73</v>
      </c>
      <c r="I2852">
        <v>3</v>
      </c>
      <c r="J2852" t="s">
        <v>50</v>
      </c>
    </row>
    <row r="2853" spans="1:10" x14ac:dyDescent="0.25">
      <c r="A2853" t="s">
        <v>7355</v>
      </c>
      <c r="B2853">
        <f>8972.86432200471*(1/100/100)</f>
        <v>0.89728643220047111</v>
      </c>
      <c r="C2853">
        <v>24130</v>
      </c>
      <c r="D2853" t="s">
        <v>4942</v>
      </c>
      <c r="E2853">
        <v>32508</v>
      </c>
      <c r="F2853" t="s">
        <v>971</v>
      </c>
      <c r="G2853">
        <v>325</v>
      </c>
      <c r="H2853" t="s">
        <v>73</v>
      </c>
      <c r="I2853">
        <v>3</v>
      </c>
      <c r="J2853" t="s">
        <v>50</v>
      </c>
    </row>
    <row r="2854" spans="1:10" x14ac:dyDescent="0.25">
      <c r="A2854" t="s">
        <v>7355</v>
      </c>
      <c r="B2854">
        <f>17547.0405089371*(1/100/100)</f>
        <v>1.7547040508937102</v>
      </c>
      <c r="C2854">
        <v>24131</v>
      </c>
      <c r="D2854" t="s">
        <v>5043</v>
      </c>
      <c r="E2854">
        <v>32521</v>
      </c>
      <c r="F2854" t="s">
        <v>981</v>
      </c>
      <c r="G2854">
        <v>325</v>
      </c>
      <c r="H2854" t="s">
        <v>73</v>
      </c>
      <c r="I2854">
        <v>3</v>
      </c>
      <c r="J2854" t="s">
        <v>50</v>
      </c>
    </row>
    <row r="2855" spans="1:10" x14ac:dyDescent="0.25">
      <c r="A2855" t="s">
        <v>7355</v>
      </c>
      <c r="B2855">
        <f>17434.6713746176*(1/100/100)</f>
        <v>1.7434671374617601</v>
      </c>
      <c r="C2855">
        <v>24132</v>
      </c>
      <c r="D2855" t="s">
        <v>4832</v>
      </c>
      <c r="E2855">
        <v>32508</v>
      </c>
      <c r="F2855" t="s">
        <v>971</v>
      </c>
      <c r="G2855">
        <v>325</v>
      </c>
      <c r="H2855" t="s">
        <v>73</v>
      </c>
      <c r="I2855">
        <v>3</v>
      </c>
      <c r="J2855" t="s">
        <v>50</v>
      </c>
    </row>
    <row r="2856" spans="1:10" x14ac:dyDescent="0.25">
      <c r="A2856" t="s">
        <v>7355</v>
      </c>
      <c r="B2856">
        <f>11557.7503412694*(1/100/100)</f>
        <v>1.1557750341269402</v>
      </c>
      <c r="C2856">
        <v>24133</v>
      </c>
      <c r="D2856" t="s">
        <v>4943</v>
      </c>
      <c r="E2856">
        <v>32508</v>
      </c>
      <c r="F2856" t="s">
        <v>971</v>
      </c>
      <c r="G2856">
        <v>325</v>
      </c>
      <c r="H2856" t="s">
        <v>73</v>
      </c>
      <c r="I2856">
        <v>3</v>
      </c>
      <c r="J2856" t="s">
        <v>50</v>
      </c>
    </row>
    <row r="2857" spans="1:10" x14ac:dyDescent="0.25">
      <c r="A2857" t="s">
        <v>7355</v>
      </c>
      <c r="B2857">
        <f>7150.12969459439*(1/100/100)</f>
        <v>0.71501296945943904</v>
      </c>
      <c r="C2857">
        <v>24134</v>
      </c>
      <c r="D2857" t="s">
        <v>4944</v>
      </c>
      <c r="E2857">
        <v>32508</v>
      </c>
      <c r="F2857" t="s">
        <v>971</v>
      </c>
      <c r="G2857">
        <v>325</v>
      </c>
      <c r="H2857" t="s">
        <v>73</v>
      </c>
      <c r="I2857">
        <v>3</v>
      </c>
      <c r="J2857" t="s">
        <v>50</v>
      </c>
    </row>
    <row r="2858" spans="1:10" x14ac:dyDescent="0.25">
      <c r="A2858" t="s">
        <v>7355</v>
      </c>
      <c r="B2858">
        <f>18887.8507965037*(1/100/100)</f>
        <v>1.88878507965037</v>
      </c>
      <c r="C2858">
        <v>24135</v>
      </c>
      <c r="D2858" t="s">
        <v>5000</v>
      </c>
      <c r="E2858">
        <v>32516</v>
      </c>
      <c r="F2858" t="s">
        <v>976</v>
      </c>
      <c r="G2858">
        <v>325</v>
      </c>
      <c r="H2858" t="s">
        <v>73</v>
      </c>
      <c r="I2858">
        <v>3</v>
      </c>
      <c r="J2858" t="s">
        <v>50</v>
      </c>
    </row>
    <row r="2859" spans="1:10" x14ac:dyDescent="0.25">
      <c r="A2859" t="s">
        <v>7355</v>
      </c>
      <c r="B2859">
        <f>17125.1546528469*(1/100/100)</f>
        <v>1.7125154652846901</v>
      </c>
      <c r="C2859">
        <v>24136</v>
      </c>
      <c r="D2859" t="s">
        <v>2784</v>
      </c>
      <c r="E2859">
        <v>32502</v>
      </c>
      <c r="F2859" t="s">
        <v>966</v>
      </c>
      <c r="G2859">
        <v>325</v>
      </c>
      <c r="H2859" t="s">
        <v>73</v>
      </c>
      <c r="I2859">
        <v>3</v>
      </c>
      <c r="J2859" t="s">
        <v>50</v>
      </c>
    </row>
    <row r="2860" spans="1:10" x14ac:dyDescent="0.25">
      <c r="A2860" t="s">
        <v>7355</v>
      </c>
      <c r="B2860">
        <f>14296.6881194885*(1/100/100)</f>
        <v>1.4296688119488501</v>
      </c>
      <c r="C2860">
        <v>24137</v>
      </c>
      <c r="D2860" t="s">
        <v>5001</v>
      </c>
      <c r="E2860">
        <v>32516</v>
      </c>
      <c r="F2860" t="s">
        <v>976</v>
      </c>
      <c r="G2860">
        <v>325</v>
      </c>
      <c r="H2860" t="s">
        <v>73</v>
      </c>
      <c r="I2860">
        <v>3</v>
      </c>
      <c r="J2860" t="s">
        <v>50</v>
      </c>
    </row>
    <row r="2861" spans="1:10" x14ac:dyDescent="0.25">
      <c r="A2861" t="s">
        <v>7355</v>
      </c>
      <c r="B2861">
        <f>13620.4444000976*(1/100/100)</f>
        <v>1.36204444000976</v>
      </c>
      <c r="C2861">
        <v>24138</v>
      </c>
      <c r="D2861" t="s">
        <v>4015</v>
      </c>
      <c r="E2861">
        <v>32516</v>
      </c>
      <c r="F2861" t="s">
        <v>976</v>
      </c>
      <c r="G2861">
        <v>325</v>
      </c>
      <c r="H2861" t="s">
        <v>73</v>
      </c>
      <c r="I2861">
        <v>3</v>
      </c>
      <c r="J2861" t="s">
        <v>50</v>
      </c>
    </row>
    <row r="2862" spans="1:10" x14ac:dyDescent="0.25">
      <c r="A2862" t="s">
        <v>7355</v>
      </c>
      <c r="B2862">
        <f>22823.3991594929*(1/100/100)</f>
        <v>2.2823399159492901</v>
      </c>
      <c r="C2862">
        <v>24139</v>
      </c>
      <c r="D2862" t="s">
        <v>345</v>
      </c>
      <c r="E2862">
        <v>32521</v>
      </c>
      <c r="F2862" t="s">
        <v>981</v>
      </c>
      <c r="G2862">
        <v>325</v>
      </c>
      <c r="H2862" t="s">
        <v>73</v>
      </c>
      <c r="I2862">
        <v>3</v>
      </c>
      <c r="J2862" t="s">
        <v>50</v>
      </c>
    </row>
    <row r="2863" spans="1:10" x14ac:dyDescent="0.25">
      <c r="A2863" t="s">
        <v>7355</v>
      </c>
      <c r="B2863">
        <f>10383.2618159551*(1/100/100)</f>
        <v>1.03832618159551</v>
      </c>
      <c r="C2863">
        <v>24140</v>
      </c>
      <c r="D2863" t="s">
        <v>4945</v>
      </c>
      <c r="E2863">
        <v>32508</v>
      </c>
      <c r="F2863" t="s">
        <v>971</v>
      </c>
      <c r="G2863">
        <v>325</v>
      </c>
      <c r="H2863" t="s">
        <v>73</v>
      </c>
      <c r="I2863">
        <v>3</v>
      </c>
      <c r="J2863" t="s">
        <v>50</v>
      </c>
    </row>
    <row r="2864" spans="1:10" x14ac:dyDescent="0.25">
      <c r="A2864" t="s">
        <v>7355</v>
      </c>
      <c r="B2864">
        <f>9593.45114236056*(1/100/100)</f>
        <v>0.95934511423605606</v>
      </c>
      <c r="C2864">
        <v>24141</v>
      </c>
      <c r="D2864" t="s">
        <v>4929</v>
      </c>
      <c r="E2864">
        <v>32521</v>
      </c>
      <c r="F2864" t="s">
        <v>981</v>
      </c>
      <c r="G2864">
        <v>325</v>
      </c>
      <c r="H2864" t="s">
        <v>73</v>
      </c>
      <c r="I2864">
        <v>3</v>
      </c>
      <c r="J2864" t="s">
        <v>50</v>
      </c>
    </row>
    <row r="2865" spans="1:10" x14ac:dyDescent="0.25">
      <c r="A2865" t="s">
        <v>7355</v>
      </c>
      <c r="B2865">
        <f>31342.8313210638*(1/100/100)</f>
        <v>3.1342831321063804</v>
      </c>
      <c r="C2865">
        <v>24142</v>
      </c>
      <c r="D2865" t="s">
        <v>5023</v>
      </c>
      <c r="E2865">
        <v>32519</v>
      </c>
      <c r="F2865" t="s">
        <v>979</v>
      </c>
      <c r="G2865">
        <v>325</v>
      </c>
      <c r="H2865" t="s">
        <v>73</v>
      </c>
      <c r="I2865">
        <v>3</v>
      </c>
      <c r="J2865" t="s">
        <v>50</v>
      </c>
    </row>
    <row r="2866" spans="1:10" x14ac:dyDescent="0.25">
      <c r="A2866" t="s">
        <v>7355</v>
      </c>
      <c r="B2866">
        <f>14999.5010775093*(1/100/100)</f>
        <v>1.4999501077509301</v>
      </c>
      <c r="C2866">
        <v>24143</v>
      </c>
      <c r="D2866" t="s">
        <v>3291</v>
      </c>
      <c r="E2866">
        <v>32516</v>
      </c>
      <c r="F2866" t="s">
        <v>976</v>
      </c>
      <c r="G2866">
        <v>325</v>
      </c>
      <c r="H2866" t="s">
        <v>73</v>
      </c>
      <c r="I2866">
        <v>3</v>
      </c>
      <c r="J2866" t="s">
        <v>50</v>
      </c>
    </row>
    <row r="2867" spans="1:10" x14ac:dyDescent="0.25">
      <c r="A2867" t="s">
        <v>7355</v>
      </c>
      <c r="B2867">
        <f>5613.96213598883*(1/100/100)</f>
        <v>0.56139621359888303</v>
      </c>
      <c r="C2867">
        <v>24144</v>
      </c>
      <c r="D2867" t="s">
        <v>4946</v>
      </c>
      <c r="E2867">
        <v>32508</v>
      </c>
      <c r="F2867" t="s">
        <v>971</v>
      </c>
      <c r="G2867">
        <v>325</v>
      </c>
      <c r="H2867" t="s">
        <v>73</v>
      </c>
      <c r="I2867">
        <v>3</v>
      </c>
      <c r="J2867" t="s">
        <v>50</v>
      </c>
    </row>
    <row r="2868" spans="1:10" x14ac:dyDescent="0.25">
      <c r="A2868" t="s">
        <v>7355</v>
      </c>
      <c r="B2868">
        <f>26310.3411771362*(1/100/100)</f>
        <v>2.6310341177136203</v>
      </c>
      <c r="C2868">
        <v>24145</v>
      </c>
      <c r="D2868" t="s">
        <v>4947</v>
      </c>
      <c r="E2868">
        <v>32508</v>
      </c>
      <c r="F2868" t="s">
        <v>971</v>
      </c>
      <c r="G2868">
        <v>325</v>
      </c>
      <c r="H2868" t="s">
        <v>73</v>
      </c>
      <c r="I2868">
        <v>3</v>
      </c>
      <c r="J2868" t="s">
        <v>50</v>
      </c>
    </row>
    <row r="2869" spans="1:10" x14ac:dyDescent="0.25">
      <c r="A2869" t="s">
        <v>7355</v>
      </c>
      <c r="B2869">
        <f>7099.69350612845*(1/100/100)</f>
        <v>0.70996935061284505</v>
      </c>
      <c r="C2869">
        <v>24146</v>
      </c>
      <c r="D2869" t="s">
        <v>5002</v>
      </c>
      <c r="E2869">
        <v>32516</v>
      </c>
      <c r="F2869" t="s">
        <v>976</v>
      </c>
      <c r="G2869">
        <v>325</v>
      </c>
      <c r="H2869" t="s">
        <v>73</v>
      </c>
      <c r="I2869">
        <v>3</v>
      </c>
      <c r="J2869" t="s">
        <v>50</v>
      </c>
    </row>
    <row r="2870" spans="1:10" x14ac:dyDescent="0.25">
      <c r="A2870" t="s">
        <v>7355</v>
      </c>
      <c r="B2870">
        <f>17739.4814343403*(1/100/100)</f>
        <v>1.7739481434340303</v>
      </c>
      <c r="C2870">
        <v>24147</v>
      </c>
      <c r="D2870" t="s">
        <v>4948</v>
      </c>
      <c r="E2870">
        <v>32508</v>
      </c>
      <c r="F2870" t="s">
        <v>971</v>
      </c>
      <c r="G2870">
        <v>325</v>
      </c>
      <c r="H2870" t="s">
        <v>73</v>
      </c>
      <c r="I2870">
        <v>3</v>
      </c>
      <c r="J2870" t="s">
        <v>50</v>
      </c>
    </row>
    <row r="2871" spans="1:10" x14ac:dyDescent="0.25">
      <c r="A2871" t="s">
        <v>7355</v>
      </c>
      <c r="B2871">
        <f>7091.48899244049*(1/100/100)</f>
        <v>0.709148899244049</v>
      </c>
      <c r="C2871">
        <v>24148</v>
      </c>
      <c r="D2871" t="s">
        <v>5003</v>
      </c>
      <c r="E2871">
        <v>32516</v>
      </c>
      <c r="F2871" t="s">
        <v>976</v>
      </c>
      <c r="G2871">
        <v>325</v>
      </c>
      <c r="H2871" t="s">
        <v>73</v>
      </c>
      <c r="I2871">
        <v>3</v>
      </c>
      <c r="J2871" t="s">
        <v>50</v>
      </c>
    </row>
    <row r="2872" spans="1:10" x14ac:dyDescent="0.25">
      <c r="A2872" t="s">
        <v>7355</v>
      </c>
      <c r="B2872">
        <f>79100.6350685468*(1/100/100)</f>
        <v>7.910063506854681</v>
      </c>
      <c r="C2872">
        <v>24149</v>
      </c>
      <c r="D2872" t="s">
        <v>976</v>
      </c>
      <c r="E2872">
        <v>32516</v>
      </c>
      <c r="F2872" t="s">
        <v>976</v>
      </c>
      <c r="G2872">
        <v>325</v>
      </c>
      <c r="H2872" t="s">
        <v>73</v>
      </c>
      <c r="I2872">
        <v>3</v>
      </c>
      <c r="J2872" t="s">
        <v>50</v>
      </c>
    </row>
    <row r="2873" spans="1:10" x14ac:dyDescent="0.25">
      <c r="A2873" t="s">
        <v>7355</v>
      </c>
      <c r="B2873">
        <f>25144.4913994976*(1/100/100)</f>
        <v>2.5144491399497602</v>
      </c>
      <c r="C2873">
        <v>24150</v>
      </c>
      <c r="D2873" t="s">
        <v>5004</v>
      </c>
      <c r="E2873">
        <v>32516</v>
      </c>
      <c r="F2873" t="s">
        <v>976</v>
      </c>
      <c r="G2873">
        <v>325</v>
      </c>
      <c r="H2873" t="s">
        <v>73</v>
      </c>
      <c r="I2873">
        <v>3</v>
      </c>
      <c r="J2873" t="s">
        <v>50</v>
      </c>
    </row>
    <row r="2874" spans="1:10" x14ac:dyDescent="0.25">
      <c r="A2874" t="s">
        <v>7355</v>
      </c>
      <c r="B2874">
        <f>23287.8768006391*(1/100/100)</f>
        <v>2.3287876800639102</v>
      </c>
      <c r="C2874">
        <v>24151</v>
      </c>
      <c r="D2874" t="s">
        <v>4877</v>
      </c>
      <c r="E2874">
        <v>32521</v>
      </c>
      <c r="F2874" t="s">
        <v>981</v>
      </c>
      <c r="G2874">
        <v>325</v>
      </c>
      <c r="H2874" t="s">
        <v>73</v>
      </c>
      <c r="I2874">
        <v>3</v>
      </c>
      <c r="J2874" t="s">
        <v>50</v>
      </c>
    </row>
    <row r="2875" spans="1:10" x14ac:dyDescent="0.25">
      <c r="A2875" t="s">
        <v>7355</v>
      </c>
      <c r="B2875">
        <f>19744.4471136486*(1/100/100)</f>
        <v>1.97444471136486</v>
      </c>
      <c r="C2875">
        <v>24152</v>
      </c>
      <c r="D2875" t="s">
        <v>4949</v>
      </c>
      <c r="E2875">
        <v>32508</v>
      </c>
      <c r="F2875" t="s">
        <v>971</v>
      </c>
      <c r="G2875">
        <v>325</v>
      </c>
      <c r="H2875" t="s">
        <v>73</v>
      </c>
      <c r="I2875">
        <v>3</v>
      </c>
      <c r="J2875" t="s">
        <v>50</v>
      </c>
    </row>
    <row r="2876" spans="1:10" x14ac:dyDescent="0.25">
      <c r="A2876" t="s">
        <v>7355</v>
      </c>
      <c r="B2876">
        <f>4205.76972465149*(1/100/100)</f>
        <v>0.42057697246514902</v>
      </c>
      <c r="C2876">
        <v>24153</v>
      </c>
      <c r="D2876" t="s">
        <v>2079</v>
      </c>
      <c r="E2876">
        <v>32516</v>
      </c>
      <c r="F2876" t="s">
        <v>976</v>
      </c>
      <c r="G2876">
        <v>325</v>
      </c>
      <c r="H2876" t="s">
        <v>73</v>
      </c>
      <c r="I2876">
        <v>3</v>
      </c>
      <c r="J2876" t="s">
        <v>50</v>
      </c>
    </row>
    <row r="2877" spans="1:10" x14ac:dyDescent="0.25">
      <c r="A2877" t="s">
        <v>7355</v>
      </c>
      <c r="B2877">
        <f>22721.568640883*(1/100/100)</f>
        <v>2.2721568640883003</v>
      </c>
      <c r="C2877">
        <v>24154</v>
      </c>
      <c r="D2877" t="s">
        <v>5005</v>
      </c>
      <c r="E2877">
        <v>32516</v>
      </c>
      <c r="F2877" t="s">
        <v>976</v>
      </c>
      <c r="G2877">
        <v>325</v>
      </c>
      <c r="H2877" t="s">
        <v>73</v>
      </c>
      <c r="I2877">
        <v>3</v>
      </c>
      <c r="J2877" t="s">
        <v>50</v>
      </c>
    </row>
    <row r="2878" spans="1:10" x14ac:dyDescent="0.25">
      <c r="A2878" t="s">
        <v>7355</v>
      </c>
      <c r="B2878">
        <f>10293.9950617554*(1/100/100)</f>
        <v>1.0293995061755401</v>
      </c>
      <c r="C2878">
        <v>24155</v>
      </c>
      <c r="D2878" t="s">
        <v>2662</v>
      </c>
      <c r="E2878">
        <v>32508</v>
      </c>
      <c r="F2878" t="s">
        <v>971</v>
      </c>
      <c r="G2878">
        <v>325</v>
      </c>
      <c r="H2878" t="s">
        <v>73</v>
      </c>
      <c r="I2878">
        <v>3</v>
      </c>
      <c r="J2878" t="s">
        <v>50</v>
      </c>
    </row>
    <row r="2879" spans="1:10" x14ac:dyDescent="0.25">
      <c r="A2879" t="s">
        <v>7355</v>
      </c>
      <c r="B2879">
        <f>8536.66261767918*(1/100/100)</f>
        <v>0.85366626176791804</v>
      </c>
      <c r="C2879">
        <v>24156</v>
      </c>
      <c r="D2879" t="s">
        <v>1166</v>
      </c>
      <c r="E2879">
        <v>32516</v>
      </c>
      <c r="F2879" t="s">
        <v>976</v>
      </c>
      <c r="G2879">
        <v>325</v>
      </c>
      <c r="H2879" t="s">
        <v>73</v>
      </c>
      <c r="I2879">
        <v>3</v>
      </c>
      <c r="J2879" t="s">
        <v>50</v>
      </c>
    </row>
    <row r="2880" spans="1:10" x14ac:dyDescent="0.25">
      <c r="A2880" t="s">
        <v>7355</v>
      </c>
      <c r="B2880">
        <f>21442.312948814*(1/100/100)</f>
        <v>2.1442312948814002</v>
      </c>
      <c r="C2880">
        <v>24157</v>
      </c>
      <c r="D2880" t="s">
        <v>4909</v>
      </c>
      <c r="E2880">
        <v>32502</v>
      </c>
      <c r="F2880" t="s">
        <v>966</v>
      </c>
      <c r="G2880">
        <v>325</v>
      </c>
      <c r="H2880" t="s">
        <v>73</v>
      </c>
      <c r="I2880">
        <v>3</v>
      </c>
      <c r="J2880" t="s">
        <v>50</v>
      </c>
    </row>
    <row r="2881" spans="1:10" x14ac:dyDescent="0.25">
      <c r="A2881" t="s">
        <v>7355</v>
      </c>
      <c r="B2881">
        <f>10218.2464887209*(1/100/100)</f>
        <v>1.0218246488720901</v>
      </c>
      <c r="C2881">
        <v>24158</v>
      </c>
      <c r="D2881" t="s">
        <v>5044</v>
      </c>
      <c r="E2881">
        <v>32521</v>
      </c>
      <c r="F2881" t="s">
        <v>981</v>
      </c>
      <c r="G2881">
        <v>325</v>
      </c>
      <c r="H2881" t="s">
        <v>73</v>
      </c>
      <c r="I2881">
        <v>3</v>
      </c>
      <c r="J2881" t="s">
        <v>50</v>
      </c>
    </row>
    <row r="2882" spans="1:10" x14ac:dyDescent="0.25">
      <c r="A2882" t="s">
        <v>7355</v>
      </c>
      <c r="B2882">
        <f>24922.4071961695*(1/100/100)</f>
        <v>2.4922407196169503</v>
      </c>
      <c r="C2882">
        <v>24159</v>
      </c>
      <c r="D2882" t="s">
        <v>4847</v>
      </c>
      <c r="E2882">
        <v>32508</v>
      </c>
      <c r="F2882" t="s">
        <v>971</v>
      </c>
      <c r="G2882">
        <v>325</v>
      </c>
      <c r="H2882" t="s">
        <v>73</v>
      </c>
      <c r="I2882">
        <v>3</v>
      </c>
      <c r="J2882" t="s">
        <v>50</v>
      </c>
    </row>
    <row r="2883" spans="1:10" x14ac:dyDescent="0.25">
      <c r="A2883" t="s">
        <v>7355</v>
      </c>
      <c r="B2883">
        <f>9044.03036551415*(1/100/100)</f>
        <v>0.90440303655141507</v>
      </c>
      <c r="C2883">
        <v>24160</v>
      </c>
      <c r="D2883" t="s">
        <v>3013</v>
      </c>
      <c r="E2883">
        <v>32508</v>
      </c>
      <c r="F2883" t="s">
        <v>971</v>
      </c>
      <c r="G2883">
        <v>325</v>
      </c>
      <c r="H2883" t="s">
        <v>73</v>
      </c>
      <c r="I2883">
        <v>3</v>
      </c>
      <c r="J2883" t="s">
        <v>50</v>
      </c>
    </row>
    <row r="2884" spans="1:10" x14ac:dyDescent="0.25">
      <c r="A2884" t="s">
        <v>7355</v>
      </c>
      <c r="B2884">
        <f>53504.014439886*(1/100/100)</f>
        <v>5.3504014439886003</v>
      </c>
      <c r="C2884">
        <v>24161</v>
      </c>
      <c r="D2884" t="s">
        <v>4950</v>
      </c>
      <c r="E2884">
        <v>32508</v>
      </c>
      <c r="F2884" t="s">
        <v>971</v>
      </c>
      <c r="G2884">
        <v>325</v>
      </c>
      <c r="H2884" t="s">
        <v>73</v>
      </c>
      <c r="I2884">
        <v>3</v>
      </c>
      <c r="J2884" t="s">
        <v>50</v>
      </c>
    </row>
    <row r="2885" spans="1:10" x14ac:dyDescent="0.25">
      <c r="A2885" t="s">
        <v>7355</v>
      </c>
      <c r="B2885">
        <f>15496.8674934151*(1/100/100)</f>
        <v>1.5496867493415101</v>
      </c>
      <c r="C2885">
        <v>24162</v>
      </c>
      <c r="D2885" t="s">
        <v>5045</v>
      </c>
      <c r="E2885">
        <v>32521</v>
      </c>
      <c r="F2885" t="s">
        <v>981</v>
      </c>
      <c r="G2885">
        <v>325</v>
      </c>
      <c r="H2885" t="s">
        <v>73</v>
      </c>
      <c r="I2885">
        <v>3</v>
      </c>
      <c r="J2885" t="s">
        <v>50</v>
      </c>
    </row>
    <row r="2886" spans="1:10" x14ac:dyDescent="0.25">
      <c r="A2886" t="s">
        <v>7355</v>
      </c>
      <c r="B2886">
        <f>118303.075916274*(1/100/100)</f>
        <v>11.830307591627401</v>
      </c>
      <c r="C2886">
        <v>24163</v>
      </c>
      <c r="D2886" t="s">
        <v>4951</v>
      </c>
      <c r="E2886">
        <v>32508</v>
      </c>
      <c r="F2886" t="s">
        <v>971</v>
      </c>
      <c r="G2886">
        <v>325</v>
      </c>
      <c r="H2886" t="s">
        <v>73</v>
      </c>
      <c r="I2886">
        <v>3</v>
      </c>
      <c r="J2886" t="s">
        <v>50</v>
      </c>
    </row>
    <row r="2887" spans="1:10" x14ac:dyDescent="0.25">
      <c r="A2887" t="s">
        <v>7355</v>
      </c>
      <c r="B2887">
        <f>49622.2443098739*(1/100/100)</f>
        <v>4.9622244309873906</v>
      </c>
      <c r="C2887">
        <v>24164</v>
      </c>
      <c r="D2887" t="s">
        <v>5046</v>
      </c>
      <c r="E2887">
        <v>32521</v>
      </c>
      <c r="F2887" t="s">
        <v>981</v>
      </c>
      <c r="G2887">
        <v>325</v>
      </c>
      <c r="H2887" t="s">
        <v>73</v>
      </c>
      <c r="I2887">
        <v>3</v>
      </c>
      <c r="J2887" t="s">
        <v>50</v>
      </c>
    </row>
    <row r="2888" spans="1:10" x14ac:dyDescent="0.25">
      <c r="A2888" t="s">
        <v>7355</v>
      </c>
      <c r="B2888">
        <f>11533.652407937*(1/100/100)</f>
        <v>1.1533652407937001</v>
      </c>
      <c r="C2888">
        <v>24165</v>
      </c>
      <c r="D2888" t="s">
        <v>5024</v>
      </c>
      <c r="E2888">
        <v>32519</v>
      </c>
      <c r="F2888" t="s">
        <v>979</v>
      </c>
      <c r="G2888">
        <v>325</v>
      </c>
      <c r="H2888" t="s">
        <v>73</v>
      </c>
      <c r="I2888">
        <v>3</v>
      </c>
      <c r="J2888" t="s">
        <v>50</v>
      </c>
    </row>
    <row r="2889" spans="1:10" x14ac:dyDescent="0.25">
      <c r="A2889" t="s">
        <v>7355</v>
      </c>
      <c r="B2889">
        <f>10889.9034391578*(1/100/100)</f>
        <v>1.0889903439157802</v>
      </c>
      <c r="C2889">
        <v>24166</v>
      </c>
      <c r="D2889" t="s">
        <v>2853</v>
      </c>
      <c r="E2889">
        <v>32521</v>
      </c>
      <c r="F2889" t="s">
        <v>981</v>
      </c>
      <c r="G2889">
        <v>325</v>
      </c>
      <c r="H2889" t="s">
        <v>73</v>
      </c>
      <c r="I2889">
        <v>3</v>
      </c>
      <c r="J2889" t="s">
        <v>50</v>
      </c>
    </row>
    <row r="2890" spans="1:10" x14ac:dyDescent="0.25">
      <c r="A2890" t="s">
        <v>7355</v>
      </c>
      <c r="B2890">
        <f>11988.1756170919*(1/100/100)</f>
        <v>1.1988175617091901</v>
      </c>
      <c r="C2890">
        <v>24167</v>
      </c>
      <c r="D2890" t="s">
        <v>3735</v>
      </c>
      <c r="E2890">
        <v>32508</v>
      </c>
      <c r="F2890" t="s">
        <v>971</v>
      </c>
      <c r="G2890">
        <v>325</v>
      </c>
      <c r="H2890" t="s">
        <v>73</v>
      </c>
      <c r="I2890">
        <v>3</v>
      </c>
      <c r="J2890" t="s">
        <v>50</v>
      </c>
    </row>
    <row r="2891" spans="1:10" x14ac:dyDescent="0.25">
      <c r="A2891" t="s">
        <v>7355</v>
      </c>
      <c r="B2891">
        <f>13834.2215644584*(1/100/100)</f>
        <v>1.38342215644584</v>
      </c>
      <c r="C2891">
        <v>24168</v>
      </c>
      <c r="D2891" t="s">
        <v>4910</v>
      </c>
      <c r="E2891">
        <v>32502</v>
      </c>
      <c r="F2891" t="s">
        <v>966</v>
      </c>
      <c r="G2891">
        <v>325</v>
      </c>
      <c r="H2891" t="s">
        <v>73</v>
      </c>
      <c r="I2891">
        <v>3</v>
      </c>
      <c r="J2891" t="s">
        <v>50</v>
      </c>
    </row>
    <row r="2892" spans="1:10" x14ac:dyDescent="0.25">
      <c r="A2892" t="s">
        <v>7355</v>
      </c>
      <c r="B2892">
        <f>19399.9688126818*(1/100/100)</f>
        <v>1.93999688126818</v>
      </c>
      <c r="C2892">
        <v>24169</v>
      </c>
      <c r="D2892" t="s">
        <v>4911</v>
      </c>
      <c r="E2892">
        <v>32502</v>
      </c>
      <c r="F2892" t="s">
        <v>966</v>
      </c>
      <c r="G2892">
        <v>325</v>
      </c>
      <c r="H2892" t="s">
        <v>73</v>
      </c>
      <c r="I2892">
        <v>3</v>
      </c>
      <c r="J2892" t="s">
        <v>50</v>
      </c>
    </row>
    <row r="2893" spans="1:10" x14ac:dyDescent="0.25">
      <c r="A2893" t="s">
        <v>7355</v>
      </c>
      <c r="B2893">
        <f>42570.06963438*(1/100/100)</f>
        <v>4.2570069634380001</v>
      </c>
      <c r="C2893">
        <v>24170</v>
      </c>
      <c r="D2893" t="s">
        <v>4912</v>
      </c>
      <c r="E2893">
        <v>32502</v>
      </c>
      <c r="F2893" t="s">
        <v>966</v>
      </c>
      <c r="G2893">
        <v>325</v>
      </c>
      <c r="H2893" t="s">
        <v>73</v>
      </c>
      <c r="I2893">
        <v>3</v>
      </c>
      <c r="J2893" t="s">
        <v>50</v>
      </c>
    </row>
    <row r="2894" spans="1:10" x14ac:dyDescent="0.25">
      <c r="A2894" t="s">
        <v>7355</v>
      </c>
      <c r="B2894">
        <f>52724.535462481*(1/100/100)</f>
        <v>5.2724535462480997</v>
      </c>
      <c r="C2894">
        <v>24171</v>
      </c>
      <c r="D2894" t="s">
        <v>981</v>
      </c>
      <c r="E2894">
        <v>32521</v>
      </c>
      <c r="F2894" t="s">
        <v>981</v>
      </c>
      <c r="G2894">
        <v>325</v>
      </c>
      <c r="H2894" t="s">
        <v>73</v>
      </c>
      <c r="I2894">
        <v>3</v>
      </c>
      <c r="J2894" t="s">
        <v>50</v>
      </c>
    </row>
    <row r="2895" spans="1:10" x14ac:dyDescent="0.25">
      <c r="A2895" t="s">
        <v>7355</v>
      </c>
      <c r="B2895">
        <f>6198.0564842343*(1/100/100)</f>
        <v>0.61980564842343</v>
      </c>
      <c r="C2895">
        <v>24172</v>
      </c>
      <c r="D2895" t="s">
        <v>3306</v>
      </c>
      <c r="E2895">
        <v>32521</v>
      </c>
      <c r="F2895" t="s">
        <v>981</v>
      </c>
      <c r="G2895">
        <v>325</v>
      </c>
      <c r="H2895" t="s">
        <v>73</v>
      </c>
      <c r="I2895">
        <v>3</v>
      </c>
      <c r="J2895" t="s">
        <v>50</v>
      </c>
    </row>
    <row r="2896" spans="1:10" x14ac:dyDescent="0.25">
      <c r="A2896" t="s">
        <v>7355</v>
      </c>
      <c r="B2896">
        <f>7969.19215850071*(1/100/100)</f>
        <v>0.79691921585007108</v>
      </c>
      <c r="C2896">
        <v>24173</v>
      </c>
      <c r="D2896" t="s">
        <v>5047</v>
      </c>
      <c r="E2896">
        <v>32521</v>
      </c>
      <c r="F2896" t="s">
        <v>981</v>
      </c>
      <c r="G2896">
        <v>325</v>
      </c>
      <c r="H2896" t="s">
        <v>73</v>
      </c>
      <c r="I2896">
        <v>3</v>
      </c>
      <c r="J2896" t="s">
        <v>50</v>
      </c>
    </row>
    <row r="2897" spans="1:10" x14ac:dyDescent="0.25">
      <c r="A2897" t="s">
        <v>7355</v>
      </c>
      <c r="B2897">
        <f>15578.9201731259*(1/100/100)</f>
        <v>1.5578920173125901</v>
      </c>
      <c r="C2897">
        <v>24174</v>
      </c>
      <c r="D2897" t="s">
        <v>5048</v>
      </c>
      <c r="E2897">
        <v>32521</v>
      </c>
      <c r="F2897" t="s">
        <v>981</v>
      </c>
      <c r="G2897">
        <v>325</v>
      </c>
      <c r="H2897" t="s">
        <v>73</v>
      </c>
      <c r="I2897">
        <v>3</v>
      </c>
      <c r="J2897" t="s">
        <v>50</v>
      </c>
    </row>
    <row r="2898" spans="1:10" x14ac:dyDescent="0.25">
      <c r="A2898" t="s">
        <v>7355</v>
      </c>
      <c r="B2898">
        <f>4969.51815133967*(1/100/100)</f>
        <v>0.49695181513396702</v>
      </c>
      <c r="C2898">
        <v>24175</v>
      </c>
      <c r="D2898" t="s">
        <v>5006</v>
      </c>
      <c r="E2898">
        <v>32516</v>
      </c>
      <c r="F2898" t="s">
        <v>976</v>
      </c>
      <c r="G2898">
        <v>325</v>
      </c>
      <c r="H2898" t="s">
        <v>73</v>
      </c>
      <c r="I2898">
        <v>3</v>
      </c>
      <c r="J2898" t="s">
        <v>50</v>
      </c>
    </row>
    <row r="2899" spans="1:10" x14ac:dyDescent="0.25">
      <c r="A2899" t="s">
        <v>7355</v>
      </c>
      <c r="B2899">
        <f>23231.5127815041*(1/100/100)</f>
        <v>2.3231512781504104</v>
      </c>
      <c r="C2899">
        <v>24176</v>
      </c>
      <c r="D2899" t="s">
        <v>2972</v>
      </c>
      <c r="E2899">
        <v>32508</v>
      </c>
      <c r="F2899" t="s">
        <v>971</v>
      </c>
      <c r="G2899">
        <v>325</v>
      </c>
      <c r="H2899" t="s">
        <v>73</v>
      </c>
      <c r="I2899">
        <v>3</v>
      </c>
      <c r="J2899" t="s">
        <v>50</v>
      </c>
    </row>
    <row r="2900" spans="1:10" x14ac:dyDescent="0.25">
      <c r="A2900" t="s">
        <v>7355</v>
      </c>
      <c r="B2900">
        <f>25544.5860645814*(1/100/100)</f>
        <v>2.55445860645814</v>
      </c>
      <c r="C2900">
        <v>24177</v>
      </c>
      <c r="D2900" t="s">
        <v>3209</v>
      </c>
      <c r="E2900">
        <v>32502</v>
      </c>
      <c r="F2900" t="s">
        <v>966</v>
      </c>
      <c r="G2900">
        <v>325</v>
      </c>
      <c r="H2900" t="s">
        <v>73</v>
      </c>
      <c r="I2900">
        <v>3</v>
      </c>
      <c r="J2900" t="s">
        <v>50</v>
      </c>
    </row>
    <row r="2901" spans="1:10" x14ac:dyDescent="0.25">
      <c r="A2901" t="s">
        <v>7355</v>
      </c>
      <c r="B2901">
        <f>18131.5214578669*(1/100/100)</f>
        <v>1.8131521457866902</v>
      </c>
      <c r="C2901">
        <v>24178</v>
      </c>
      <c r="D2901" t="s">
        <v>4913</v>
      </c>
      <c r="E2901">
        <v>32502</v>
      </c>
      <c r="F2901" t="s">
        <v>966</v>
      </c>
      <c r="G2901">
        <v>325</v>
      </c>
      <c r="H2901" t="s">
        <v>73</v>
      </c>
      <c r="I2901">
        <v>3</v>
      </c>
      <c r="J2901" t="s">
        <v>50</v>
      </c>
    </row>
    <row r="2902" spans="1:10" x14ac:dyDescent="0.25">
      <c r="A2902" t="s">
        <v>7355</v>
      </c>
      <c r="B2902">
        <f>13101.8930117061*(1/100/100)</f>
        <v>1.3101893011706101</v>
      </c>
      <c r="C2902">
        <v>24179</v>
      </c>
      <c r="D2902" t="s">
        <v>5049</v>
      </c>
      <c r="E2902">
        <v>32521</v>
      </c>
      <c r="F2902" t="s">
        <v>981</v>
      </c>
      <c r="G2902">
        <v>325</v>
      </c>
      <c r="H2902" t="s">
        <v>73</v>
      </c>
      <c r="I2902">
        <v>3</v>
      </c>
      <c r="J2902" t="s">
        <v>50</v>
      </c>
    </row>
    <row r="2903" spans="1:10" x14ac:dyDescent="0.25">
      <c r="A2903" t="s">
        <v>7355</v>
      </c>
      <c r="B2903">
        <f>8965.94462759434*(1/100/100)</f>
        <v>0.896594462759434</v>
      </c>
      <c r="C2903">
        <v>24180</v>
      </c>
      <c r="D2903" t="s">
        <v>4952</v>
      </c>
      <c r="E2903">
        <v>32508</v>
      </c>
      <c r="F2903" t="s">
        <v>971</v>
      </c>
      <c r="G2903">
        <v>325</v>
      </c>
      <c r="H2903" t="s">
        <v>73</v>
      </c>
      <c r="I2903">
        <v>3</v>
      </c>
      <c r="J2903" t="s">
        <v>50</v>
      </c>
    </row>
    <row r="2904" spans="1:10" x14ac:dyDescent="0.25">
      <c r="A2904" t="s">
        <v>7355</v>
      </c>
      <c r="B2904">
        <f>26706.8555470145*(1/100/100)</f>
        <v>2.6706855547014503</v>
      </c>
      <c r="C2904">
        <v>24181</v>
      </c>
      <c r="D2904" t="s">
        <v>5007</v>
      </c>
      <c r="E2904">
        <v>32516</v>
      </c>
      <c r="F2904" t="s">
        <v>976</v>
      </c>
      <c r="G2904">
        <v>325</v>
      </c>
      <c r="H2904" t="s">
        <v>73</v>
      </c>
      <c r="I2904">
        <v>3</v>
      </c>
      <c r="J2904" t="s">
        <v>50</v>
      </c>
    </row>
    <row r="2905" spans="1:10" x14ac:dyDescent="0.25">
      <c r="A2905" t="s">
        <v>7355</v>
      </c>
      <c r="B2905">
        <f>23565.8484386696*(1/100/100)</f>
        <v>2.3565848438669601</v>
      </c>
      <c r="C2905">
        <v>24182</v>
      </c>
      <c r="D2905" t="s">
        <v>4953</v>
      </c>
      <c r="E2905">
        <v>32508</v>
      </c>
      <c r="F2905" t="s">
        <v>971</v>
      </c>
      <c r="G2905">
        <v>325</v>
      </c>
      <c r="H2905" t="s">
        <v>73</v>
      </c>
      <c r="I2905">
        <v>3</v>
      </c>
      <c r="J2905" t="s">
        <v>50</v>
      </c>
    </row>
    <row r="2906" spans="1:10" x14ac:dyDescent="0.25">
      <c r="A2906" t="s">
        <v>7355</v>
      </c>
      <c r="B2906">
        <f>13690.6829928641*(1/100/100)</f>
        <v>1.3690682992864101</v>
      </c>
      <c r="C2906">
        <v>24183</v>
      </c>
      <c r="D2906" t="s">
        <v>5008</v>
      </c>
      <c r="E2906">
        <v>32516</v>
      </c>
      <c r="F2906" t="s">
        <v>976</v>
      </c>
      <c r="G2906">
        <v>325</v>
      </c>
      <c r="H2906" t="s">
        <v>73</v>
      </c>
      <c r="I2906">
        <v>3</v>
      </c>
      <c r="J2906" t="s">
        <v>50</v>
      </c>
    </row>
    <row r="2907" spans="1:10" x14ac:dyDescent="0.25">
      <c r="A2907" t="s">
        <v>7355</v>
      </c>
      <c r="B2907">
        <f>12461.745821062*(1/100/100)</f>
        <v>1.2461745821062</v>
      </c>
      <c r="C2907">
        <v>24184</v>
      </c>
      <c r="D2907" t="s">
        <v>5009</v>
      </c>
      <c r="E2907">
        <v>32516</v>
      </c>
      <c r="F2907" t="s">
        <v>976</v>
      </c>
      <c r="G2907">
        <v>325</v>
      </c>
      <c r="H2907" t="s">
        <v>73</v>
      </c>
      <c r="I2907">
        <v>3</v>
      </c>
      <c r="J2907" t="s">
        <v>50</v>
      </c>
    </row>
    <row r="2908" spans="1:10" x14ac:dyDescent="0.25">
      <c r="A2908" t="s">
        <v>7355</v>
      </c>
      <c r="B2908">
        <f>33036.2009245365*(1/100/100)</f>
        <v>3.3036200924536501</v>
      </c>
      <c r="C2908">
        <v>24185</v>
      </c>
      <c r="D2908" t="s">
        <v>4954</v>
      </c>
      <c r="E2908">
        <v>32508</v>
      </c>
      <c r="F2908" t="s">
        <v>971</v>
      </c>
      <c r="G2908">
        <v>325</v>
      </c>
      <c r="H2908" t="s">
        <v>73</v>
      </c>
      <c r="I2908">
        <v>3</v>
      </c>
      <c r="J2908" t="s">
        <v>50</v>
      </c>
    </row>
    <row r="2909" spans="1:10" x14ac:dyDescent="0.25">
      <c r="A2909" t="s">
        <v>7355</v>
      </c>
      <c r="B2909">
        <f>7974.81369281206*(1/100/100)</f>
        <v>0.79748136928120605</v>
      </c>
      <c r="C2909">
        <v>24186</v>
      </c>
      <c r="D2909" t="s">
        <v>4955</v>
      </c>
      <c r="E2909">
        <v>32508</v>
      </c>
      <c r="F2909" t="s">
        <v>971</v>
      </c>
      <c r="G2909">
        <v>325</v>
      </c>
      <c r="H2909" t="s">
        <v>73</v>
      </c>
      <c r="I2909">
        <v>3</v>
      </c>
      <c r="J2909" t="s">
        <v>50</v>
      </c>
    </row>
    <row r="2910" spans="1:10" x14ac:dyDescent="0.25">
      <c r="A2910" t="s">
        <v>7355</v>
      </c>
      <c r="B2910">
        <f>26324.7469772885*(1/100/100)</f>
        <v>2.6324746977288505</v>
      </c>
      <c r="C2910">
        <v>24187</v>
      </c>
      <c r="D2910" t="s">
        <v>4914</v>
      </c>
      <c r="E2910">
        <v>32502</v>
      </c>
      <c r="F2910" t="s">
        <v>966</v>
      </c>
      <c r="G2910">
        <v>325</v>
      </c>
      <c r="H2910" t="s">
        <v>73</v>
      </c>
      <c r="I2910">
        <v>3</v>
      </c>
      <c r="J2910" t="s">
        <v>50</v>
      </c>
    </row>
    <row r="2911" spans="1:10" x14ac:dyDescent="0.25">
      <c r="A2911" t="s">
        <v>7355</v>
      </c>
      <c r="B2911">
        <f>31502.8604507673*(1/100/100)</f>
        <v>3.1502860450767303</v>
      </c>
      <c r="C2911">
        <v>24188</v>
      </c>
      <c r="D2911" t="s">
        <v>4956</v>
      </c>
      <c r="E2911">
        <v>32508</v>
      </c>
      <c r="F2911" t="s">
        <v>971</v>
      </c>
      <c r="G2911">
        <v>325</v>
      </c>
      <c r="H2911" t="s">
        <v>73</v>
      </c>
      <c r="I2911">
        <v>3</v>
      </c>
      <c r="J2911" t="s">
        <v>50</v>
      </c>
    </row>
    <row r="2912" spans="1:10" x14ac:dyDescent="0.25">
      <c r="A2912" t="s">
        <v>7355</v>
      </c>
      <c r="B2912">
        <f>5071.57610760204*(1/100/100)</f>
        <v>0.50715761076020405</v>
      </c>
      <c r="C2912">
        <v>24189</v>
      </c>
      <c r="D2912" t="s">
        <v>5050</v>
      </c>
      <c r="E2912">
        <v>32521</v>
      </c>
      <c r="F2912" t="s">
        <v>981</v>
      </c>
      <c r="G2912">
        <v>325</v>
      </c>
      <c r="H2912" t="s">
        <v>73</v>
      </c>
      <c r="I2912">
        <v>3</v>
      </c>
      <c r="J2912" t="s">
        <v>50</v>
      </c>
    </row>
    <row r="2913" spans="1:10" x14ac:dyDescent="0.25">
      <c r="A2913" t="s">
        <v>7355</v>
      </c>
      <c r="B2913">
        <f>7210.8865597836*(1/100/100)</f>
        <v>0.72108865597836003</v>
      </c>
      <c r="C2913">
        <v>24190</v>
      </c>
      <c r="D2913" t="s">
        <v>5051</v>
      </c>
      <c r="E2913">
        <v>32521</v>
      </c>
      <c r="F2913" t="s">
        <v>981</v>
      </c>
      <c r="G2913">
        <v>325</v>
      </c>
      <c r="H2913" t="s">
        <v>73</v>
      </c>
      <c r="I2913">
        <v>3</v>
      </c>
      <c r="J2913" t="s">
        <v>50</v>
      </c>
    </row>
    <row r="2914" spans="1:10" x14ac:dyDescent="0.25">
      <c r="A2914" t="s">
        <v>7355</v>
      </c>
      <c r="B2914">
        <f>35925.6648705274*(1/100/100)</f>
        <v>3.5925664870527401</v>
      </c>
      <c r="C2914">
        <v>24191</v>
      </c>
      <c r="D2914" t="s">
        <v>5052</v>
      </c>
      <c r="E2914">
        <v>32521</v>
      </c>
      <c r="F2914" t="s">
        <v>981</v>
      </c>
      <c r="G2914">
        <v>325</v>
      </c>
      <c r="H2914" t="s">
        <v>73</v>
      </c>
      <c r="I2914">
        <v>3</v>
      </c>
      <c r="J2914" t="s">
        <v>50</v>
      </c>
    </row>
    <row r="2915" spans="1:10" x14ac:dyDescent="0.25">
      <c r="A2915" t="s">
        <v>7355</v>
      </c>
      <c r="B2915">
        <f>18366.3529635561*(1/100/100)</f>
        <v>1.8366352963556101</v>
      </c>
      <c r="C2915">
        <v>24201</v>
      </c>
      <c r="D2915" t="s">
        <v>5053</v>
      </c>
      <c r="E2915">
        <v>32522</v>
      </c>
      <c r="F2915" t="s">
        <v>982</v>
      </c>
      <c r="G2915">
        <v>325</v>
      </c>
      <c r="H2915" t="s">
        <v>73</v>
      </c>
      <c r="I2915">
        <v>3</v>
      </c>
      <c r="J2915" t="s">
        <v>50</v>
      </c>
    </row>
    <row r="2916" spans="1:10" x14ac:dyDescent="0.25">
      <c r="A2916" t="s">
        <v>7355</v>
      </c>
      <c r="B2916">
        <f>10096.7791775052*(1/100/100)</f>
        <v>1.00967791775052</v>
      </c>
      <c r="C2916">
        <v>24202</v>
      </c>
      <c r="D2916" t="s">
        <v>5062</v>
      </c>
      <c r="E2916">
        <v>32523</v>
      </c>
      <c r="F2916" t="s">
        <v>983</v>
      </c>
      <c r="G2916">
        <v>325</v>
      </c>
      <c r="H2916" t="s">
        <v>73</v>
      </c>
      <c r="I2916">
        <v>3</v>
      </c>
      <c r="J2916" t="s">
        <v>50</v>
      </c>
    </row>
    <row r="2917" spans="1:10" x14ac:dyDescent="0.25">
      <c r="A2917" t="s">
        <v>7355</v>
      </c>
      <c r="B2917">
        <f>45789.2265997919*(1/100/100)</f>
        <v>4.5789226599791908</v>
      </c>
      <c r="C2917">
        <v>24203</v>
      </c>
      <c r="D2917" t="s">
        <v>967</v>
      </c>
      <c r="E2917">
        <v>32503</v>
      </c>
      <c r="F2917" t="s">
        <v>967</v>
      </c>
      <c r="G2917">
        <v>325</v>
      </c>
      <c r="H2917" t="s">
        <v>73</v>
      </c>
      <c r="I2917">
        <v>3</v>
      </c>
      <c r="J2917" t="s">
        <v>50</v>
      </c>
    </row>
    <row r="2918" spans="1:10" x14ac:dyDescent="0.25">
      <c r="A2918" t="s">
        <v>7355</v>
      </c>
      <c r="B2918">
        <f>5271.97945165201*(1/100/100)</f>
        <v>0.52719794516520102</v>
      </c>
      <c r="C2918">
        <v>24204</v>
      </c>
      <c r="D2918" t="s">
        <v>4969</v>
      </c>
      <c r="E2918">
        <v>32515</v>
      </c>
      <c r="F2918" t="s">
        <v>975</v>
      </c>
      <c r="G2918">
        <v>325</v>
      </c>
      <c r="H2918" t="s">
        <v>73</v>
      </c>
      <c r="I2918">
        <v>3</v>
      </c>
      <c r="J2918" t="s">
        <v>50</v>
      </c>
    </row>
    <row r="2919" spans="1:10" x14ac:dyDescent="0.25">
      <c r="A2919" t="s">
        <v>7355</v>
      </c>
      <c r="B2919">
        <f>11027.4885404556*(1/100/100)</f>
        <v>1.1027488540455601</v>
      </c>
      <c r="C2919">
        <v>24205</v>
      </c>
      <c r="D2919" t="s">
        <v>4962</v>
      </c>
      <c r="E2919">
        <v>32514</v>
      </c>
      <c r="F2919" t="s">
        <v>974</v>
      </c>
      <c r="G2919">
        <v>325</v>
      </c>
      <c r="H2919" t="s">
        <v>73</v>
      </c>
      <c r="I2919">
        <v>3</v>
      </c>
      <c r="J2919" t="s">
        <v>50</v>
      </c>
    </row>
    <row r="2920" spans="1:10" x14ac:dyDescent="0.25">
      <c r="A2920" t="s">
        <v>7355</v>
      </c>
      <c r="B2920">
        <f>20419.4093457496*(1/100/100)</f>
        <v>2.04194093457496</v>
      </c>
      <c r="C2920">
        <v>24206</v>
      </c>
      <c r="D2920" t="s">
        <v>5017</v>
      </c>
      <c r="E2920">
        <v>32518</v>
      </c>
      <c r="F2920" t="s">
        <v>978</v>
      </c>
      <c r="G2920">
        <v>325</v>
      </c>
      <c r="H2920" t="s">
        <v>73</v>
      </c>
      <c r="I2920">
        <v>3</v>
      </c>
      <c r="J2920" t="s">
        <v>50</v>
      </c>
    </row>
    <row r="2921" spans="1:10" x14ac:dyDescent="0.25">
      <c r="A2921" t="s">
        <v>7355</v>
      </c>
      <c r="B2921">
        <f>31912.2718254617*(1/100/100)</f>
        <v>3.1912271825461702</v>
      </c>
      <c r="C2921">
        <v>24207</v>
      </c>
      <c r="D2921" t="s">
        <v>5063</v>
      </c>
      <c r="E2921">
        <v>32523</v>
      </c>
      <c r="F2921" t="s">
        <v>983</v>
      </c>
      <c r="G2921">
        <v>325</v>
      </c>
      <c r="H2921" t="s">
        <v>73</v>
      </c>
      <c r="I2921">
        <v>3</v>
      </c>
      <c r="J2921" t="s">
        <v>50</v>
      </c>
    </row>
    <row r="2922" spans="1:10" x14ac:dyDescent="0.25">
      <c r="A2922" t="s">
        <v>7355</v>
      </c>
      <c r="B2922">
        <f>14602.8000840568*(1/100/100)</f>
        <v>1.4602800084056802</v>
      </c>
      <c r="C2922">
        <v>24208</v>
      </c>
      <c r="D2922" t="s">
        <v>5083</v>
      </c>
      <c r="E2922">
        <v>32528</v>
      </c>
      <c r="F2922" t="s">
        <v>986</v>
      </c>
      <c r="G2922">
        <v>325</v>
      </c>
      <c r="H2922" t="s">
        <v>73</v>
      </c>
      <c r="I2922">
        <v>3</v>
      </c>
      <c r="J2922" t="s">
        <v>50</v>
      </c>
    </row>
    <row r="2923" spans="1:10" x14ac:dyDescent="0.25">
      <c r="A2923" t="s">
        <v>7355</v>
      </c>
      <c r="B2923">
        <f>8362.51321836929*(1/100/100)</f>
        <v>0.83625132183692896</v>
      </c>
      <c r="C2923">
        <v>24209</v>
      </c>
      <c r="D2923" t="s">
        <v>953</v>
      </c>
      <c r="E2923">
        <v>32506</v>
      </c>
      <c r="F2923" t="s">
        <v>970</v>
      </c>
      <c r="G2923">
        <v>325</v>
      </c>
      <c r="H2923" t="s">
        <v>73</v>
      </c>
      <c r="I2923">
        <v>3</v>
      </c>
      <c r="J2923" t="s">
        <v>50</v>
      </c>
    </row>
    <row r="2924" spans="1:10" x14ac:dyDescent="0.25">
      <c r="A2924" t="s">
        <v>7355</v>
      </c>
      <c r="B2924">
        <f>19654.303798122*(1/100/100)</f>
        <v>1.9654303798122001</v>
      </c>
      <c r="C2924">
        <v>24210</v>
      </c>
      <c r="D2924" t="s">
        <v>4970</v>
      </c>
      <c r="E2924">
        <v>32515</v>
      </c>
      <c r="F2924" t="s">
        <v>975</v>
      </c>
      <c r="G2924">
        <v>325</v>
      </c>
      <c r="H2924" t="s">
        <v>73</v>
      </c>
      <c r="I2924">
        <v>3</v>
      </c>
      <c r="J2924" t="s">
        <v>50</v>
      </c>
    </row>
    <row r="2925" spans="1:10" x14ac:dyDescent="0.25">
      <c r="A2925" t="s">
        <v>7355</v>
      </c>
      <c r="B2925">
        <f>13619.5628625697*(1/100/100)</f>
        <v>1.3619562862569701</v>
      </c>
      <c r="C2925">
        <v>24211</v>
      </c>
      <c r="D2925" t="s">
        <v>916</v>
      </c>
      <c r="E2925">
        <v>32528</v>
      </c>
      <c r="F2925" t="s">
        <v>986</v>
      </c>
      <c r="G2925">
        <v>325</v>
      </c>
      <c r="H2925" t="s">
        <v>73</v>
      </c>
      <c r="I2925">
        <v>3</v>
      </c>
      <c r="J2925" t="s">
        <v>50</v>
      </c>
    </row>
    <row r="2926" spans="1:10" x14ac:dyDescent="0.25">
      <c r="A2926" t="s">
        <v>7355</v>
      </c>
      <c r="B2926">
        <f>25205.8674324024*(1/100/100)</f>
        <v>2.5205867432402402</v>
      </c>
      <c r="C2926">
        <v>24212</v>
      </c>
      <c r="D2926" t="s">
        <v>5064</v>
      </c>
      <c r="E2926">
        <v>32523</v>
      </c>
      <c r="F2926" t="s">
        <v>983</v>
      </c>
      <c r="G2926">
        <v>325</v>
      </c>
      <c r="H2926" t="s">
        <v>73</v>
      </c>
      <c r="I2926">
        <v>3</v>
      </c>
      <c r="J2926" t="s">
        <v>50</v>
      </c>
    </row>
    <row r="2927" spans="1:10" x14ac:dyDescent="0.25">
      <c r="A2927" t="s">
        <v>7355</v>
      </c>
      <c r="B2927">
        <f>7831.92446524711*(1/100/100)</f>
        <v>0.78319244652471098</v>
      </c>
      <c r="C2927">
        <v>24213</v>
      </c>
      <c r="D2927" t="s">
        <v>4343</v>
      </c>
      <c r="E2927">
        <v>32514</v>
      </c>
      <c r="F2927" t="s">
        <v>974</v>
      </c>
      <c r="G2927">
        <v>325</v>
      </c>
      <c r="H2927" t="s">
        <v>73</v>
      </c>
      <c r="I2927">
        <v>3</v>
      </c>
      <c r="J2927" t="s">
        <v>50</v>
      </c>
    </row>
    <row r="2928" spans="1:10" x14ac:dyDescent="0.25">
      <c r="A2928" t="s">
        <v>7355</v>
      </c>
      <c r="B2928">
        <f>12747.015643221*(1/100/100)</f>
        <v>1.2747015643221</v>
      </c>
      <c r="C2928">
        <v>24214</v>
      </c>
      <c r="D2928" t="s">
        <v>5010</v>
      </c>
      <c r="E2928">
        <v>32517</v>
      </c>
      <c r="F2928" t="s">
        <v>977</v>
      </c>
      <c r="G2928">
        <v>325</v>
      </c>
      <c r="H2928" t="s">
        <v>73</v>
      </c>
      <c r="I2928">
        <v>3</v>
      </c>
      <c r="J2928" t="s">
        <v>50</v>
      </c>
    </row>
    <row r="2929" spans="1:10" x14ac:dyDescent="0.25">
      <c r="A2929" t="s">
        <v>7355</v>
      </c>
      <c r="B2929">
        <f>24891.1496596024*(1/100/100)</f>
        <v>2.4891149659602401</v>
      </c>
      <c r="C2929">
        <v>24215</v>
      </c>
      <c r="D2929" t="s">
        <v>4971</v>
      </c>
      <c r="E2929">
        <v>32515</v>
      </c>
      <c r="F2929" t="s">
        <v>975</v>
      </c>
      <c r="G2929">
        <v>325</v>
      </c>
      <c r="H2929" t="s">
        <v>73</v>
      </c>
      <c r="I2929">
        <v>3</v>
      </c>
      <c r="J2929" t="s">
        <v>50</v>
      </c>
    </row>
    <row r="2930" spans="1:10" x14ac:dyDescent="0.25">
      <c r="A2930" t="s">
        <v>7355</v>
      </c>
      <c r="B2930">
        <f>19452.8002020904*(1/100/100)</f>
        <v>1.9452800202090399</v>
      </c>
      <c r="C2930">
        <v>24216</v>
      </c>
      <c r="D2930" t="s">
        <v>5018</v>
      </c>
      <c r="E2930">
        <v>32518</v>
      </c>
      <c r="F2930" t="s">
        <v>978</v>
      </c>
      <c r="G2930">
        <v>325</v>
      </c>
      <c r="H2930" t="s">
        <v>73</v>
      </c>
      <c r="I2930">
        <v>3</v>
      </c>
      <c r="J2930" t="s">
        <v>50</v>
      </c>
    </row>
    <row r="2931" spans="1:10" x14ac:dyDescent="0.25">
      <c r="A2931" t="s">
        <v>7355</v>
      </c>
      <c r="B2931">
        <f>3223.11811911732*(1/100/100)</f>
        <v>0.32231181191173203</v>
      </c>
      <c r="C2931">
        <v>24218</v>
      </c>
      <c r="D2931" t="s">
        <v>4972</v>
      </c>
      <c r="E2931">
        <v>32515</v>
      </c>
      <c r="F2931" t="s">
        <v>975</v>
      </c>
      <c r="G2931">
        <v>325</v>
      </c>
      <c r="H2931" t="s">
        <v>73</v>
      </c>
      <c r="I2931">
        <v>3</v>
      </c>
      <c r="J2931" t="s">
        <v>50</v>
      </c>
    </row>
    <row r="2932" spans="1:10" x14ac:dyDescent="0.25">
      <c r="A2932" t="s">
        <v>7355</v>
      </c>
      <c r="B2932">
        <f>2014.22450024786*(1/100/100)</f>
        <v>0.20142245002478601</v>
      </c>
      <c r="C2932">
        <v>24219</v>
      </c>
      <c r="D2932" t="s">
        <v>4973</v>
      </c>
      <c r="E2932">
        <v>32515</v>
      </c>
      <c r="F2932" t="s">
        <v>975</v>
      </c>
      <c r="G2932">
        <v>325</v>
      </c>
      <c r="H2932" t="s">
        <v>73</v>
      </c>
      <c r="I2932">
        <v>3</v>
      </c>
      <c r="J2932" t="s">
        <v>50</v>
      </c>
    </row>
    <row r="2933" spans="1:10" x14ac:dyDescent="0.25">
      <c r="A2933" t="s">
        <v>7355</v>
      </c>
      <c r="B2933">
        <f>6459.57438254648*(1/100/100)</f>
        <v>0.64595743825464802</v>
      </c>
      <c r="C2933">
        <v>24220</v>
      </c>
      <c r="D2933" t="s">
        <v>4974</v>
      </c>
      <c r="E2933">
        <v>32515</v>
      </c>
      <c r="F2933" t="s">
        <v>975</v>
      </c>
      <c r="G2933">
        <v>325</v>
      </c>
      <c r="H2933" t="s">
        <v>73</v>
      </c>
      <c r="I2933">
        <v>3</v>
      </c>
      <c r="J2933" t="s">
        <v>50</v>
      </c>
    </row>
    <row r="2934" spans="1:10" x14ac:dyDescent="0.25">
      <c r="A2934" t="s">
        <v>7355</v>
      </c>
      <c r="B2934">
        <f>6158.17770573709*(1/100/100)</f>
        <v>0.61581777057370901</v>
      </c>
      <c r="C2934">
        <v>24221</v>
      </c>
      <c r="D2934" t="s">
        <v>4963</v>
      </c>
      <c r="E2934">
        <v>32514</v>
      </c>
      <c r="F2934" t="s">
        <v>974</v>
      </c>
      <c r="G2934">
        <v>325</v>
      </c>
      <c r="H2934" t="s">
        <v>73</v>
      </c>
      <c r="I2934">
        <v>3</v>
      </c>
      <c r="J2934" t="s">
        <v>50</v>
      </c>
    </row>
    <row r="2935" spans="1:10" x14ac:dyDescent="0.25">
      <c r="A2935" t="s">
        <v>7355</v>
      </c>
      <c r="B2935">
        <f>8436.57533089225*(1/100/100)</f>
        <v>0.84365753308922509</v>
      </c>
      <c r="C2935">
        <v>24223</v>
      </c>
      <c r="D2935" t="s">
        <v>4975</v>
      </c>
      <c r="E2935">
        <v>32515</v>
      </c>
      <c r="F2935" t="s">
        <v>975</v>
      </c>
      <c r="G2935">
        <v>325</v>
      </c>
      <c r="H2935" t="s">
        <v>73</v>
      </c>
      <c r="I2935">
        <v>3</v>
      </c>
      <c r="J2935" t="s">
        <v>50</v>
      </c>
    </row>
    <row r="2936" spans="1:10" x14ac:dyDescent="0.25">
      <c r="A2936" t="s">
        <v>7355</v>
      </c>
      <c r="B2936">
        <f>73321.5004110732*(1/100/100)</f>
        <v>7.3321500411073197</v>
      </c>
      <c r="C2936">
        <v>24224</v>
      </c>
      <c r="D2936" t="s">
        <v>970</v>
      </c>
      <c r="E2936">
        <v>32506</v>
      </c>
      <c r="F2936" t="s">
        <v>970</v>
      </c>
      <c r="G2936">
        <v>325</v>
      </c>
      <c r="H2936" t="s">
        <v>73</v>
      </c>
      <c r="I2936">
        <v>3</v>
      </c>
      <c r="J2936" t="s">
        <v>50</v>
      </c>
    </row>
    <row r="2937" spans="1:10" x14ac:dyDescent="0.25">
      <c r="A2937" t="s">
        <v>7355</v>
      </c>
      <c r="B2937">
        <f>62743.8804632647*(1/100/100)</f>
        <v>6.2743880463264707</v>
      </c>
      <c r="C2937">
        <v>24225</v>
      </c>
      <c r="D2937" t="s">
        <v>3361</v>
      </c>
      <c r="E2937">
        <v>32522</v>
      </c>
      <c r="F2937" t="s">
        <v>982</v>
      </c>
      <c r="G2937">
        <v>325</v>
      </c>
      <c r="H2937" t="s">
        <v>73</v>
      </c>
      <c r="I2937">
        <v>3</v>
      </c>
      <c r="J2937" t="s">
        <v>50</v>
      </c>
    </row>
    <row r="2938" spans="1:10" x14ac:dyDescent="0.25">
      <c r="A2938" t="s">
        <v>7355</v>
      </c>
      <c r="B2938">
        <f>2935.0843028144*(1/100/100)</f>
        <v>0.29350843028144002</v>
      </c>
      <c r="C2938">
        <v>24227</v>
      </c>
      <c r="D2938" t="s">
        <v>4976</v>
      </c>
      <c r="E2938">
        <v>32515</v>
      </c>
      <c r="F2938" t="s">
        <v>975</v>
      </c>
      <c r="G2938">
        <v>325</v>
      </c>
      <c r="H2938" t="s">
        <v>73</v>
      </c>
      <c r="I2938">
        <v>3</v>
      </c>
      <c r="J2938" t="s">
        <v>50</v>
      </c>
    </row>
    <row r="2939" spans="1:10" x14ac:dyDescent="0.25">
      <c r="A2939" t="s">
        <v>7355</v>
      </c>
      <c r="B2939">
        <f>6027.54776420309*(1/100/100)</f>
        <v>0.60275477642030906</v>
      </c>
      <c r="C2939">
        <v>24228</v>
      </c>
      <c r="D2939" t="s">
        <v>5084</v>
      </c>
      <c r="E2939">
        <v>32528</v>
      </c>
      <c r="F2939" t="s">
        <v>986</v>
      </c>
      <c r="G2939">
        <v>325</v>
      </c>
      <c r="H2939" t="s">
        <v>73</v>
      </c>
      <c r="I2939">
        <v>3</v>
      </c>
      <c r="J2939" t="s">
        <v>50</v>
      </c>
    </row>
    <row r="2940" spans="1:10" x14ac:dyDescent="0.25">
      <c r="A2940" t="s">
        <v>7355</v>
      </c>
      <c r="B2940">
        <f>63407.3501123427*(1/100/100)</f>
        <v>6.34073501123427</v>
      </c>
      <c r="C2940">
        <v>24229</v>
      </c>
      <c r="D2940" t="s">
        <v>973</v>
      </c>
      <c r="E2940">
        <v>32511</v>
      </c>
      <c r="F2940" t="s">
        <v>973</v>
      </c>
      <c r="G2940">
        <v>325</v>
      </c>
      <c r="H2940" t="s">
        <v>73</v>
      </c>
      <c r="I2940">
        <v>3</v>
      </c>
      <c r="J2940" t="s">
        <v>50</v>
      </c>
    </row>
    <row r="2941" spans="1:10" x14ac:dyDescent="0.25">
      <c r="A2941" t="s">
        <v>7355</v>
      </c>
      <c r="B2941">
        <f>12458.1155437405*(1/100/100)</f>
        <v>1.24581155437405</v>
      </c>
      <c r="C2941">
        <v>24230</v>
      </c>
      <c r="D2941" t="s">
        <v>3535</v>
      </c>
      <c r="E2941">
        <v>32528</v>
      </c>
      <c r="F2941" t="s">
        <v>986</v>
      </c>
      <c r="G2941">
        <v>325</v>
      </c>
      <c r="H2941" t="s">
        <v>73</v>
      </c>
      <c r="I2941">
        <v>3</v>
      </c>
      <c r="J2941" t="s">
        <v>50</v>
      </c>
    </row>
    <row r="2942" spans="1:10" x14ac:dyDescent="0.25">
      <c r="A2942" t="s">
        <v>7355</v>
      </c>
      <c r="B2942">
        <f>17415.8526499742*(1/100/100)</f>
        <v>1.7415852649974202</v>
      </c>
      <c r="C2942">
        <v>24231</v>
      </c>
      <c r="D2942" t="s">
        <v>4977</v>
      </c>
      <c r="E2942">
        <v>32515</v>
      </c>
      <c r="F2942" t="s">
        <v>975</v>
      </c>
      <c r="G2942">
        <v>325</v>
      </c>
      <c r="H2942" t="s">
        <v>73</v>
      </c>
      <c r="I2942">
        <v>3</v>
      </c>
      <c r="J2942" t="s">
        <v>50</v>
      </c>
    </row>
    <row r="2943" spans="1:10" x14ac:dyDescent="0.25">
      <c r="A2943" t="s">
        <v>7355</v>
      </c>
      <c r="B2943">
        <f>8771.88369707267*(1/100/100)</f>
        <v>0.87718836970726699</v>
      </c>
      <c r="C2943">
        <v>24232</v>
      </c>
      <c r="D2943" t="s">
        <v>5054</v>
      </c>
      <c r="E2943">
        <v>32522</v>
      </c>
      <c r="F2943" t="s">
        <v>982</v>
      </c>
      <c r="G2943">
        <v>325</v>
      </c>
      <c r="H2943" t="s">
        <v>73</v>
      </c>
      <c r="I2943">
        <v>3</v>
      </c>
      <c r="J2943" t="s">
        <v>50</v>
      </c>
    </row>
    <row r="2944" spans="1:10" x14ac:dyDescent="0.25">
      <c r="A2944" t="s">
        <v>7355</v>
      </c>
      <c r="B2944">
        <f>5454.03559056277*(1/100/100)</f>
        <v>0.54540355905627702</v>
      </c>
      <c r="C2944">
        <v>24233</v>
      </c>
      <c r="D2944" t="s">
        <v>4978</v>
      </c>
      <c r="E2944">
        <v>32515</v>
      </c>
      <c r="F2944" t="s">
        <v>975</v>
      </c>
      <c r="G2944">
        <v>325</v>
      </c>
      <c r="H2944" t="s">
        <v>73</v>
      </c>
      <c r="I2944">
        <v>3</v>
      </c>
      <c r="J2944" t="s">
        <v>50</v>
      </c>
    </row>
    <row r="2945" spans="1:10" x14ac:dyDescent="0.25">
      <c r="A2945" t="s">
        <v>7355</v>
      </c>
      <c r="B2945">
        <f>17799.0519774535*(1/100/100)</f>
        <v>1.7799051977453499</v>
      </c>
      <c r="C2945">
        <v>24234</v>
      </c>
      <c r="D2945" t="s">
        <v>5085</v>
      </c>
      <c r="E2945">
        <v>32528</v>
      </c>
      <c r="F2945" t="s">
        <v>986</v>
      </c>
      <c r="G2945">
        <v>325</v>
      </c>
      <c r="H2945" t="s">
        <v>73</v>
      </c>
      <c r="I2945">
        <v>3</v>
      </c>
      <c r="J2945" t="s">
        <v>50</v>
      </c>
    </row>
    <row r="2946" spans="1:10" x14ac:dyDescent="0.25">
      <c r="A2946" t="s">
        <v>7355</v>
      </c>
      <c r="B2946">
        <f>7960.17522168237*(1/100/100)</f>
        <v>0.79601752216823696</v>
      </c>
      <c r="C2946">
        <v>24235</v>
      </c>
      <c r="D2946" t="s">
        <v>5019</v>
      </c>
      <c r="E2946">
        <v>32518</v>
      </c>
      <c r="F2946" t="s">
        <v>978</v>
      </c>
      <c r="G2946">
        <v>325</v>
      </c>
      <c r="H2946" t="s">
        <v>73</v>
      </c>
      <c r="I2946">
        <v>3</v>
      </c>
      <c r="J2946" t="s">
        <v>50</v>
      </c>
    </row>
    <row r="2947" spans="1:10" x14ac:dyDescent="0.25">
      <c r="A2947" t="s">
        <v>7355</v>
      </c>
      <c r="B2947">
        <f>15098.7502386401*(1/100/100)</f>
        <v>1.50987502386401</v>
      </c>
      <c r="C2947">
        <v>24236</v>
      </c>
      <c r="D2947" t="s">
        <v>4979</v>
      </c>
      <c r="E2947">
        <v>32515</v>
      </c>
      <c r="F2947" t="s">
        <v>975</v>
      </c>
      <c r="G2947">
        <v>325</v>
      </c>
      <c r="H2947" t="s">
        <v>73</v>
      </c>
      <c r="I2947">
        <v>3</v>
      </c>
      <c r="J2947" t="s">
        <v>50</v>
      </c>
    </row>
    <row r="2948" spans="1:10" x14ac:dyDescent="0.25">
      <c r="A2948" t="s">
        <v>7355</v>
      </c>
      <c r="B2948">
        <f>14499.5966402604*(1/100/100)</f>
        <v>1.4499596640260402</v>
      </c>
      <c r="C2948">
        <v>24237</v>
      </c>
      <c r="D2948" t="s">
        <v>2007</v>
      </c>
      <c r="E2948">
        <v>32528</v>
      </c>
      <c r="F2948" t="s">
        <v>986</v>
      </c>
      <c r="G2948">
        <v>325</v>
      </c>
      <c r="H2948" t="s">
        <v>73</v>
      </c>
      <c r="I2948">
        <v>3</v>
      </c>
      <c r="J2948" t="s">
        <v>50</v>
      </c>
    </row>
    <row r="2949" spans="1:10" x14ac:dyDescent="0.25">
      <c r="A2949" t="s">
        <v>7355</v>
      </c>
      <c r="B2949">
        <f>26837.7564434453*(1/100/100)</f>
        <v>2.6837756443445304</v>
      </c>
      <c r="C2949">
        <v>24238</v>
      </c>
      <c r="D2949" t="s">
        <v>2756</v>
      </c>
      <c r="E2949">
        <v>32506</v>
      </c>
      <c r="F2949" t="s">
        <v>970</v>
      </c>
      <c r="G2949">
        <v>325</v>
      </c>
      <c r="H2949" t="s">
        <v>73</v>
      </c>
      <c r="I2949">
        <v>3</v>
      </c>
      <c r="J2949" t="s">
        <v>50</v>
      </c>
    </row>
    <row r="2950" spans="1:10" x14ac:dyDescent="0.25">
      <c r="A2950" t="s">
        <v>7355</v>
      </c>
      <c r="B2950">
        <f>12789.2294713694*(1/100/100)</f>
        <v>1.2789229471369399</v>
      </c>
      <c r="C2950">
        <v>24239</v>
      </c>
      <c r="D2950" t="s">
        <v>5055</v>
      </c>
      <c r="E2950">
        <v>32522</v>
      </c>
      <c r="F2950" t="s">
        <v>982</v>
      </c>
      <c r="G2950">
        <v>325</v>
      </c>
      <c r="H2950" t="s">
        <v>73</v>
      </c>
      <c r="I2950">
        <v>3</v>
      </c>
      <c r="J2950" t="s">
        <v>50</v>
      </c>
    </row>
    <row r="2951" spans="1:10" x14ac:dyDescent="0.25">
      <c r="A2951" t="s">
        <v>7355</v>
      </c>
      <c r="B2951">
        <f>5287.72350614159*(1/100/100)</f>
        <v>0.52877235061415906</v>
      </c>
      <c r="C2951">
        <v>24240</v>
      </c>
      <c r="D2951" t="s">
        <v>4964</v>
      </c>
      <c r="E2951">
        <v>32514</v>
      </c>
      <c r="F2951" t="s">
        <v>974</v>
      </c>
      <c r="G2951">
        <v>325</v>
      </c>
      <c r="H2951" t="s">
        <v>73</v>
      </c>
      <c r="I2951">
        <v>3</v>
      </c>
      <c r="J2951" t="s">
        <v>50</v>
      </c>
    </row>
    <row r="2952" spans="1:10" x14ac:dyDescent="0.25">
      <c r="A2952" t="s">
        <v>7355</v>
      </c>
      <c r="B2952">
        <f>39016.2501357452*(1/100/100)</f>
        <v>3.9016250135745199</v>
      </c>
      <c r="C2952">
        <v>24241</v>
      </c>
      <c r="D2952" t="s">
        <v>974</v>
      </c>
      <c r="E2952">
        <v>32514</v>
      </c>
      <c r="F2952" t="s">
        <v>974</v>
      </c>
      <c r="G2952">
        <v>325</v>
      </c>
      <c r="H2952" t="s">
        <v>73</v>
      </c>
      <c r="I2952">
        <v>3</v>
      </c>
      <c r="J2952" t="s">
        <v>50</v>
      </c>
    </row>
    <row r="2953" spans="1:10" x14ac:dyDescent="0.25">
      <c r="A2953" t="s">
        <v>7355</v>
      </c>
      <c r="B2953">
        <f>14072.4169096885*(1/100/100)</f>
        <v>1.4072416909688501</v>
      </c>
      <c r="C2953">
        <v>24242</v>
      </c>
      <c r="D2953" t="s">
        <v>5011</v>
      </c>
      <c r="E2953">
        <v>32517</v>
      </c>
      <c r="F2953" t="s">
        <v>977</v>
      </c>
      <c r="G2953">
        <v>325</v>
      </c>
      <c r="H2953" t="s">
        <v>73</v>
      </c>
      <c r="I2953">
        <v>3</v>
      </c>
      <c r="J2953" t="s">
        <v>50</v>
      </c>
    </row>
    <row r="2954" spans="1:10" x14ac:dyDescent="0.25">
      <c r="A2954" t="s">
        <v>7355</v>
      </c>
      <c r="B2954">
        <f>13214.8161505729*(1/100/100)</f>
        <v>1.3214816150572901</v>
      </c>
      <c r="C2954">
        <v>24243</v>
      </c>
      <c r="D2954" t="s">
        <v>4928</v>
      </c>
      <c r="E2954">
        <v>32506</v>
      </c>
      <c r="F2954" t="s">
        <v>970</v>
      </c>
      <c r="G2954">
        <v>325</v>
      </c>
      <c r="H2954" t="s">
        <v>73</v>
      </c>
      <c r="I2954">
        <v>3</v>
      </c>
      <c r="J2954" t="s">
        <v>50</v>
      </c>
    </row>
    <row r="2955" spans="1:10" x14ac:dyDescent="0.25">
      <c r="A2955" t="s">
        <v>7355</v>
      </c>
      <c r="B2955">
        <f>13872.6056295043*(1/100/100)</f>
        <v>1.38726056295043</v>
      </c>
      <c r="C2955">
        <v>24244</v>
      </c>
      <c r="D2955" t="s">
        <v>5056</v>
      </c>
      <c r="E2955">
        <v>32522</v>
      </c>
      <c r="F2955" t="s">
        <v>982</v>
      </c>
      <c r="G2955">
        <v>325</v>
      </c>
      <c r="H2955" t="s">
        <v>73</v>
      </c>
      <c r="I2955">
        <v>3</v>
      </c>
      <c r="J2955" t="s">
        <v>50</v>
      </c>
    </row>
    <row r="2956" spans="1:10" x14ac:dyDescent="0.25">
      <c r="A2956" t="s">
        <v>7355</v>
      </c>
      <c r="B2956">
        <f>28886.8112671477*(1/100/100)</f>
        <v>2.8886811267147698</v>
      </c>
      <c r="C2956">
        <v>24245</v>
      </c>
      <c r="D2956" t="s">
        <v>4929</v>
      </c>
      <c r="E2956">
        <v>32506</v>
      </c>
      <c r="F2956" t="s">
        <v>970</v>
      </c>
      <c r="G2956">
        <v>325</v>
      </c>
      <c r="H2956" t="s">
        <v>73</v>
      </c>
      <c r="I2956">
        <v>3</v>
      </c>
      <c r="J2956" t="s">
        <v>50</v>
      </c>
    </row>
    <row r="2957" spans="1:10" x14ac:dyDescent="0.25">
      <c r="A2957" t="s">
        <v>7355</v>
      </c>
      <c r="B2957">
        <f>24706.8598396029*(1/100/100)</f>
        <v>2.4706859839602902</v>
      </c>
      <c r="C2957">
        <v>24246</v>
      </c>
      <c r="D2957" t="s">
        <v>3291</v>
      </c>
      <c r="E2957">
        <v>32517</v>
      </c>
      <c r="F2957" t="s">
        <v>977</v>
      </c>
      <c r="G2957">
        <v>325</v>
      </c>
      <c r="H2957" t="s">
        <v>73</v>
      </c>
      <c r="I2957">
        <v>3</v>
      </c>
      <c r="J2957" t="s">
        <v>50</v>
      </c>
    </row>
    <row r="2958" spans="1:10" x14ac:dyDescent="0.25">
      <c r="A2958" t="s">
        <v>7355</v>
      </c>
      <c r="B2958">
        <f>54003.6296281429*(1/100/100)</f>
        <v>5.4003629628142908</v>
      </c>
      <c r="C2958">
        <v>24248</v>
      </c>
      <c r="D2958" t="s">
        <v>4980</v>
      </c>
      <c r="E2958">
        <v>32515</v>
      </c>
      <c r="F2958" t="s">
        <v>975</v>
      </c>
      <c r="G2958">
        <v>325</v>
      </c>
      <c r="H2958" t="s">
        <v>73</v>
      </c>
      <c r="I2958">
        <v>3</v>
      </c>
      <c r="J2958" t="s">
        <v>50</v>
      </c>
    </row>
    <row r="2959" spans="1:10" x14ac:dyDescent="0.25">
      <c r="A2959" t="s">
        <v>7355</v>
      </c>
      <c r="B2959">
        <f>18571.871276609*(1/100/100)</f>
        <v>1.8571871276609</v>
      </c>
      <c r="C2959">
        <v>24249</v>
      </c>
      <c r="D2959" t="s">
        <v>976</v>
      </c>
      <c r="E2959">
        <v>32506</v>
      </c>
      <c r="F2959" t="s">
        <v>970</v>
      </c>
      <c r="G2959">
        <v>325</v>
      </c>
      <c r="H2959" t="s">
        <v>73</v>
      </c>
      <c r="I2959">
        <v>3</v>
      </c>
      <c r="J2959" t="s">
        <v>50</v>
      </c>
    </row>
    <row r="2960" spans="1:10" x14ac:dyDescent="0.25">
      <c r="A2960" t="s">
        <v>7355</v>
      </c>
      <c r="B2960">
        <f>8624.13392138914*(1/100/100)</f>
        <v>0.8624133921389141</v>
      </c>
      <c r="C2960">
        <v>24250</v>
      </c>
      <c r="D2960" t="s">
        <v>4981</v>
      </c>
      <c r="E2960">
        <v>32515</v>
      </c>
      <c r="F2960" t="s">
        <v>975</v>
      </c>
      <c r="G2960">
        <v>325</v>
      </c>
      <c r="H2960" t="s">
        <v>73</v>
      </c>
      <c r="I2960">
        <v>3</v>
      </c>
      <c r="J2960" t="s">
        <v>50</v>
      </c>
    </row>
    <row r="2961" spans="1:10" x14ac:dyDescent="0.25">
      <c r="A2961" t="s">
        <v>7355</v>
      </c>
      <c r="B2961">
        <f>26464.4267301944*(1/100/100)</f>
        <v>2.6464426730194401</v>
      </c>
      <c r="C2961">
        <v>24251</v>
      </c>
      <c r="D2961" t="s">
        <v>5065</v>
      </c>
      <c r="E2961">
        <v>32523</v>
      </c>
      <c r="F2961" t="s">
        <v>983</v>
      </c>
      <c r="G2961">
        <v>325</v>
      </c>
      <c r="H2961" t="s">
        <v>73</v>
      </c>
      <c r="I2961">
        <v>3</v>
      </c>
      <c r="J2961" t="s">
        <v>50</v>
      </c>
    </row>
    <row r="2962" spans="1:10" x14ac:dyDescent="0.25">
      <c r="A2962" t="s">
        <v>7355</v>
      </c>
      <c r="B2962">
        <f>33074.7634831344*(1/100/100)</f>
        <v>3.3074763483134397</v>
      </c>
      <c r="C2962">
        <v>24252</v>
      </c>
      <c r="D2962" t="s">
        <v>5057</v>
      </c>
      <c r="E2962">
        <v>32522</v>
      </c>
      <c r="F2962" t="s">
        <v>982</v>
      </c>
      <c r="G2962">
        <v>325</v>
      </c>
      <c r="H2962" t="s">
        <v>73</v>
      </c>
      <c r="I2962">
        <v>3</v>
      </c>
      <c r="J2962" t="s">
        <v>50</v>
      </c>
    </row>
    <row r="2963" spans="1:10" x14ac:dyDescent="0.25">
      <c r="A2963" t="s">
        <v>7355</v>
      </c>
      <c r="B2963">
        <f>79851.8752090899*(1/100/100)</f>
        <v>7.9851875209089913</v>
      </c>
      <c r="C2963">
        <v>24253</v>
      </c>
      <c r="D2963" t="s">
        <v>977</v>
      </c>
      <c r="E2963">
        <v>32517</v>
      </c>
      <c r="F2963" t="s">
        <v>977</v>
      </c>
      <c r="G2963">
        <v>325</v>
      </c>
      <c r="H2963" t="s">
        <v>73</v>
      </c>
      <c r="I2963">
        <v>3</v>
      </c>
      <c r="J2963" t="s">
        <v>50</v>
      </c>
    </row>
    <row r="2964" spans="1:10" x14ac:dyDescent="0.25">
      <c r="A2964" t="s">
        <v>7355</v>
      </c>
      <c r="B2964">
        <f>6569.83258156646*(1/100/100)</f>
        <v>0.65698325815664604</v>
      </c>
      <c r="C2964">
        <v>24254</v>
      </c>
      <c r="D2964" t="s">
        <v>4965</v>
      </c>
      <c r="E2964">
        <v>32514</v>
      </c>
      <c r="F2964" t="s">
        <v>974</v>
      </c>
      <c r="G2964">
        <v>325</v>
      </c>
      <c r="H2964" t="s">
        <v>73</v>
      </c>
      <c r="I2964">
        <v>3</v>
      </c>
      <c r="J2964" t="s">
        <v>50</v>
      </c>
    </row>
    <row r="2965" spans="1:10" x14ac:dyDescent="0.25">
      <c r="A2965" t="s">
        <v>7355</v>
      </c>
      <c r="B2965">
        <f>11718.354492317*(1/100/100)</f>
        <v>1.1718354492317</v>
      </c>
      <c r="C2965">
        <v>24255</v>
      </c>
      <c r="D2965" t="s">
        <v>3121</v>
      </c>
      <c r="E2965">
        <v>32517</v>
      </c>
      <c r="F2965" t="s">
        <v>977</v>
      </c>
      <c r="G2965">
        <v>325</v>
      </c>
      <c r="H2965" t="s">
        <v>73</v>
      </c>
      <c r="I2965">
        <v>3</v>
      </c>
      <c r="J2965" t="s">
        <v>50</v>
      </c>
    </row>
    <row r="2966" spans="1:10" x14ac:dyDescent="0.25">
      <c r="A2966" t="s">
        <v>7355</v>
      </c>
      <c r="B2966">
        <f>17094.4307656042*(1/100/100)</f>
        <v>1.70944307656042</v>
      </c>
      <c r="C2966">
        <v>24256</v>
      </c>
      <c r="D2966" t="s">
        <v>5086</v>
      </c>
      <c r="E2966">
        <v>32528</v>
      </c>
      <c r="F2966" t="s">
        <v>986</v>
      </c>
      <c r="G2966">
        <v>325</v>
      </c>
      <c r="H2966" t="s">
        <v>73</v>
      </c>
      <c r="I2966">
        <v>3</v>
      </c>
      <c r="J2966" t="s">
        <v>50</v>
      </c>
    </row>
    <row r="2967" spans="1:10" x14ac:dyDescent="0.25">
      <c r="A2967" t="s">
        <v>7355</v>
      </c>
      <c r="B2967">
        <f>41691.4045242485*(1/100/100)</f>
        <v>4.1691404524248501</v>
      </c>
      <c r="C2967">
        <v>24257</v>
      </c>
      <c r="D2967" t="s">
        <v>5058</v>
      </c>
      <c r="E2967">
        <v>32522</v>
      </c>
      <c r="F2967" t="s">
        <v>982</v>
      </c>
      <c r="G2967">
        <v>325</v>
      </c>
      <c r="H2967" t="s">
        <v>73</v>
      </c>
      <c r="I2967">
        <v>3</v>
      </c>
      <c r="J2967" t="s">
        <v>50</v>
      </c>
    </row>
    <row r="2968" spans="1:10" x14ac:dyDescent="0.25">
      <c r="A2968" t="s">
        <v>7355</v>
      </c>
      <c r="B2968">
        <f>14136.5864101199*(1/100/100)</f>
        <v>1.41365864101199</v>
      </c>
      <c r="C2968">
        <v>24258</v>
      </c>
      <c r="D2968" t="s">
        <v>4017</v>
      </c>
      <c r="E2968">
        <v>32515</v>
      </c>
      <c r="F2968" t="s">
        <v>975</v>
      </c>
      <c r="G2968">
        <v>325</v>
      </c>
      <c r="H2968" t="s">
        <v>73</v>
      </c>
      <c r="I2968">
        <v>3</v>
      </c>
      <c r="J2968" t="s">
        <v>50</v>
      </c>
    </row>
    <row r="2969" spans="1:10" x14ac:dyDescent="0.25">
      <c r="A2969" t="s">
        <v>7355</v>
      </c>
      <c r="B2969">
        <f>25224.9830068594*(1/100/100)</f>
        <v>2.5224983006859398</v>
      </c>
      <c r="C2969">
        <v>24259</v>
      </c>
      <c r="D2969" t="s">
        <v>3228</v>
      </c>
      <c r="E2969">
        <v>32518</v>
      </c>
      <c r="F2969" t="s">
        <v>978</v>
      </c>
      <c r="G2969">
        <v>325</v>
      </c>
      <c r="H2969" t="s">
        <v>73</v>
      </c>
      <c r="I2969">
        <v>3</v>
      </c>
      <c r="J2969" t="s">
        <v>50</v>
      </c>
    </row>
    <row r="2970" spans="1:10" x14ac:dyDescent="0.25">
      <c r="A2970" t="s">
        <v>7355</v>
      </c>
      <c r="B2970">
        <f>18376.4776796162*(1/100/100)</f>
        <v>1.8376477679616201</v>
      </c>
      <c r="C2970">
        <v>24260</v>
      </c>
      <c r="D2970" t="s">
        <v>4890</v>
      </c>
      <c r="E2970">
        <v>32517</v>
      </c>
      <c r="F2970" t="s">
        <v>977</v>
      </c>
      <c r="G2970">
        <v>325</v>
      </c>
      <c r="H2970" t="s">
        <v>73</v>
      </c>
      <c r="I2970">
        <v>3</v>
      </c>
      <c r="J2970" t="s">
        <v>50</v>
      </c>
    </row>
    <row r="2971" spans="1:10" x14ac:dyDescent="0.25">
      <c r="A2971" t="s">
        <v>7355</v>
      </c>
      <c r="B2971">
        <f>130192.304190383*(1/100/100)</f>
        <v>13.019230419038301</v>
      </c>
      <c r="C2971">
        <v>24261</v>
      </c>
      <c r="D2971" t="s">
        <v>978</v>
      </c>
      <c r="E2971">
        <v>32518</v>
      </c>
      <c r="F2971" t="s">
        <v>978</v>
      </c>
      <c r="G2971">
        <v>325</v>
      </c>
      <c r="H2971" t="s">
        <v>73</v>
      </c>
      <c r="I2971">
        <v>3</v>
      </c>
      <c r="J2971" t="s">
        <v>50</v>
      </c>
    </row>
    <row r="2972" spans="1:10" x14ac:dyDescent="0.25">
      <c r="A2972" t="s">
        <v>7355</v>
      </c>
      <c r="B2972">
        <f>6615.61004847044*(1/100/100)</f>
        <v>0.66156100484704405</v>
      </c>
      <c r="C2972">
        <v>24262</v>
      </c>
      <c r="D2972" t="s">
        <v>4782</v>
      </c>
      <c r="E2972">
        <v>32515</v>
      </c>
      <c r="F2972" t="s">
        <v>975</v>
      </c>
      <c r="G2972">
        <v>325</v>
      </c>
      <c r="H2972" t="s">
        <v>73</v>
      </c>
      <c r="I2972">
        <v>3</v>
      </c>
      <c r="J2972" t="s">
        <v>50</v>
      </c>
    </row>
    <row r="2973" spans="1:10" x14ac:dyDescent="0.25">
      <c r="A2973" t="s">
        <v>7355</v>
      </c>
      <c r="B2973">
        <f>9845.79333371028*(1/100/100)</f>
        <v>0.9845793333710281</v>
      </c>
      <c r="C2973">
        <v>24263</v>
      </c>
      <c r="D2973" t="s">
        <v>5087</v>
      </c>
      <c r="E2973">
        <v>32528</v>
      </c>
      <c r="F2973" t="s">
        <v>986</v>
      </c>
      <c r="G2973">
        <v>325</v>
      </c>
      <c r="H2973" t="s">
        <v>73</v>
      </c>
      <c r="I2973">
        <v>3</v>
      </c>
      <c r="J2973" t="s">
        <v>50</v>
      </c>
    </row>
    <row r="2974" spans="1:10" x14ac:dyDescent="0.25">
      <c r="A2974" t="s">
        <v>7355</v>
      </c>
      <c r="B2974">
        <f>11809.529704979*(1/100/100)</f>
        <v>1.1809529704979</v>
      </c>
      <c r="C2974">
        <v>24264</v>
      </c>
      <c r="D2974" t="s">
        <v>4772</v>
      </c>
      <c r="E2974">
        <v>32514</v>
      </c>
      <c r="F2974" t="s">
        <v>974</v>
      </c>
      <c r="G2974">
        <v>325</v>
      </c>
      <c r="H2974" t="s">
        <v>73</v>
      </c>
      <c r="I2974">
        <v>3</v>
      </c>
      <c r="J2974" t="s">
        <v>50</v>
      </c>
    </row>
    <row r="2975" spans="1:10" x14ac:dyDescent="0.25">
      <c r="A2975" t="s">
        <v>7355</v>
      </c>
      <c r="B2975">
        <f>6372.97140327369*(1/100/100)</f>
        <v>0.63729714032736906</v>
      </c>
      <c r="C2975">
        <v>24265</v>
      </c>
      <c r="D2975" t="s">
        <v>4982</v>
      </c>
      <c r="E2975">
        <v>32515</v>
      </c>
      <c r="F2975" t="s">
        <v>975</v>
      </c>
      <c r="G2975">
        <v>325</v>
      </c>
      <c r="H2975" t="s">
        <v>73</v>
      </c>
      <c r="I2975">
        <v>3</v>
      </c>
      <c r="J2975" t="s">
        <v>50</v>
      </c>
    </row>
    <row r="2976" spans="1:10" x14ac:dyDescent="0.25">
      <c r="A2976" t="s">
        <v>7355</v>
      </c>
      <c r="B2976">
        <f>31115.3931383645*(1/100/100)</f>
        <v>3.1115393138364502</v>
      </c>
      <c r="C2976">
        <v>24266</v>
      </c>
      <c r="D2976" t="s">
        <v>4983</v>
      </c>
      <c r="E2976">
        <v>32515</v>
      </c>
      <c r="F2976" t="s">
        <v>975</v>
      </c>
      <c r="G2976">
        <v>325</v>
      </c>
      <c r="H2976" t="s">
        <v>73</v>
      </c>
      <c r="I2976">
        <v>3</v>
      </c>
      <c r="J2976" t="s">
        <v>50</v>
      </c>
    </row>
    <row r="2977" spans="1:10" x14ac:dyDescent="0.25">
      <c r="A2977" t="s">
        <v>7355</v>
      </c>
      <c r="B2977">
        <f>8442.09626923899*(1/100/100)</f>
        <v>0.844209626923899</v>
      </c>
      <c r="C2977">
        <v>24267</v>
      </c>
      <c r="D2977" t="s">
        <v>5059</v>
      </c>
      <c r="E2977">
        <v>32522</v>
      </c>
      <c r="F2977" t="s">
        <v>982</v>
      </c>
      <c r="G2977">
        <v>325</v>
      </c>
      <c r="H2977" t="s">
        <v>73</v>
      </c>
      <c r="I2977">
        <v>3</v>
      </c>
      <c r="J2977" t="s">
        <v>50</v>
      </c>
    </row>
    <row r="2978" spans="1:10" x14ac:dyDescent="0.25">
      <c r="A2978" t="s">
        <v>7355</v>
      </c>
      <c r="B2978">
        <f>7706.26489434007*(1/100/100)</f>
        <v>0.77062648943400702</v>
      </c>
      <c r="C2978">
        <v>24268</v>
      </c>
      <c r="D2978" t="s">
        <v>4984</v>
      </c>
      <c r="E2978">
        <v>32515</v>
      </c>
      <c r="F2978" t="s">
        <v>975</v>
      </c>
      <c r="G2978">
        <v>325</v>
      </c>
      <c r="H2978" t="s">
        <v>73</v>
      </c>
      <c r="I2978">
        <v>3</v>
      </c>
      <c r="J2978" t="s">
        <v>50</v>
      </c>
    </row>
    <row r="2979" spans="1:10" x14ac:dyDescent="0.25">
      <c r="A2979" t="s">
        <v>7355</v>
      </c>
      <c r="B2979">
        <f>15821.9064109062*(1/100/100)</f>
        <v>1.5821906410906201</v>
      </c>
      <c r="C2979">
        <v>24269</v>
      </c>
      <c r="D2979" t="s">
        <v>5012</v>
      </c>
      <c r="E2979">
        <v>32517</v>
      </c>
      <c r="F2979" t="s">
        <v>977</v>
      </c>
      <c r="G2979">
        <v>325</v>
      </c>
      <c r="H2979" t="s">
        <v>73</v>
      </c>
      <c r="I2979">
        <v>3</v>
      </c>
      <c r="J2979" t="s">
        <v>50</v>
      </c>
    </row>
    <row r="2980" spans="1:10" x14ac:dyDescent="0.25">
      <c r="A2980" t="s">
        <v>7355</v>
      </c>
      <c r="B2980">
        <f>4225.21491157592*(1/100/100)</f>
        <v>0.42252149115759202</v>
      </c>
      <c r="C2980">
        <v>24270</v>
      </c>
      <c r="D2980" t="s">
        <v>4985</v>
      </c>
      <c r="E2980">
        <v>32515</v>
      </c>
      <c r="F2980" t="s">
        <v>975</v>
      </c>
      <c r="G2980">
        <v>325</v>
      </c>
      <c r="H2980" t="s">
        <v>73</v>
      </c>
      <c r="I2980">
        <v>3</v>
      </c>
      <c r="J2980" t="s">
        <v>50</v>
      </c>
    </row>
    <row r="2981" spans="1:10" x14ac:dyDescent="0.25">
      <c r="A2981" t="s">
        <v>7355</v>
      </c>
      <c r="B2981">
        <f>15521.7824570641*(1/100/100)</f>
        <v>1.5521782457064102</v>
      </c>
      <c r="C2981">
        <v>24271</v>
      </c>
      <c r="D2981" t="s">
        <v>4966</v>
      </c>
      <c r="E2981">
        <v>32514</v>
      </c>
      <c r="F2981" t="s">
        <v>974</v>
      </c>
      <c r="G2981">
        <v>325</v>
      </c>
      <c r="H2981" t="s">
        <v>73</v>
      </c>
      <c r="I2981">
        <v>3</v>
      </c>
      <c r="J2981" t="s">
        <v>50</v>
      </c>
    </row>
    <row r="2982" spans="1:10" x14ac:dyDescent="0.25">
      <c r="A2982" t="s">
        <v>7355</v>
      </c>
      <c r="B2982">
        <f>5471.22282820363*(1/100/100)</f>
        <v>0.54712228282036302</v>
      </c>
      <c r="C2982">
        <v>24272</v>
      </c>
      <c r="D2982" t="s">
        <v>4986</v>
      </c>
      <c r="E2982">
        <v>32515</v>
      </c>
      <c r="F2982" t="s">
        <v>975</v>
      </c>
      <c r="G2982">
        <v>325</v>
      </c>
      <c r="H2982" t="s">
        <v>73</v>
      </c>
      <c r="I2982">
        <v>3</v>
      </c>
      <c r="J2982" t="s">
        <v>50</v>
      </c>
    </row>
    <row r="2983" spans="1:10" x14ac:dyDescent="0.25">
      <c r="A2983" t="s">
        <v>7355</v>
      </c>
      <c r="B2983">
        <f>63400.2170018124*(1/100/100)</f>
        <v>6.3400217001812402</v>
      </c>
      <c r="C2983">
        <v>24273</v>
      </c>
      <c r="D2983" t="s">
        <v>982</v>
      </c>
      <c r="E2983">
        <v>32522</v>
      </c>
      <c r="F2983" t="s">
        <v>982</v>
      </c>
      <c r="G2983">
        <v>325</v>
      </c>
      <c r="H2983" t="s">
        <v>73</v>
      </c>
      <c r="I2983">
        <v>3</v>
      </c>
      <c r="J2983" t="s">
        <v>50</v>
      </c>
    </row>
    <row r="2984" spans="1:10" x14ac:dyDescent="0.25">
      <c r="A2984" t="s">
        <v>7355</v>
      </c>
      <c r="B2984">
        <f>20546.7435637466*(1/100/100)</f>
        <v>2.0546743563746603</v>
      </c>
      <c r="C2984">
        <v>24274</v>
      </c>
      <c r="D2984" t="s">
        <v>4930</v>
      </c>
      <c r="E2984">
        <v>32506</v>
      </c>
      <c r="F2984" t="s">
        <v>970</v>
      </c>
      <c r="G2984">
        <v>325</v>
      </c>
      <c r="H2984" t="s">
        <v>73</v>
      </c>
      <c r="I2984">
        <v>3</v>
      </c>
      <c r="J2984" t="s">
        <v>50</v>
      </c>
    </row>
    <row r="2985" spans="1:10" x14ac:dyDescent="0.25">
      <c r="A2985" t="s">
        <v>7355</v>
      </c>
      <c r="B2985">
        <f>26107.5002738273*(1/100/100)</f>
        <v>2.6107500273827302</v>
      </c>
      <c r="C2985">
        <v>24275</v>
      </c>
      <c r="D2985" t="s">
        <v>4967</v>
      </c>
      <c r="E2985">
        <v>32514</v>
      </c>
      <c r="F2985" t="s">
        <v>974</v>
      </c>
      <c r="G2985">
        <v>325</v>
      </c>
      <c r="H2985" t="s">
        <v>73</v>
      </c>
      <c r="I2985">
        <v>3</v>
      </c>
      <c r="J2985" t="s">
        <v>50</v>
      </c>
    </row>
    <row r="2986" spans="1:10" x14ac:dyDescent="0.25">
      <c r="A2986" t="s">
        <v>7355</v>
      </c>
      <c r="B2986">
        <f>18626.5122514885*(1/100/100)</f>
        <v>1.8626512251488501</v>
      </c>
      <c r="C2986">
        <v>24276</v>
      </c>
      <c r="D2986" t="s">
        <v>4968</v>
      </c>
      <c r="E2986">
        <v>32514</v>
      </c>
      <c r="F2986" t="s">
        <v>974</v>
      </c>
      <c r="G2986">
        <v>325</v>
      </c>
      <c r="H2986" t="s">
        <v>73</v>
      </c>
      <c r="I2986">
        <v>3</v>
      </c>
      <c r="J2986" t="s">
        <v>50</v>
      </c>
    </row>
    <row r="2987" spans="1:10" x14ac:dyDescent="0.25">
      <c r="A2987" t="s">
        <v>7355</v>
      </c>
      <c r="B2987">
        <f>15297.7621678568*(1/100/100)</f>
        <v>1.5297762167856801</v>
      </c>
      <c r="C2987">
        <v>24277</v>
      </c>
      <c r="D2987" t="s">
        <v>5088</v>
      </c>
      <c r="E2987">
        <v>32528</v>
      </c>
      <c r="F2987" t="s">
        <v>986</v>
      </c>
      <c r="G2987">
        <v>325</v>
      </c>
      <c r="H2987" t="s">
        <v>73</v>
      </c>
      <c r="I2987">
        <v>3</v>
      </c>
      <c r="J2987" t="s">
        <v>50</v>
      </c>
    </row>
    <row r="2988" spans="1:10" x14ac:dyDescent="0.25">
      <c r="A2988" t="s">
        <v>7355</v>
      </c>
      <c r="B2988">
        <f>77365.1939795889*(1/100/100)</f>
        <v>7.7365193979588911</v>
      </c>
      <c r="C2988">
        <v>24278</v>
      </c>
      <c r="D2988" t="s">
        <v>983</v>
      </c>
      <c r="E2988">
        <v>32523</v>
      </c>
      <c r="F2988" t="s">
        <v>983</v>
      </c>
      <c r="G2988">
        <v>325</v>
      </c>
      <c r="H2988" t="s">
        <v>73</v>
      </c>
      <c r="I2988">
        <v>3</v>
      </c>
      <c r="J2988" t="s">
        <v>50</v>
      </c>
    </row>
    <row r="2989" spans="1:10" x14ac:dyDescent="0.25">
      <c r="A2989" t="s">
        <v>7355</v>
      </c>
      <c r="B2989">
        <f>7102.42261216646*(1/100/100)</f>
        <v>0.71024226121664602</v>
      </c>
      <c r="C2989">
        <v>24279</v>
      </c>
      <c r="D2989" t="s">
        <v>4987</v>
      </c>
      <c r="E2989">
        <v>32515</v>
      </c>
      <c r="F2989" t="s">
        <v>975</v>
      </c>
      <c r="G2989">
        <v>325</v>
      </c>
      <c r="H2989" t="s">
        <v>73</v>
      </c>
      <c r="I2989">
        <v>3</v>
      </c>
      <c r="J2989" t="s">
        <v>50</v>
      </c>
    </row>
    <row r="2990" spans="1:10" x14ac:dyDescent="0.25">
      <c r="A2990" t="s">
        <v>7355</v>
      </c>
      <c r="B2990">
        <f>21662.534043316*(1/100/100)</f>
        <v>2.1662534043316004</v>
      </c>
      <c r="C2990">
        <v>24280</v>
      </c>
      <c r="D2990" t="s">
        <v>1687</v>
      </c>
      <c r="E2990">
        <v>32528</v>
      </c>
      <c r="F2990" t="s">
        <v>986</v>
      </c>
      <c r="G2990">
        <v>325</v>
      </c>
      <c r="H2990" t="s">
        <v>73</v>
      </c>
      <c r="I2990">
        <v>3</v>
      </c>
      <c r="J2990" t="s">
        <v>50</v>
      </c>
    </row>
    <row r="2991" spans="1:10" x14ac:dyDescent="0.25">
      <c r="A2991" t="s">
        <v>7355</v>
      </c>
      <c r="B2991">
        <f>12308.5789693432*(1/100/100)</f>
        <v>1.23085789693432</v>
      </c>
      <c r="C2991">
        <v>24281</v>
      </c>
      <c r="D2991" t="s">
        <v>5060</v>
      </c>
      <c r="E2991">
        <v>32522</v>
      </c>
      <c r="F2991" t="s">
        <v>982</v>
      </c>
      <c r="G2991">
        <v>325</v>
      </c>
      <c r="H2991" t="s">
        <v>73</v>
      </c>
      <c r="I2991">
        <v>3</v>
      </c>
      <c r="J2991" t="s">
        <v>50</v>
      </c>
    </row>
    <row r="2992" spans="1:10" x14ac:dyDescent="0.25">
      <c r="A2992" t="s">
        <v>7355</v>
      </c>
      <c r="B2992">
        <f>21813.1084303524*(1/100/100)</f>
        <v>2.1813108430352401</v>
      </c>
      <c r="C2992">
        <v>24282</v>
      </c>
      <c r="D2992" t="s">
        <v>2316</v>
      </c>
      <c r="E2992">
        <v>32528</v>
      </c>
      <c r="F2992" t="s">
        <v>986</v>
      </c>
      <c r="G2992">
        <v>325</v>
      </c>
      <c r="H2992" t="s">
        <v>73</v>
      </c>
      <c r="I2992">
        <v>3</v>
      </c>
      <c r="J2992" t="s">
        <v>50</v>
      </c>
    </row>
    <row r="2993" spans="1:10" x14ac:dyDescent="0.25">
      <c r="A2993" t="s">
        <v>7355</v>
      </c>
      <c r="B2993">
        <f>7733.75359331729*(1/100/100)</f>
        <v>0.77337535933172907</v>
      </c>
      <c r="C2993">
        <v>24283</v>
      </c>
      <c r="D2993" t="s">
        <v>4988</v>
      </c>
      <c r="E2993">
        <v>32515</v>
      </c>
      <c r="F2993" t="s">
        <v>975</v>
      </c>
      <c r="G2993">
        <v>325</v>
      </c>
      <c r="H2993" t="s">
        <v>73</v>
      </c>
      <c r="I2993">
        <v>3</v>
      </c>
      <c r="J2993" t="s">
        <v>50</v>
      </c>
    </row>
    <row r="2994" spans="1:10" x14ac:dyDescent="0.25">
      <c r="A2994" t="s">
        <v>7355</v>
      </c>
      <c r="B2994">
        <f>15086.7525765991*(1/100/100)</f>
        <v>1.5086752576599101</v>
      </c>
      <c r="C2994">
        <v>24284</v>
      </c>
      <c r="D2994" t="s">
        <v>5013</v>
      </c>
      <c r="E2994">
        <v>32517</v>
      </c>
      <c r="F2994" t="s">
        <v>977</v>
      </c>
      <c r="G2994">
        <v>325</v>
      </c>
      <c r="H2994" t="s">
        <v>73</v>
      </c>
      <c r="I2994">
        <v>3</v>
      </c>
      <c r="J2994" t="s">
        <v>50</v>
      </c>
    </row>
    <row r="2995" spans="1:10" x14ac:dyDescent="0.25">
      <c r="A2995" t="s">
        <v>7355</v>
      </c>
      <c r="B2995">
        <f>49589.9411280955*(1/100/100)</f>
        <v>4.9589941128095507</v>
      </c>
      <c r="C2995">
        <v>24285</v>
      </c>
      <c r="D2995" t="s">
        <v>5089</v>
      </c>
      <c r="E2995">
        <v>32528</v>
      </c>
      <c r="F2995" t="s">
        <v>986</v>
      </c>
      <c r="G2995">
        <v>325</v>
      </c>
      <c r="H2995" t="s">
        <v>73</v>
      </c>
      <c r="I2995">
        <v>3</v>
      </c>
      <c r="J2995" t="s">
        <v>50</v>
      </c>
    </row>
    <row r="2996" spans="1:10" x14ac:dyDescent="0.25">
      <c r="A2996" t="s">
        <v>7355</v>
      </c>
      <c r="B2996">
        <f>23610.4388063605*(1/100/100)</f>
        <v>2.3610438806360503</v>
      </c>
      <c r="C2996">
        <v>24286</v>
      </c>
      <c r="D2996" t="s">
        <v>5014</v>
      </c>
      <c r="E2996">
        <v>32517</v>
      </c>
      <c r="F2996" t="s">
        <v>977</v>
      </c>
      <c r="G2996">
        <v>325</v>
      </c>
      <c r="H2996" t="s">
        <v>73</v>
      </c>
      <c r="I2996">
        <v>3</v>
      </c>
      <c r="J2996" t="s">
        <v>50</v>
      </c>
    </row>
    <row r="2997" spans="1:10" x14ac:dyDescent="0.25">
      <c r="A2997" t="s">
        <v>7355</v>
      </c>
      <c r="B2997">
        <f>10466.6093439398*(1/100/100)</f>
        <v>1.0466609343939799</v>
      </c>
      <c r="C2997">
        <v>24287</v>
      </c>
      <c r="D2997" t="s">
        <v>4989</v>
      </c>
      <c r="E2997">
        <v>32515</v>
      </c>
      <c r="F2997" t="s">
        <v>975</v>
      </c>
      <c r="G2997">
        <v>325</v>
      </c>
      <c r="H2997" t="s">
        <v>73</v>
      </c>
      <c r="I2997">
        <v>3</v>
      </c>
      <c r="J2997" t="s">
        <v>50</v>
      </c>
    </row>
    <row r="2998" spans="1:10" x14ac:dyDescent="0.25">
      <c r="A2998" t="s">
        <v>7355</v>
      </c>
      <c r="B2998">
        <f>28119.7491272475*(1/100/100)</f>
        <v>2.8119749127247502</v>
      </c>
      <c r="C2998">
        <v>24288</v>
      </c>
      <c r="D2998" t="s">
        <v>4990</v>
      </c>
      <c r="E2998">
        <v>32515</v>
      </c>
      <c r="F2998" t="s">
        <v>975</v>
      </c>
      <c r="G2998">
        <v>325</v>
      </c>
      <c r="H2998" t="s">
        <v>73</v>
      </c>
      <c r="I2998">
        <v>3</v>
      </c>
      <c r="J2998" t="s">
        <v>50</v>
      </c>
    </row>
    <row r="2999" spans="1:10" x14ac:dyDescent="0.25">
      <c r="A2999" t="s">
        <v>7355</v>
      </c>
      <c r="B2999">
        <f>21773.3025362236*(1/100/100)</f>
        <v>2.17733025362236</v>
      </c>
      <c r="C2999">
        <v>24289</v>
      </c>
      <c r="D2999" t="s">
        <v>5061</v>
      </c>
      <c r="E2999">
        <v>32522</v>
      </c>
      <c r="F2999" t="s">
        <v>982</v>
      </c>
      <c r="G2999">
        <v>325</v>
      </c>
      <c r="H2999" t="s">
        <v>73</v>
      </c>
      <c r="I2999">
        <v>3</v>
      </c>
      <c r="J2999" t="s">
        <v>50</v>
      </c>
    </row>
    <row r="3000" spans="1:10" x14ac:dyDescent="0.25">
      <c r="A3000" t="s">
        <v>7355</v>
      </c>
      <c r="B3000">
        <f>9619.63345138991*(1/100/100)</f>
        <v>0.96196334513899096</v>
      </c>
      <c r="C3000">
        <v>24290</v>
      </c>
      <c r="D3000" t="s">
        <v>4398</v>
      </c>
      <c r="E3000">
        <v>32517</v>
      </c>
      <c r="F3000" t="s">
        <v>977</v>
      </c>
      <c r="G3000">
        <v>325</v>
      </c>
      <c r="H3000" t="s">
        <v>73</v>
      </c>
      <c r="I3000">
        <v>3</v>
      </c>
      <c r="J3000" t="s">
        <v>50</v>
      </c>
    </row>
    <row r="3001" spans="1:10" x14ac:dyDescent="0.25">
      <c r="A3001" t="s">
        <v>7355</v>
      </c>
      <c r="B3001">
        <f>7135.94811155385*(1/100/100)</f>
        <v>0.71359481115538503</v>
      </c>
      <c r="C3001">
        <v>24291</v>
      </c>
      <c r="D3001" t="s">
        <v>3340</v>
      </c>
      <c r="E3001">
        <v>32528</v>
      </c>
      <c r="F3001" t="s">
        <v>986</v>
      </c>
      <c r="G3001">
        <v>325</v>
      </c>
      <c r="H3001" t="s">
        <v>73</v>
      </c>
      <c r="I3001">
        <v>3</v>
      </c>
      <c r="J3001" t="s">
        <v>50</v>
      </c>
    </row>
    <row r="3002" spans="1:10" x14ac:dyDescent="0.25">
      <c r="A3002" t="s">
        <v>7355</v>
      </c>
      <c r="B3002">
        <f>10732.9208229999*(1/100/100)</f>
        <v>1.0732920822999901</v>
      </c>
      <c r="C3002">
        <v>24292</v>
      </c>
      <c r="D3002" t="s">
        <v>4991</v>
      </c>
      <c r="E3002">
        <v>32515</v>
      </c>
      <c r="F3002" t="s">
        <v>975</v>
      </c>
      <c r="G3002">
        <v>325</v>
      </c>
      <c r="H3002" t="s">
        <v>73</v>
      </c>
      <c r="I3002">
        <v>3</v>
      </c>
      <c r="J3002" t="s">
        <v>50</v>
      </c>
    </row>
    <row r="3003" spans="1:10" x14ac:dyDescent="0.25">
      <c r="A3003" t="s">
        <v>7355</v>
      </c>
      <c r="B3003">
        <f>9978.17043659152*(1/100/100)</f>
        <v>0.99781704365915203</v>
      </c>
      <c r="C3003">
        <v>24293</v>
      </c>
      <c r="D3003" t="s">
        <v>5015</v>
      </c>
      <c r="E3003">
        <v>32517</v>
      </c>
      <c r="F3003" t="s">
        <v>977</v>
      </c>
      <c r="G3003">
        <v>325</v>
      </c>
      <c r="H3003" t="s">
        <v>73</v>
      </c>
      <c r="I3003">
        <v>3</v>
      </c>
      <c r="J3003" t="s">
        <v>50</v>
      </c>
    </row>
    <row r="3004" spans="1:10" x14ac:dyDescent="0.25">
      <c r="A3004" t="s">
        <v>7355</v>
      </c>
      <c r="B3004">
        <f>8790.10205965303*(1/100/100)</f>
        <v>0.8790102059653031</v>
      </c>
      <c r="C3004">
        <v>24294</v>
      </c>
      <c r="D3004" t="s">
        <v>5016</v>
      </c>
      <c r="E3004">
        <v>32517</v>
      </c>
      <c r="F3004" t="s">
        <v>977</v>
      </c>
      <c r="G3004">
        <v>325</v>
      </c>
      <c r="H3004" t="s">
        <v>73</v>
      </c>
      <c r="I3004">
        <v>3</v>
      </c>
      <c r="J3004" t="s">
        <v>50</v>
      </c>
    </row>
    <row r="3005" spans="1:10" x14ac:dyDescent="0.25">
      <c r="A3005" t="s">
        <v>7355</v>
      </c>
      <c r="B3005">
        <f>10701.2808938141*(1/100/100)</f>
        <v>1.07012808938141</v>
      </c>
      <c r="C3005">
        <v>24295</v>
      </c>
      <c r="D3005" t="s">
        <v>3257</v>
      </c>
      <c r="E3005">
        <v>32506</v>
      </c>
      <c r="F3005" t="s">
        <v>970</v>
      </c>
      <c r="G3005">
        <v>325</v>
      </c>
      <c r="H3005" t="s">
        <v>73</v>
      </c>
      <c r="I3005">
        <v>3</v>
      </c>
      <c r="J3005" t="s">
        <v>50</v>
      </c>
    </row>
    <row r="3006" spans="1:10" x14ac:dyDescent="0.25">
      <c r="A3006" t="s">
        <v>7355</v>
      </c>
      <c r="B3006">
        <f>1767.9509392083*(1/100/100)</f>
        <v>0.17679509392083001</v>
      </c>
      <c r="C3006">
        <v>24296</v>
      </c>
      <c r="D3006" t="s">
        <v>4992</v>
      </c>
      <c r="E3006">
        <v>32515</v>
      </c>
      <c r="F3006" t="s">
        <v>975</v>
      </c>
      <c r="G3006">
        <v>325</v>
      </c>
      <c r="H3006" t="s">
        <v>73</v>
      </c>
      <c r="I3006">
        <v>3</v>
      </c>
      <c r="J3006" t="s">
        <v>50</v>
      </c>
    </row>
    <row r="3007" spans="1:10" x14ac:dyDescent="0.25">
      <c r="A3007" t="s">
        <v>7355</v>
      </c>
      <c r="B3007">
        <f>3974.91533548342*(1/100/100)</f>
        <v>0.39749153354834205</v>
      </c>
      <c r="C3007">
        <v>24297</v>
      </c>
      <c r="D3007" t="s">
        <v>4993</v>
      </c>
      <c r="E3007">
        <v>32515</v>
      </c>
      <c r="F3007" t="s">
        <v>975</v>
      </c>
      <c r="G3007">
        <v>325</v>
      </c>
      <c r="H3007" t="s">
        <v>73</v>
      </c>
      <c r="I3007">
        <v>3</v>
      </c>
      <c r="J3007" t="s">
        <v>50</v>
      </c>
    </row>
    <row r="3008" spans="1:10" x14ac:dyDescent="0.25">
      <c r="A3008" t="s">
        <v>7355</v>
      </c>
      <c r="B3008">
        <f>13119.0487576632*(1/100/100)</f>
        <v>1.3119048757663201</v>
      </c>
      <c r="C3008">
        <v>24298</v>
      </c>
      <c r="D3008" t="s">
        <v>4994</v>
      </c>
      <c r="E3008">
        <v>32515</v>
      </c>
      <c r="F3008" t="s">
        <v>975</v>
      </c>
      <c r="G3008">
        <v>325</v>
      </c>
      <c r="H3008" t="s">
        <v>73</v>
      </c>
      <c r="I3008">
        <v>3</v>
      </c>
      <c r="J3008" t="s">
        <v>50</v>
      </c>
    </row>
    <row r="3009" spans="1:10" x14ac:dyDescent="0.25">
      <c r="A3009" t="s">
        <v>7355</v>
      </c>
      <c r="B3009">
        <f>2746.56318847549*(1/100/100)</f>
        <v>0.27465631884754899</v>
      </c>
      <c r="C3009">
        <v>24299</v>
      </c>
      <c r="D3009" t="s">
        <v>4995</v>
      </c>
      <c r="E3009">
        <v>32515</v>
      </c>
      <c r="F3009" t="s">
        <v>975</v>
      </c>
      <c r="G3009">
        <v>325</v>
      </c>
      <c r="H3009" t="s">
        <v>73</v>
      </c>
      <c r="I3009">
        <v>3</v>
      </c>
      <c r="J3009" t="s">
        <v>50</v>
      </c>
    </row>
    <row r="3010" spans="1:10" x14ac:dyDescent="0.25">
      <c r="A3010" t="s">
        <v>7355</v>
      </c>
      <c r="B3010">
        <f>18907.3356198961*(1/100/100)</f>
        <v>1.8907335619896102</v>
      </c>
      <c r="C3010">
        <v>24301</v>
      </c>
      <c r="D3010" t="s">
        <v>5098</v>
      </c>
      <c r="E3010">
        <v>32530</v>
      </c>
      <c r="F3010" t="s">
        <v>988</v>
      </c>
      <c r="G3010">
        <v>325</v>
      </c>
      <c r="H3010" t="s">
        <v>73</v>
      </c>
      <c r="I3010">
        <v>3</v>
      </c>
      <c r="J3010" t="s">
        <v>50</v>
      </c>
    </row>
    <row r="3011" spans="1:10" x14ac:dyDescent="0.25">
      <c r="A3011" t="s">
        <v>7355</v>
      </c>
      <c r="B3011">
        <f>2013.53666467631*(1/100/100)</f>
        <v>0.201353666467631</v>
      </c>
      <c r="C3011">
        <v>24302</v>
      </c>
      <c r="D3011" t="s">
        <v>4969</v>
      </c>
      <c r="E3011">
        <v>32530</v>
      </c>
      <c r="F3011" t="s">
        <v>988</v>
      </c>
      <c r="G3011">
        <v>325</v>
      </c>
      <c r="H3011" t="s">
        <v>73</v>
      </c>
      <c r="I3011">
        <v>3</v>
      </c>
      <c r="J3011" t="s">
        <v>50</v>
      </c>
    </row>
    <row r="3012" spans="1:10" x14ac:dyDescent="0.25">
      <c r="A3012" t="s">
        <v>7355</v>
      </c>
      <c r="B3012">
        <f>8233.85517796885*(1/100/100)</f>
        <v>0.82338551779688496</v>
      </c>
      <c r="C3012">
        <v>24303</v>
      </c>
      <c r="D3012" t="s">
        <v>5099</v>
      </c>
      <c r="E3012">
        <v>32530</v>
      </c>
      <c r="F3012" t="s">
        <v>988</v>
      </c>
      <c r="G3012">
        <v>325</v>
      </c>
      <c r="H3012" t="s">
        <v>73</v>
      </c>
      <c r="I3012">
        <v>3</v>
      </c>
      <c r="J3012" t="s">
        <v>50</v>
      </c>
    </row>
    <row r="3013" spans="1:10" x14ac:dyDescent="0.25">
      <c r="A3013" t="s">
        <v>7355</v>
      </c>
      <c r="B3013">
        <f>13203.3948157989*(1/100/100)</f>
        <v>1.3203394815798901</v>
      </c>
      <c r="C3013">
        <v>24304</v>
      </c>
      <c r="D3013" t="s">
        <v>5100</v>
      </c>
      <c r="E3013">
        <v>32530</v>
      </c>
      <c r="F3013" t="s">
        <v>988</v>
      </c>
      <c r="G3013">
        <v>325</v>
      </c>
      <c r="H3013" t="s">
        <v>73</v>
      </c>
      <c r="I3013">
        <v>3</v>
      </c>
      <c r="J3013" t="s">
        <v>50</v>
      </c>
    </row>
    <row r="3014" spans="1:10" x14ac:dyDescent="0.25">
      <c r="A3014" t="s">
        <v>7355</v>
      </c>
      <c r="B3014">
        <f>47830.5674829617*(1/100/100)</f>
        <v>4.7830567482961701</v>
      </c>
      <c r="C3014">
        <v>24305</v>
      </c>
      <c r="D3014" t="s">
        <v>2032</v>
      </c>
      <c r="E3014">
        <v>32529</v>
      </c>
      <c r="F3014" t="s">
        <v>987</v>
      </c>
      <c r="G3014">
        <v>325</v>
      </c>
      <c r="H3014" t="s">
        <v>73</v>
      </c>
      <c r="I3014">
        <v>3</v>
      </c>
      <c r="J3014" t="s">
        <v>50</v>
      </c>
    </row>
    <row r="3015" spans="1:10" x14ac:dyDescent="0.25">
      <c r="A3015" t="s">
        <v>7355</v>
      </c>
      <c r="B3015">
        <f>19585.5707073817*(1/100/100)</f>
        <v>1.9585570707381701</v>
      </c>
      <c r="C3015">
        <v>24307</v>
      </c>
      <c r="D3015" t="s">
        <v>5101</v>
      </c>
      <c r="E3015">
        <v>32530</v>
      </c>
      <c r="F3015" t="s">
        <v>988</v>
      </c>
      <c r="G3015">
        <v>325</v>
      </c>
      <c r="H3015" t="s">
        <v>73</v>
      </c>
      <c r="I3015">
        <v>3</v>
      </c>
      <c r="J3015" t="s">
        <v>50</v>
      </c>
    </row>
    <row r="3016" spans="1:10" x14ac:dyDescent="0.25">
      <c r="A3016" t="s">
        <v>7355</v>
      </c>
      <c r="B3016">
        <f>19607.1306609173*(1/100/100)</f>
        <v>1.9607130660917302</v>
      </c>
      <c r="C3016">
        <v>24308</v>
      </c>
      <c r="D3016" t="s">
        <v>2993</v>
      </c>
      <c r="E3016">
        <v>32530</v>
      </c>
      <c r="F3016" t="s">
        <v>988</v>
      </c>
      <c r="G3016">
        <v>325</v>
      </c>
      <c r="H3016" t="s">
        <v>73</v>
      </c>
      <c r="I3016">
        <v>3</v>
      </c>
      <c r="J3016" t="s">
        <v>50</v>
      </c>
    </row>
    <row r="3017" spans="1:10" x14ac:dyDescent="0.25">
      <c r="A3017" t="s">
        <v>7355</v>
      </c>
      <c r="B3017">
        <f>18229.7325514189*(1/100/100)</f>
        <v>1.82297325514189</v>
      </c>
      <c r="C3017">
        <v>24309</v>
      </c>
      <c r="D3017" t="s">
        <v>4767</v>
      </c>
      <c r="E3017">
        <v>32509</v>
      </c>
      <c r="F3017" t="s">
        <v>972</v>
      </c>
      <c r="G3017">
        <v>325</v>
      </c>
      <c r="H3017" t="s">
        <v>73</v>
      </c>
      <c r="I3017">
        <v>3</v>
      </c>
      <c r="J3017" t="s">
        <v>50</v>
      </c>
    </row>
    <row r="3018" spans="1:10" x14ac:dyDescent="0.25">
      <c r="A3018" t="s">
        <v>7355</v>
      </c>
      <c r="B3018">
        <f>44219.6702626382*(1/100/100)</f>
        <v>4.4219670262638209</v>
      </c>
      <c r="C3018">
        <v>24310</v>
      </c>
      <c r="D3018" t="s">
        <v>5102</v>
      </c>
      <c r="E3018">
        <v>32530</v>
      </c>
      <c r="F3018" t="s">
        <v>988</v>
      </c>
      <c r="G3018">
        <v>325</v>
      </c>
      <c r="H3018" t="s">
        <v>73</v>
      </c>
      <c r="I3018">
        <v>3</v>
      </c>
      <c r="J3018" t="s">
        <v>50</v>
      </c>
    </row>
    <row r="3019" spans="1:10" x14ac:dyDescent="0.25">
      <c r="A3019" t="s">
        <v>7355</v>
      </c>
      <c r="B3019">
        <f>20964.2309247814*(1/100/100)</f>
        <v>2.0964230924781404</v>
      </c>
      <c r="C3019">
        <v>24311</v>
      </c>
      <c r="D3019" t="s">
        <v>3480</v>
      </c>
      <c r="E3019">
        <v>32509</v>
      </c>
      <c r="F3019" t="s">
        <v>972</v>
      </c>
      <c r="G3019">
        <v>325</v>
      </c>
      <c r="H3019" t="s">
        <v>73</v>
      </c>
      <c r="I3019">
        <v>3</v>
      </c>
      <c r="J3019" t="s">
        <v>50</v>
      </c>
    </row>
    <row r="3020" spans="1:10" x14ac:dyDescent="0.25">
      <c r="A3020" t="s">
        <v>7355</v>
      </c>
      <c r="B3020">
        <f>83391.0544079258*(1/100/100)</f>
        <v>8.3391054407925793</v>
      </c>
      <c r="C3020">
        <v>24312</v>
      </c>
      <c r="D3020" t="s">
        <v>5103</v>
      </c>
      <c r="E3020">
        <v>32530</v>
      </c>
      <c r="F3020" t="s">
        <v>988</v>
      </c>
      <c r="G3020">
        <v>325</v>
      </c>
      <c r="H3020" t="s">
        <v>73</v>
      </c>
      <c r="I3020">
        <v>3</v>
      </c>
      <c r="J3020" t="s">
        <v>50</v>
      </c>
    </row>
    <row r="3021" spans="1:10" x14ac:dyDescent="0.25">
      <c r="A3021" t="s">
        <v>7355</v>
      </c>
      <c r="B3021">
        <f>11224.3232881204*(1/100/100)</f>
        <v>1.1224323288120401</v>
      </c>
      <c r="C3021">
        <v>24313</v>
      </c>
      <c r="D3021" t="s">
        <v>5104</v>
      </c>
      <c r="E3021">
        <v>32530</v>
      </c>
      <c r="F3021" t="s">
        <v>988</v>
      </c>
      <c r="G3021">
        <v>325</v>
      </c>
      <c r="H3021" t="s">
        <v>73</v>
      </c>
      <c r="I3021">
        <v>3</v>
      </c>
      <c r="J3021" t="s">
        <v>50</v>
      </c>
    </row>
    <row r="3022" spans="1:10" x14ac:dyDescent="0.25">
      <c r="A3022" t="s">
        <v>7355</v>
      </c>
      <c r="B3022">
        <f>25014.2192657698*(1/100/100)</f>
        <v>2.5014219265769801</v>
      </c>
      <c r="C3022">
        <v>24314</v>
      </c>
      <c r="D3022" t="s">
        <v>3569</v>
      </c>
      <c r="E3022">
        <v>32530</v>
      </c>
      <c r="F3022" t="s">
        <v>988</v>
      </c>
      <c r="G3022">
        <v>325</v>
      </c>
      <c r="H3022" t="s">
        <v>73</v>
      </c>
      <c r="I3022">
        <v>3</v>
      </c>
      <c r="J3022" t="s">
        <v>50</v>
      </c>
    </row>
    <row r="3023" spans="1:10" x14ac:dyDescent="0.25">
      <c r="A3023" t="s">
        <v>7355</v>
      </c>
      <c r="B3023">
        <f>39748.8626203356*(1/100/100)</f>
        <v>3.9748862620335603</v>
      </c>
      <c r="C3023">
        <v>24315</v>
      </c>
      <c r="D3023" t="s">
        <v>5105</v>
      </c>
      <c r="E3023">
        <v>32530</v>
      </c>
      <c r="F3023" t="s">
        <v>988</v>
      </c>
      <c r="G3023">
        <v>325</v>
      </c>
      <c r="H3023" t="s">
        <v>73</v>
      </c>
      <c r="I3023">
        <v>3</v>
      </c>
      <c r="J3023" t="s">
        <v>50</v>
      </c>
    </row>
    <row r="3024" spans="1:10" x14ac:dyDescent="0.25">
      <c r="A3024" t="s">
        <v>7355</v>
      </c>
      <c r="B3024">
        <f>33013.5709087016*(1/100/100)</f>
        <v>3.3013570908701602</v>
      </c>
      <c r="C3024">
        <v>24316</v>
      </c>
      <c r="D3024" t="s">
        <v>2366</v>
      </c>
      <c r="E3024">
        <v>32530</v>
      </c>
      <c r="F3024" t="s">
        <v>988</v>
      </c>
      <c r="G3024">
        <v>325</v>
      </c>
      <c r="H3024" t="s">
        <v>73</v>
      </c>
      <c r="I3024">
        <v>3</v>
      </c>
      <c r="J3024" t="s">
        <v>50</v>
      </c>
    </row>
    <row r="3025" spans="1:10" x14ac:dyDescent="0.25">
      <c r="A3025" t="s">
        <v>7355</v>
      </c>
      <c r="B3025">
        <f>79478.7693362988*(1/100/100)</f>
        <v>7.9478769336298809</v>
      </c>
      <c r="C3025">
        <v>24317</v>
      </c>
      <c r="D3025" t="s">
        <v>5106</v>
      </c>
      <c r="E3025">
        <v>32530</v>
      </c>
      <c r="F3025" t="s">
        <v>988</v>
      </c>
      <c r="G3025">
        <v>325</v>
      </c>
      <c r="H3025" t="s">
        <v>73</v>
      </c>
      <c r="I3025">
        <v>3</v>
      </c>
      <c r="J3025" t="s">
        <v>50</v>
      </c>
    </row>
    <row r="3026" spans="1:10" x14ac:dyDescent="0.25">
      <c r="A3026" t="s">
        <v>7355</v>
      </c>
      <c r="B3026">
        <f>59098.8777862925*(1/100/100)</f>
        <v>5.9098877786292503</v>
      </c>
      <c r="C3026">
        <v>24318</v>
      </c>
      <c r="D3026" t="s">
        <v>972</v>
      </c>
      <c r="E3026">
        <v>32509</v>
      </c>
      <c r="F3026" t="s">
        <v>972</v>
      </c>
      <c r="G3026">
        <v>325</v>
      </c>
      <c r="H3026" t="s">
        <v>73</v>
      </c>
      <c r="I3026">
        <v>3</v>
      </c>
      <c r="J3026" t="s">
        <v>50</v>
      </c>
    </row>
    <row r="3027" spans="1:10" x14ac:dyDescent="0.25">
      <c r="A3027" t="s">
        <v>7355</v>
      </c>
      <c r="B3027">
        <f>47240.2022844903*(1/100/100)</f>
        <v>4.7240202284490298</v>
      </c>
      <c r="C3027">
        <v>24319</v>
      </c>
      <c r="D3027" t="s">
        <v>5107</v>
      </c>
      <c r="E3027">
        <v>32530</v>
      </c>
      <c r="F3027" t="s">
        <v>988</v>
      </c>
      <c r="G3027">
        <v>325</v>
      </c>
      <c r="H3027" t="s">
        <v>73</v>
      </c>
      <c r="I3027">
        <v>3</v>
      </c>
      <c r="J3027" t="s">
        <v>50</v>
      </c>
    </row>
    <row r="3028" spans="1:10" x14ac:dyDescent="0.25">
      <c r="A3028" t="s">
        <v>7355</v>
      </c>
      <c r="B3028">
        <f>74668.0639200986*(1/100/100)</f>
        <v>7.4668063920098611</v>
      </c>
      <c r="C3028">
        <v>24320</v>
      </c>
      <c r="D3028" t="s">
        <v>4957</v>
      </c>
      <c r="E3028">
        <v>32509</v>
      </c>
      <c r="F3028" t="s">
        <v>972</v>
      </c>
      <c r="G3028">
        <v>325</v>
      </c>
      <c r="H3028" t="s">
        <v>73</v>
      </c>
      <c r="I3028">
        <v>3</v>
      </c>
      <c r="J3028" t="s">
        <v>50</v>
      </c>
    </row>
    <row r="3029" spans="1:10" x14ac:dyDescent="0.25">
      <c r="A3029" t="s">
        <v>7355</v>
      </c>
      <c r="B3029">
        <f>31805.4641495274*(1/100/100)</f>
        <v>3.1805464149527403</v>
      </c>
      <c r="C3029">
        <v>24321</v>
      </c>
      <c r="D3029" t="s">
        <v>4994</v>
      </c>
      <c r="E3029">
        <v>32530</v>
      </c>
      <c r="F3029" t="s">
        <v>988</v>
      </c>
      <c r="G3029">
        <v>325</v>
      </c>
      <c r="H3029" t="s">
        <v>73</v>
      </c>
      <c r="I3029">
        <v>3</v>
      </c>
      <c r="J3029" t="s">
        <v>50</v>
      </c>
    </row>
    <row r="3030" spans="1:10" x14ac:dyDescent="0.25">
      <c r="A3030" t="s">
        <v>7355</v>
      </c>
      <c r="B3030">
        <f>16614.4103543079*(1/100/100)</f>
        <v>1.66144103543079</v>
      </c>
      <c r="C3030">
        <v>24322</v>
      </c>
      <c r="D3030" t="s">
        <v>3293</v>
      </c>
      <c r="E3030">
        <v>32530</v>
      </c>
      <c r="F3030" t="s">
        <v>988</v>
      </c>
      <c r="G3030">
        <v>325</v>
      </c>
      <c r="H3030" t="s">
        <v>73</v>
      </c>
      <c r="I3030">
        <v>3</v>
      </c>
      <c r="J3030" t="s">
        <v>50</v>
      </c>
    </row>
    <row r="3031" spans="1:10" x14ac:dyDescent="0.25">
      <c r="A3031" t="s">
        <v>7355</v>
      </c>
      <c r="B3031">
        <f>7620.47319039354*(1/100/100)</f>
        <v>0.76204731903935408</v>
      </c>
      <c r="C3031">
        <v>24323</v>
      </c>
      <c r="D3031" t="s">
        <v>3313</v>
      </c>
      <c r="E3031">
        <v>32529</v>
      </c>
      <c r="F3031" t="s">
        <v>987</v>
      </c>
      <c r="G3031">
        <v>325</v>
      </c>
      <c r="H3031" t="s">
        <v>73</v>
      </c>
      <c r="I3031">
        <v>3</v>
      </c>
      <c r="J3031" t="s">
        <v>50</v>
      </c>
    </row>
    <row r="3032" spans="1:10" x14ac:dyDescent="0.25">
      <c r="A3032" t="s">
        <v>7355</v>
      </c>
      <c r="B3032">
        <f>21832.0699776653*(1/100/100)</f>
        <v>2.18320699776653</v>
      </c>
      <c r="C3032">
        <v>24325</v>
      </c>
      <c r="D3032" t="s">
        <v>3259</v>
      </c>
      <c r="E3032">
        <v>32530</v>
      </c>
      <c r="F3032" t="s">
        <v>988</v>
      </c>
      <c r="G3032">
        <v>325</v>
      </c>
      <c r="H3032" t="s">
        <v>73</v>
      </c>
      <c r="I3032">
        <v>3</v>
      </c>
      <c r="J3032" t="s">
        <v>50</v>
      </c>
    </row>
    <row r="3033" spans="1:10" x14ac:dyDescent="0.25">
      <c r="A3033" t="s">
        <v>7355</v>
      </c>
      <c r="B3033">
        <f>7494.49552381879*(1/100/100)</f>
        <v>0.74944955238187905</v>
      </c>
      <c r="C3033">
        <v>24326</v>
      </c>
      <c r="D3033" t="s">
        <v>5108</v>
      </c>
      <c r="E3033">
        <v>32530</v>
      </c>
      <c r="F3033" t="s">
        <v>988</v>
      </c>
      <c r="G3033">
        <v>325</v>
      </c>
      <c r="H3033" t="s">
        <v>73</v>
      </c>
      <c r="I3033">
        <v>3</v>
      </c>
      <c r="J3033" t="s">
        <v>50</v>
      </c>
    </row>
    <row r="3034" spans="1:10" x14ac:dyDescent="0.25">
      <c r="A3034" t="s">
        <v>7355</v>
      </c>
      <c r="B3034">
        <f>79773.98234127*(1/100/100)</f>
        <v>7.9773982341270013</v>
      </c>
      <c r="C3034">
        <v>24327</v>
      </c>
      <c r="D3034" t="s">
        <v>5109</v>
      </c>
      <c r="E3034">
        <v>32530</v>
      </c>
      <c r="F3034" t="s">
        <v>988</v>
      </c>
      <c r="G3034">
        <v>325</v>
      </c>
      <c r="H3034" t="s">
        <v>73</v>
      </c>
      <c r="I3034">
        <v>3</v>
      </c>
      <c r="J3034" t="s">
        <v>50</v>
      </c>
    </row>
    <row r="3035" spans="1:10" x14ac:dyDescent="0.25">
      <c r="A3035" t="s">
        <v>7355</v>
      </c>
      <c r="B3035">
        <f>34379.8697517423*(1/100/100)</f>
        <v>3.4379869751742302</v>
      </c>
      <c r="C3035">
        <v>24328</v>
      </c>
      <c r="D3035" t="s">
        <v>5110</v>
      </c>
      <c r="E3035">
        <v>32530</v>
      </c>
      <c r="F3035" t="s">
        <v>988</v>
      </c>
      <c r="G3035">
        <v>325</v>
      </c>
      <c r="H3035" t="s">
        <v>73</v>
      </c>
      <c r="I3035">
        <v>3</v>
      </c>
      <c r="J3035" t="s">
        <v>50</v>
      </c>
    </row>
    <row r="3036" spans="1:10" x14ac:dyDescent="0.25">
      <c r="A3036" t="s">
        <v>7355</v>
      </c>
      <c r="B3036">
        <f>6292.3347559267*(1/100/100)</f>
        <v>0.62923347559267007</v>
      </c>
      <c r="C3036">
        <v>24329</v>
      </c>
      <c r="D3036" t="s">
        <v>5111</v>
      </c>
      <c r="E3036">
        <v>32530</v>
      </c>
      <c r="F3036" t="s">
        <v>988</v>
      </c>
      <c r="G3036">
        <v>325</v>
      </c>
      <c r="H3036" t="s">
        <v>73</v>
      </c>
      <c r="I3036">
        <v>3</v>
      </c>
      <c r="J3036" t="s">
        <v>50</v>
      </c>
    </row>
    <row r="3037" spans="1:10" x14ac:dyDescent="0.25">
      <c r="A3037" t="s">
        <v>7355</v>
      </c>
      <c r="B3037">
        <f>15139.6982454798*(1/100/100)</f>
        <v>1.51396982454798</v>
      </c>
      <c r="C3037">
        <v>24330</v>
      </c>
      <c r="D3037" t="s">
        <v>5112</v>
      </c>
      <c r="E3037">
        <v>32530</v>
      </c>
      <c r="F3037" t="s">
        <v>988</v>
      </c>
      <c r="G3037">
        <v>325</v>
      </c>
      <c r="H3037" t="s">
        <v>73</v>
      </c>
      <c r="I3037">
        <v>3</v>
      </c>
      <c r="J3037" t="s">
        <v>50</v>
      </c>
    </row>
    <row r="3038" spans="1:10" x14ac:dyDescent="0.25">
      <c r="A3038" t="s">
        <v>7355</v>
      </c>
      <c r="B3038">
        <f>35484.0654015467*(1/100/100)</f>
        <v>3.5484065401546703</v>
      </c>
      <c r="C3038">
        <v>24331</v>
      </c>
      <c r="D3038" t="s">
        <v>5113</v>
      </c>
      <c r="E3038">
        <v>32530</v>
      </c>
      <c r="F3038" t="s">
        <v>988</v>
      </c>
      <c r="G3038">
        <v>325</v>
      </c>
      <c r="H3038" t="s">
        <v>73</v>
      </c>
      <c r="I3038">
        <v>3</v>
      </c>
      <c r="J3038" t="s">
        <v>50</v>
      </c>
    </row>
    <row r="3039" spans="1:10" x14ac:dyDescent="0.25">
      <c r="A3039" t="s">
        <v>7355</v>
      </c>
      <c r="B3039">
        <f>31173.2524816249*(1/100/100)</f>
        <v>3.1173252481624902</v>
      </c>
      <c r="C3039">
        <v>24332</v>
      </c>
      <c r="D3039" t="s">
        <v>4831</v>
      </c>
      <c r="E3039">
        <v>32530</v>
      </c>
      <c r="F3039" t="s">
        <v>988</v>
      </c>
      <c r="G3039">
        <v>325</v>
      </c>
      <c r="H3039" t="s">
        <v>73</v>
      </c>
      <c r="I3039">
        <v>3</v>
      </c>
      <c r="J3039" t="s">
        <v>50</v>
      </c>
    </row>
    <row r="3040" spans="1:10" x14ac:dyDescent="0.25">
      <c r="A3040" t="s">
        <v>7355</v>
      </c>
      <c r="B3040">
        <f>32734.4167866518*(1/100/100)</f>
        <v>3.2734416786651801</v>
      </c>
      <c r="C3040">
        <v>24333</v>
      </c>
      <c r="D3040" t="s">
        <v>4958</v>
      </c>
      <c r="E3040">
        <v>32509</v>
      </c>
      <c r="F3040" t="s">
        <v>972</v>
      </c>
      <c r="G3040">
        <v>325</v>
      </c>
      <c r="H3040" t="s">
        <v>73</v>
      </c>
      <c r="I3040">
        <v>3</v>
      </c>
      <c r="J3040" t="s">
        <v>50</v>
      </c>
    </row>
    <row r="3041" spans="1:10" x14ac:dyDescent="0.25">
      <c r="A3041" t="s">
        <v>7355</v>
      </c>
      <c r="B3041">
        <f>20881.051549978*(1/100/100)</f>
        <v>2.0881051549978</v>
      </c>
      <c r="C3041">
        <v>24334</v>
      </c>
      <c r="D3041" t="s">
        <v>5071</v>
      </c>
      <c r="E3041">
        <v>32525</v>
      </c>
      <c r="F3041" t="s">
        <v>985</v>
      </c>
      <c r="G3041">
        <v>325</v>
      </c>
      <c r="H3041" t="s">
        <v>73</v>
      </c>
      <c r="I3041">
        <v>3</v>
      </c>
      <c r="J3041" t="s">
        <v>50</v>
      </c>
    </row>
    <row r="3042" spans="1:10" x14ac:dyDescent="0.25">
      <c r="A3042" t="s">
        <v>7355</v>
      </c>
      <c r="B3042">
        <f>8284.19656761243*(1/100/100)</f>
        <v>0.82841965676124296</v>
      </c>
      <c r="C3042">
        <v>24335</v>
      </c>
      <c r="D3042" t="s">
        <v>5114</v>
      </c>
      <c r="E3042">
        <v>32530</v>
      </c>
      <c r="F3042" t="s">
        <v>988</v>
      </c>
      <c r="G3042">
        <v>325</v>
      </c>
      <c r="H3042" t="s">
        <v>73</v>
      </c>
      <c r="I3042">
        <v>3</v>
      </c>
      <c r="J3042" t="s">
        <v>50</v>
      </c>
    </row>
    <row r="3043" spans="1:10" x14ac:dyDescent="0.25">
      <c r="A3043" t="s">
        <v>7355</v>
      </c>
      <c r="B3043">
        <f>20237.3619694936*(1/100/100)</f>
        <v>2.0237361969493599</v>
      </c>
      <c r="C3043">
        <v>24336</v>
      </c>
      <c r="D3043" t="s">
        <v>5090</v>
      </c>
      <c r="E3043">
        <v>32529</v>
      </c>
      <c r="F3043" t="s">
        <v>987</v>
      </c>
      <c r="G3043">
        <v>325</v>
      </c>
      <c r="H3043" t="s">
        <v>73</v>
      </c>
      <c r="I3043">
        <v>3</v>
      </c>
      <c r="J3043" t="s">
        <v>50</v>
      </c>
    </row>
    <row r="3044" spans="1:10" x14ac:dyDescent="0.25">
      <c r="A3044" t="s">
        <v>7355</v>
      </c>
      <c r="B3044">
        <f>46358.4034740616*(1/100/100)</f>
        <v>4.6358403474061598</v>
      </c>
      <c r="C3044">
        <v>24337</v>
      </c>
      <c r="D3044" t="s">
        <v>5115</v>
      </c>
      <c r="E3044">
        <v>32530</v>
      </c>
      <c r="F3044" t="s">
        <v>988</v>
      </c>
      <c r="G3044">
        <v>325</v>
      </c>
      <c r="H3044" t="s">
        <v>73</v>
      </c>
      <c r="I3044">
        <v>3</v>
      </c>
      <c r="J3044" t="s">
        <v>50</v>
      </c>
    </row>
    <row r="3045" spans="1:10" x14ac:dyDescent="0.25">
      <c r="A3045" t="s">
        <v>7355</v>
      </c>
      <c r="B3045">
        <f>946.530391795532*(1/100/100)</f>
        <v>9.46530391795532E-2</v>
      </c>
      <c r="C3045">
        <v>24338</v>
      </c>
      <c r="D3045" t="s">
        <v>5116</v>
      </c>
      <c r="E3045">
        <v>32530</v>
      </c>
      <c r="F3045" t="s">
        <v>988</v>
      </c>
      <c r="G3045">
        <v>325</v>
      </c>
      <c r="H3045" t="s">
        <v>73</v>
      </c>
      <c r="I3045">
        <v>3</v>
      </c>
      <c r="J3045" t="s">
        <v>50</v>
      </c>
    </row>
    <row r="3046" spans="1:10" x14ac:dyDescent="0.25">
      <c r="A3046" t="s">
        <v>7355</v>
      </c>
      <c r="B3046">
        <f>48186.9530200372*(1/100/100)</f>
        <v>4.8186953020037206</v>
      </c>
      <c r="C3046">
        <v>24339</v>
      </c>
      <c r="D3046" t="s">
        <v>2145</v>
      </c>
      <c r="E3046">
        <v>32525</v>
      </c>
      <c r="F3046" t="s">
        <v>985</v>
      </c>
      <c r="G3046">
        <v>325</v>
      </c>
      <c r="H3046" t="s">
        <v>73</v>
      </c>
      <c r="I3046">
        <v>3</v>
      </c>
      <c r="J3046" t="s">
        <v>50</v>
      </c>
    </row>
    <row r="3047" spans="1:10" x14ac:dyDescent="0.25">
      <c r="A3047" t="s">
        <v>7355</v>
      </c>
      <c r="B3047">
        <f>14007.4529070887*(1/100/100)</f>
        <v>1.40074529070887</v>
      </c>
      <c r="C3047">
        <v>24340</v>
      </c>
      <c r="D3047" t="s">
        <v>5091</v>
      </c>
      <c r="E3047">
        <v>32529</v>
      </c>
      <c r="F3047" t="s">
        <v>987</v>
      </c>
      <c r="G3047">
        <v>325</v>
      </c>
      <c r="H3047" t="s">
        <v>73</v>
      </c>
      <c r="I3047">
        <v>3</v>
      </c>
      <c r="J3047" t="s">
        <v>50</v>
      </c>
    </row>
    <row r="3048" spans="1:10" x14ac:dyDescent="0.25">
      <c r="A3048" t="s">
        <v>7355</v>
      </c>
      <c r="B3048">
        <f>28795.3828164318*(1/100/100)</f>
        <v>2.87953828164318</v>
      </c>
      <c r="C3048">
        <v>24341</v>
      </c>
      <c r="D3048" t="s">
        <v>4902</v>
      </c>
      <c r="E3048">
        <v>32525</v>
      </c>
      <c r="F3048" t="s">
        <v>985</v>
      </c>
      <c r="G3048">
        <v>325</v>
      </c>
      <c r="H3048" t="s">
        <v>73</v>
      </c>
      <c r="I3048">
        <v>3</v>
      </c>
      <c r="J3048" t="s">
        <v>50</v>
      </c>
    </row>
    <row r="3049" spans="1:10" x14ac:dyDescent="0.25">
      <c r="A3049" t="s">
        <v>7355</v>
      </c>
      <c r="B3049">
        <f>41674.2798495645*(1/100/100)</f>
        <v>4.1674279849564497</v>
      </c>
      <c r="C3049">
        <v>24342</v>
      </c>
      <c r="D3049" t="s">
        <v>5117</v>
      </c>
      <c r="E3049">
        <v>32530</v>
      </c>
      <c r="F3049" t="s">
        <v>988</v>
      </c>
      <c r="G3049">
        <v>325</v>
      </c>
      <c r="H3049" t="s">
        <v>73</v>
      </c>
      <c r="I3049">
        <v>3</v>
      </c>
      <c r="J3049" t="s">
        <v>50</v>
      </c>
    </row>
    <row r="3050" spans="1:10" x14ac:dyDescent="0.25">
      <c r="A3050" t="s">
        <v>7355</v>
      </c>
      <c r="B3050">
        <f>14687.3728388828*(1/100/100)</f>
        <v>1.4687372838882802</v>
      </c>
      <c r="C3050">
        <v>24343</v>
      </c>
      <c r="D3050" t="s">
        <v>3898</v>
      </c>
      <c r="E3050">
        <v>32530</v>
      </c>
      <c r="F3050" t="s">
        <v>988</v>
      </c>
      <c r="G3050">
        <v>325</v>
      </c>
      <c r="H3050" t="s">
        <v>73</v>
      </c>
      <c r="I3050">
        <v>3</v>
      </c>
      <c r="J3050" t="s">
        <v>50</v>
      </c>
    </row>
    <row r="3051" spans="1:10" x14ac:dyDescent="0.25">
      <c r="A3051" t="s">
        <v>7355</v>
      </c>
      <c r="B3051">
        <f>11834.8960816825*(1/100/100)</f>
        <v>1.18348960816825</v>
      </c>
      <c r="C3051">
        <v>24344</v>
      </c>
      <c r="D3051" t="s">
        <v>5072</v>
      </c>
      <c r="E3051">
        <v>32525</v>
      </c>
      <c r="F3051" t="s">
        <v>985</v>
      </c>
      <c r="G3051">
        <v>325</v>
      </c>
      <c r="H3051" t="s">
        <v>73</v>
      </c>
      <c r="I3051">
        <v>3</v>
      </c>
      <c r="J3051" t="s">
        <v>50</v>
      </c>
    </row>
    <row r="3052" spans="1:10" x14ac:dyDescent="0.25">
      <c r="A3052" t="s">
        <v>7355</v>
      </c>
      <c r="B3052">
        <f>36629.6448558586*(1/100/100)</f>
        <v>3.6629644855858601</v>
      </c>
      <c r="C3052">
        <v>24345</v>
      </c>
      <c r="D3052" t="s">
        <v>5118</v>
      </c>
      <c r="E3052">
        <v>32530</v>
      </c>
      <c r="F3052" t="s">
        <v>988</v>
      </c>
      <c r="G3052">
        <v>325</v>
      </c>
      <c r="H3052" t="s">
        <v>73</v>
      </c>
      <c r="I3052">
        <v>3</v>
      </c>
      <c r="J3052" t="s">
        <v>50</v>
      </c>
    </row>
    <row r="3053" spans="1:10" x14ac:dyDescent="0.25">
      <c r="A3053" t="s">
        <v>7355</v>
      </c>
      <c r="B3053">
        <f>32428.3783058763*(1/100/100)</f>
        <v>3.24283783058763</v>
      </c>
      <c r="C3053">
        <v>24346</v>
      </c>
      <c r="D3053" t="s">
        <v>5119</v>
      </c>
      <c r="E3053">
        <v>32530</v>
      </c>
      <c r="F3053" t="s">
        <v>988</v>
      </c>
      <c r="G3053">
        <v>325</v>
      </c>
      <c r="H3053" t="s">
        <v>73</v>
      </c>
      <c r="I3053">
        <v>3</v>
      </c>
      <c r="J3053" t="s">
        <v>50</v>
      </c>
    </row>
    <row r="3054" spans="1:10" x14ac:dyDescent="0.25">
      <c r="A3054" t="s">
        <v>7355</v>
      </c>
      <c r="B3054">
        <f>44063.9471330184*(1/100/100)</f>
        <v>4.4063947133018404</v>
      </c>
      <c r="C3054">
        <v>24347</v>
      </c>
      <c r="D3054" t="s">
        <v>5120</v>
      </c>
      <c r="E3054">
        <v>32530</v>
      </c>
      <c r="F3054" t="s">
        <v>988</v>
      </c>
      <c r="G3054">
        <v>325</v>
      </c>
      <c r="H3054" t="s">
        <v>73</v>
      </c>
      <c r="I3054">
        <v>3</v>
      </c>
      <c r="J3054" t="s">
        <v>50</v>
      </c>
    </row>
    <row r="3055" spans="1:10" x14ac:dyDescent="0.25">
      <c r="A3055" t="s">
        <v>7355</v>
      </c>
      <c r="B3055">
        <f>12049.9423880269*(1/100/100)</f>
        <v>1.2049942388026902</v>
      </c>
      <c r="C3055">
        <v>24348</v>
      </c>
      <c r="D3055" t="s">
        <v>5121</v>
      </c>
      <c r="E3055">
        <v>32530</v>
      </c>
      <c r="F3055" t="s">
        <v>988</v>
      </c>
      <c r="G3055">
        <v>325</v>
      </c>
      <c r="H3055" t="s">
        <v>73</v>
      </c>
      <c r="I3055">
        <v>3</v>
      </c>
      <c r="J3055" t="s">
        <v>50</v>
      </c>
    </row>
    <row r="3056" spans="1:10" x14ac:dyDescent="0.25">
      <c r="A3056" t="s">
        <v>7355</v>
      </c>
      <c r="B3056">
        <f>8690.99852264081*(1/100/100)</f>
        <v>0.86909985226408104</v>
      </c>
      <c r="C3056">
        <v>24349</v>
      </c>
      <c r="D3056" t="s">
        <v>4462</v>
      </c>
      <c r="E3056">
        <v>32530</v>
      </c>
      <c r="F3056" t="s">
        <v>988</v>
      </c>
      <c r="G3056">
        <v>325</v>
      </c>
      <c r="H3056" t="s">
        <v>73</v>
      </c>
      <c r="I3056">
        <v>3</v>
      </c>
      <c r="J3056" t="s">
        <v>50</v>
      </c>
    </row>
    <row r="3057" spans="1:10" x14ac:dyDescent="0.25">
      <c r="A3057" t="s">
        <v>7355</v>
      </c>
      <c r="B3057">
        <f>19502.1124919424*(1/100/100)</f>
        <v>1.95021124919424</v>
      </c>
      <c r="C3057">
        <v>24350</v>
      </c>
      <c r="D3057" t="s">
        <v>5122</v>
      </c>
      <c r="E3057">
        <v>32530</v>
      </c>
      <c r="F3057" t="s">
        <v>988</v>
      </c>
      <c r="G3057">
        <v>325</v>
      </c>
      <c r="H3057" t="s">
        <v>73</v>
      </c>
      <c r="I3057">
        <v>3</v>
      </c>
      <c r="J3057" t="s">
        <v>50</v>
      </c>
    </row>
    <row r="3058" spans="1:10" x14ac:dyDescent="0.25">
      <c r="A3058" t="s">
        <v>7355</v>
      </c>
      <c r="B3058">
        <f>54063.5811922854*(1/100/100)</f>
        <v>5.4063581192285399</v>
      </c>
      <c r="C3058">
        <v>24351</v>
      </c>
      <c r="D3058" t="s">
        <v>5123</v>
      </c>
      <c r="E3058">
        <v>32530</v>
      </c>
      <c r="F3058" t="s">
        <v>988</v>
      </c>
      <c r="G3058">
        <v>325</v>
      </c>
      <c r="H3058" t="s">
        <v>73</v>
      </c>
      <c r="I3058">
        <v>3</v>
      </c>
      <c r="J3058" t="s">
        <v>50</v>
      </c>
    </row>
    <row r="3059" spans="1:10" x14ac:dyDescent="0.25">
      <c r="A3059" t="s">
        <v>7355</v>
      </c>
      <c r="B3059">
        <f>42397.2116976668*(1/100/100)</f>
        <v>4.2397211697666801</v>
      </c>
      <c r="C3059">
        <v>24352</v>
      </c>
      <c r="D3059" t="s">
        <v>5092</v>
      </c>
      <c r="E3059">
        <v>32529</v>
      </c>
      <c r="F3059" t="s">
        <v>987</v>
      </c>
      <c r="G3059">
        <v>325</v>
      </c>
      <c r="H3059" t="s">
        <v>73</v>
      </c>
      <c r="I3059">
        <v>3</v>
      </c>
      <c r="J3059" t="s">
        <v>50</v>
      </c>
    </row>
    <row r="3060" spans="1:10" x14ac:dyDescent="0.25">
      <c r="A3060" t="s">
        <v>7355</v>
      </c>
      <c r="B3060">
        <f>36749.367300284*(1/100/100)</f>
        <v>3.6749367300284002</v>
      </c>
      <c r="C3060">
        <v>24353</v>
      </c>
      <c r="D3060" t="s">
        <v>5124</v>
      </c>
      <c r="E3060">
        <v>32530</v>
      </c>
      <c r="F3060" t="s">
        <v>988</v>
      </c>
      <c r="G3060">
        <v>325</v>
      </c>
      <c r="H3060" t="s">
        <v>73</v>
      </c>
      <c r="I3060">
        <v>3</v>
      </c>
      <c r="J3060" t="s">
        <v>50</v>
      </c>
    </row>
    <row r="3061" spans="1:10" x14ac:dyDescent="0.25">
      <c r="A3061" t="s">
        <v>7355</v>
      </c>
      <c r="B3061">
        <f>12273.728534554*(1/100/100)</f>
        <v>1.2273728534554</v>
      </c>
      <c r="C3061">
        <v>24354</v>
      </c>
      <c r="D3061" t="s">
        <v>5093</v>
      </c>
      <c r="E3061">
        <v>32529</v>
      </c>
      <c r="F3061" t="s">
        <v>987</v>
      </c>
      <c r="G3061">
        <v>325</v>
      </c>
      <c r="H3061" t="s">
        <v>73</v>
      </c>
      <c r="I3061">
        <v>3</v>
      </c>
      <c r="J3061" t="s">
        <v>50</v>
      </c>
    </row>
    <row r="3062" spans="1:10" x14ac:dyDescent="0.25">
      <c r="A3062" t="s">
        <v>7355</v>
      </c>
      <c r="B3062">
        <f>102399.680316345*(1/100/100)</f>
        <v>10.239968031634501</v>
      </c>
      <c r="C3062">
        <v>24355</v>
      </c>
      <c r="D3062" t="s">
        <v>5125</v>
      </c>
      <c r="E3062">
        <v>32530</v>
      </c>
      <c r="F3062" t="s">
        <v>988</v>
      </c>
      <c r="G3062">
        <v>325</v>
      </c>
      <c r="H3062" t="s">
        <v>73</v>
      </c>
      <c r="I3062">
        <v>3</v>
      </c>
      <c r="J3062" t="s">
        <v>50</v>
      </c>
    </row>
    <row r="3063" spans="1:10" x14ac:dyDescent="0.25">
      <c r="A3063" t="s">
        <v>7355</v>
      </c>
      <c r="B3063">
        <f>68.1176114109495*(1/100/100)</f>
        <v>6.8117611410949495E-3</v>
      </c>
      <c r="C3063">
        <v>24356</v>
      </c>
      <c r="D3063" t="s">
        <v>3770</v>
      </c>
      <c r="E3063">
        <v>32530</v>
      </c>
      <c r="F3063" t="s">
        <v>988</v>
      </c>
      <c r="G3063">
        <v>325</v>
      </c>
      <c r="H3063" t="s">
        <v>73</v>
      </c>
      <c r="I3063">
        <v>3</v>
      </c>
      <c r="J3063" t="s">
        <v>50</v>
      </c>
    </row>
    <row r="3064" spans="1:10" x14ac:dyDescent="0.25">
      <c r="A3064" t="s">
        <v>7355</v>
      </c>
      <c r="B3064">
        <f>24740.5502153536*(1/100/100)</f>
        <v>2.4740550215353601</v>
      </c>
      <c r="C3064">
        <v>24357</v>
      </c>
      <c r="D3064" t="s">
        <v>5094</v>
      </c>
      <c r="E3064">
        <v>32529</v>
      </c>
      <c r="F3064" t="s">
        <v>987</v>
      </c>
      <c r="G3064">
        <v>325</v>
      </c>
      <c r="H3064" t="s">
        <v>73</v>
      </c>
      <c r="I3064">
        <v>3</v>
      </c>
      <c r="J3064" t="s">
        <v>50</v>
      </c>
    </row>
    <row r="3065" spans="1:10" x14ac:dyDescent="0.25">
      <c r="A3065" t="s">
        <v>7355</v>
      </c>
      <c r="B3065">
        <f>189.579602928242*(1/100/100)</f>
        <v>1.8957960292824202E-2</v>
      </c>
      <c r="C3065">
        <v>24358</v>
      </c>
      <c r="D3065" t="s">
        <v>5126</v>
      </c>
      <c r="E3065">
        <v>32530</v>
      </c>
      <c r="F3065" t="s">
        <v>988</v>
      </c>
      <c r="G3065">
        <v>325</v>
      </c>
      <c r="H3065" t="s">
        <v>73</v>
      </c>
      <c r="I3065">
        <v>3</v>
      </c>
      <c r="J3065" t="s">
        <v>50</v>
      </c>
    </row>
    <row r="3066" spans="1:10" x14ac:dyDescent="0.25">
      <c r="A3066" t="s">
        <v>7355</v>
      </c>
      <c r="B3066">
        <f>90262.9237461018*(1/100/100)</f>
        <v>9.0262923746101809</v>
      </c>
      <c r="C3066">
        <v>24359</v>
      </c>
      <c r="D3066" t="s">
        <v>5127</v>
      </c>
      <c r="E3066">
        <v>32530</v>
      </c>
      <c r="F3066" t="s">
        <v>988</v>
      </c>
      <c r="G3066">
        <v>325</v>
      </c>
      <c r="H3066" t="s">
        <v>73</v>
      </c>
      <c r="I3066">
        <v>3</v>
      </c>
      <c r="J3066" t="s">
        <v>50</v>
      </c>
    </row>
    <row r="3067" spans="1:10" x14ac:dyDescent="0.25">
      <c r="A3067" t="s">
        <v>7355</v>
      </c>
      <c r="B3067">
        <f>27682.1525905228*(1/100/100)</f>
        <v>2.7682152590522802</v>
      </c>
      <c r="C3067">
        <v>24360</v>
      </c>
      <c r="D3067" t="s">
        <v>5073</v>
      </c>
      <c r="E3067">
        <v>32525</v>
      </c>
      <c r="F3067" t="s">
        <v>985</v>
      </c>
      <c r="G3067">
        <v>325</v>
      </c>
      <c r="H3067" t="s">
        <v>73</v>
      </c>
      <c r="I3067">
        <v>3</v>
      </c>
      <c r="J3067" t="s">
        <v>50</v>
      </c>
    </row>
    <row r="3068" spans="1:10" x14ac:dyDescent="0.25">
      <c r="A3068" t="s">
        <v>7355</v>
      </c>
      <c r="B3068">
        <f>490.396554075683*(1/100/100)</f>
        <v>4.9039655407568307E-2</v>
      </c>
      <c r="C3068">
        <v>24361</v>
      </c>
      <c r="D3068" t="s">
        <v>4982</v>
      </c>
      <c r="E3068">
        <v>32530</v>
      </c>
      <c r="F3068" t="s">
        <v>988</v>
      </c>
      <c r="G3068">
        <v>325</v>
      </c>
      <c r="H3068" t="s">
        <v>73</v>
      </c>
      <c r="I3068">
        <v>3</v>
      </c>
      <c r="J3068" t="s">
        <v>50</v>
      </c>
    </row>
    <row r="3069" spans="1:10" x14ac:dyDescent="0.25">
      <c r="A3069" t="s">
        <v>7355</v>
      </c>
      <c r="B3069">
        <f>5731.29410881267*(1/100/100)</f>
        <v>0.57312941088126701</v>
      </c>
      <c r="C3069">
        <v>24362</v>
      </c>
      <c r="D3069" t="s">
        <v>5128</v>
      </c>
      <c r="E3069">
        <v>32530</v>
      </c>
      <c r="F3069" t="s">
        <v>988</v>
      </c>
      <c r="G3069">
        <v>325</v>
      </c>
      <c r="H3069" t="s">
        <v>73</v>
      </c>
      <c r="I3069">
        <v>3</v>
      </c>
      <c r="J3069" t="s">
        <v>50</v>
      </c>
    </row>
    <row r="3070" spans="1:10" x14ac:dyDescent="0.25">
      <c r="A3070" t="s">
        <v>7355</v>
      </c>
      <c r="B3070">
        <f>27991.1662512844*(1/100/100)</f>
        <v>2.7991166251284403</v>
      </c>
      <c r="C3070">
        <v>24363</v>
      </c>
      <c r="D3070" t="s">
        <v>5095</v>
      </c>
      <c r="E3070">
        <v>32529</v>
      </c>
      <c r="F3070" t="s">
        <v>987</v>
      </c>
      <c r="G3070">
        <v>325</v>
      </c>
      <c r="H3070" t="s">
        <v>73</v>
      </c>
      <c r="I3070">
        <v>3</v>
      </c>
      <c r="J3070" t="s">
        <v>50</v>
      </c>
    </row>
    <row r="3071" spans="1:10" x14ac:dyDescent="0.25">
      <c r="A3071" t="s">
        <v>7355</v>
      </c>
      <c r="B3071">
        <f>16432.3784139699*(1/100/100)</f>
        <v>1.6432378413969899</v>
      </c>
      <c r="C3071">
        <v>24364</v>
      </c>
      <c r="D3071" t="s">
        <v>5129</v>
      </c>
      <c r="E3071">
        <v>32530</v>
      </c>
      <c r="F3071" t="s">
        <v>988</v>
      </c>
      <c r="G3071">
        <v>325</v>
      </c>
      <c r="H3071" t="s">
        <v>73</v>
      </c>
      <c r="I3071">
        <v>3</v>
      </c>
      <c r="J3071" t="s">
        <v>50</v>
      </c>
    </row>
    <row r="3072" spans="1:10" x14ac:dyDescent="0.25">
      <c r="A3072" t="s">
        <v>7355</v>
      </c>
      <c r="B3072">
        <f>18680.9312271935*(1/100/100)</f>
        <v>1.8680931227193502</v>
      </c>
      <c r="C3072">
        <v>24365</v>
      </c>
      <c r="D3072" t="s">
        <v>4959</v>
      </c>
      <c r="E3072">
        <v>32509</v>
      </c>
      <c r="F3072" t="s">
        <v>972</v>
      </c>
      <c r="G3072">
        <v>325</v>
      </c>
      <c r="H3072" t="s">
        <v>73</v>
      </c>
      <c r="I3072">
        <v>3</v>
      </c>
      <c r="J3072" t="s">
        <v>50</v>
      </c>
    </row>
    <row r="3073" spans="1:10" x14ac:dyDescent="0.25">
      <c r="A3073" t="s">
        <v>7355</v>
      </c>
      <c r="B3073">
        <f>51281.3431274275*(1/100/100)</f>
        <v>5.1281343127427501</v>
      </c>
      <c r="C3073">
        <v>24366</v>
      </c>
      <c r="D3073" t="s">
        <v>5130</v>
      </c>
      <c r="E3073">
        <v>32530</v>
      </c>
      <c r="F3073" t="s">
        <v>988</v>
      </c>
      <c r="G3073">
        <v>325</v>
      </c>
      <c r="H3073" t="s">
        <v>73</v>
      </c>
      <c r="I3073">
        <v>3</v>
      </c>
      <c r="J3073" t="s">
        <v>50</v>
      </c>
    </row>
    <row r="3074" spans="1:10" x14ac:dyDescent="0.25">
      <c r="A3074" t="s">
        <v>7355</v>
      </c>
      <c r="B3074">
        <f>3531.56059037621*(1/100/100)</f>
        <v>0.35315605903762098</v>
      </c>
      <c r="C3074">
        <v>24367</v>
      </c>
      <c r="D3074" t="s">
        <v>5131</v>
      </c>
      <c r="E3074">
        <v>32530</v>
      </c>
      <c r="F3074" t="s">
        <v>988</v>
      </c>
      <c r="G3074">
        <v>325</v>
      </c>
      <c r="H3074" t="s">
        <v>73</v>
      </c>
      <c r="I3074">
        <v>3</v>
      </c>
      <c r="J3074" t="s">
        <v>50</v>
      </c>
    </row>
    <row r="3075" spans="1:10" x14ac:dyDescent="0.25">
      <c r="A3075" t="s">
        <v>7355</v>
      </c>
      <c r="B3075">
        <f>37204.6135661239*(1/100/100)</f>
        <v>3.7204613566123905</v>
      </c>
      <c r="C3075">
        <v>24368</v>
      </c>
      <c r="D3075" t="s">
        <v>4960</v>
      </c>
      <c r="E3075">
        <v>32509</v>
      </c>
      <c r="F3075" t="s">
        <v>972</v>
      </c>
      <c r="G3075">
        <v>325</v>
      </c>
      <c r="H3075" t="s">
        <v>73</v>
      </c>
      <c r="I3075">
        <v>3</v>
      </c>
      <c r="J3075" t="s">
        <v>50</v>
      </c>
    </row>
    <row r="3076" spans="1:10" x14ac:dyDescent="0.25">
      <c r="A3076" t="s">
        <v>7355</v>
      </c>
      <c r="B3076">
        <f>9184.22334679788*(1/100/100)</f>
        <v>0.91842233467978807</v>
      </c>
      <c r="C3076">
        <v>24370</v>
      </c>
      <c r="D3076" t="s">
        <v>1102</v>
      </c>
      <c r="E3076">
        <v>32530</v>
      </c>
      <c r="F3076" t="s">
        <v>988</v>
      </c>
      <c r="G3076">
        <v>325</v>
      </c>
      <c r="H3076" t="s">
        <v>73</v>
      </c>
      <c r="I3076">
        <v>3</v>
      </c>
      <c r="J3076" t="s">
        <v>50</v>
      </c>
    </row>
    <row r="3077" spans="1:10" x14ac:dyDescent="0.25">
      <c r="A3077" t="s">
        <v>7355</v>
      </c>
      <c r="B3077">
        <f>100800.689203846*(1/100/100)</f>
        <v>10.080068920384601</v>
      </c>
      <c r="C3077">
        <v>24371</v>
      </c>
      <c r="D3077" t="s">
        <v>5132</v>
      </c>
      <c r="E3077">
        <v>32530</v>
      </c>
      <c r="F3077" t="s">
        <v>988</v>
      </c>
      <c r="G3077">
        <v>325</v>
      </c>
      <c r="H3077" t="s">
        <v>73</v>
      </c>
      <c r="I3077">
        <v>3</v>
      </c>
      <c r="J3077" t="s">
        <v>50</v>
      </c>
    </row>
    <row r="3078" spans="1:10" x14ac:dyDescent="0.25">
      <c r="A3078" t="s">
        <v>7355</v>
      </c>
      <c r="B3078">
        <f>59380.8057586124*(1/100/100)</f>
        <v>5.9380805758612398</v>
      </c>
      <c r="C3078">
        <v>24372</v>
      </c>
      <c r="D3078" t="s">
        <v>5074</v>
      </c>
      <c r="E3078">
        <v>32525</v>
      </c>
      <c r="F3078" t="s">
        <v>985</v>
      </c>
      <c r="G3078">
        <v>325</v>
      </c>
      <c r="H3078" t="s">
        <v>73</v>
      </c>
      <c r="I3078">
        <v>3</v>
      </c>
      <c r="J3078" t="s">
        <v>50</v>
      </c>
    </row>
    <row r="3079" spans="1:10" x14ac:dyDescent="0.25">
      <c r="A3079" t="s">
        <v>7355</v>
      </c>
      <c r="B3079">
        <f>7901.85900174935*(1/100/100)</f>
        <v>0.79018590017493506</v>
      </c>
      <c r="C3079">
        <v>24373</v>
      </c>
      <c r="D3079" t="s">
        <v>5133</v>
      </c>
      <c r="E3079">
        <v>32530</v>
      </c>
      <c r="F3079" t="s">
        <v>988</v>
      </c>
      <c r="G3079">
        <v>325</v>
      </c>
      <c r="H3079" t="s">
        <v>73</v>
      </c>
      <c r="I3079">
        <v>3</v>
      </c>
      <c r="J3079" t="s">
        <v>50</v>
      </c>
    </row>
    <row r="3080" spans="1:10" x14ac:dyDescent="0.25">
      <c r="A3080" t="s">
        <v>7355</v>
      </c>
      <c r="B3080">
        <f>15457.4095334667*(1/100/100)</f>
        <v>1.5457409533466702</v>
      </c>
      <c r="C3080">
        <v>24374</v>
      </c>
      <c r="D3080" t="s">
        <v>5134</v>
      </c>
      <c r="E3080">
        <v>32530</v>
      </c>
      <c r="F3080" t="s">
        <v>988</v>
      </c>
      <c r="G3080">
        <v>325</v>
      </c>
      <c r="H3080" t="s">
        <v>73</v>
      </c>
      <c r="I3080">
        <v>3</v>
      </c>
      <c r="J3080" t="s">
        <v>50</v>
      </c>
    </row>
    <row r="3081" spans="1:10" x14ac:dyDescent="0.25">
      <c r="A3081" t="s">
        <v>7355</v>
      </c>
      <c r="B3081">
        <f>16976.9447724051*(1/100/100)</f>
        <v>1.69769447724051</v>
      </c>
      <c r="C3081">
        <v>24375</v>
      </c>
      <c r="D3081" t="s">
        <v>954</v>
      </c>
      <c r="E3081">
        <v>32525</v>
      </c>
      <c r="F3081" t="s">
        <v>985</v>
      </c>
      <c r="G3081">
        <v>325</v>
      </c>
      <c r="H3081" t="s">
        <v>73</v>
      </c>
      <c r="I3081">
        <v>3</v>
      </c>
      <c r="J3081" t="s">
        <v>50</v>
      </c>
    </row>
    <row r="3082" spans="1:10" x14ac:dyDescent="0.25">
      <c r="A3082" t="s">
        <v>7355</v>
      </c>
      <c r="B3082">
        <f>127437.542241811*(1/100/100)</f>
        <v>12.743754224181099</v>
      </c>
      <c r="C3082">
        <v>24376</v>
      </c>
      <c r="D3082" t="s">
        <v>985</v>
      </c>
      <c r="E3082">
        <v>32525</v>
      </c>
      <c r="F3082" t="s">
        <v>985</v>
      </c>
      <c r="G3082">
        <v>325</v>
      </c>
      <c r="H3082" t="s">
        <v>73</v>
      </c>
      <c r="I3082">
        <v>3</v>
      </c>
      <c r="J3082" t="s">
        <v>50</v>
      </c>
    </row>
    <row r="3083" spans="1:10" x14ac:dyDescent="0.25">
      <c r="A3083" t="s">
        <v>7355</v>
      </c>
      <c r="B3083">
        <f>46238.516101975*(1/100/100)</f>
        <v>4.6238516101975007</v>
      </c>
      <c r="C3083">
        <v>24377</v>
      </c>
      <c r="D3083" t="s">
        <v>4961</v>
      </c>
      <c r="E3083">
        <v>32509</v>
      </c>
      <c r="F3083" t="s">
        <v>972</v>
      </c>
      <c r="G3083">
        <v>325</v>
      </c>
      <c r="H3083" t="s">
        <v>73</v>
      </c>
      <c r="I3083">
        <v>3</v>
      </c>
      <c r="J3083" t="s">
        <v>50</v>
      </c>
    </row>
    <row r="3084" spans="1:10" x14ac:dyDescent="0.25">
      <c r="A3084" t="s">
        <v>7355</v>
      </c>
      <c r="B3084">
        <f>20226.7226819532*(1/100/100)</f>
        <v>2.0226722681953202</v>
      </c>
      <c r="C3084">
        <v>24378</v>
      </c>
      <c r="D3084" t="s">
        <v>5075</v>
      </c>
      <c r="E3084">
        <v>32525</v>
      </c>
      <c r="F3084" t="s">
        <v>985</v>
      </c>
      <c r="G3084">
        <v>325</v>
      </c>
      <c r="H3084" t="s">
        <v>73</v>
      </c>
      <c r="I3084">
        <v>3</v>
      </c>
      <c r="J3084" t="s">
        <v>50</v>
      </c>
    </row>
    <row r="3085" spans="1:10" x14ac:dyDescent="0.25">
      <c r="A3085" t="s">
        <v>7355</v>
      </c>
      <c r="B3085">
        <f>14213.6170224303*(1/100/100)</f>
        <v>1.42136170224303</v>
      </c>
      <c r="C3085">
        <v>24379</v>
      </c>
      <c r="D3085" t="s">
        <v>5135</v>
      </c>
      <c r="E3085">
        <v>32530</v>
      </c>
      <c r="F3085" t="s">
        <v>988</v>
      </c>
      <c r="G3085">
        <v>325</v>
      </c>
      <c r="H3085" t="s">
        <v>73</v>
      </c>
      <c r="I3085">
        <v>3</v>
      </c>
      <c r="J3085" t="s">
        <v>50</v>
      </c>
    </row>
    <row r="3086" spans="1:10" x14ac:dyDescent="0.25">
      <c r="A3086" t="s">
        <v>7355</v>
      </c>
      <c r="B3086">
        <f>32955.4882486652*(1/100/100)</f>
        <v>3.2955488248665201</v>
      </c>
      <c r="C3086">
        <v>24380</v>
      </c>
      <c r="D3086" t="s">
        <v>5136</v>
      </c>
      <c r="E3086">
        <v>32530</v>
      </c>
      <c r="F3086" t="s">
        <v>988</v>
      </c>
      <c r="G3086">
        <v>325</v>
      </c>
      <c r="H3086" t="s">
        <v>73</v>
      </c>
      <c r="I3086">
        <v>3</v>
      </c>
      <c r="J3086" t="s">
        <v>50</v>
      </c>
    </row>
    <row r="3087" spans="1:10" x14ac:dyDescent="0.25">
      <c r="A3087" t="s">
        <v>7355</v>
      </c>
      <c r="B3087">
        <f>35472.4124503933*(1/100/100)</f>
        <v>3.5472412450393298</v>
      </c>
      <c r="C3087">
        <v>24381</v>
      </c>
      <c r="D3087" t="s">
        <v>5137</v>
      </c>
      <c r="E3087">
        <v>32530</v>
      </c>
      <c r="F3087" t="s">
        <v>988</v>
      </c>
      <c r="G3087">
        <v>325</v>
      </c>
      <c r="H3087" t="s">
        <v>73</v>
      </c>
      <c r="I3087">
        <v>3</v>
      </c>
      <c r="J3087" t="s">
        <v>50</v>
      </c>
    </row>
    <row r="3088" spans="1:10" x14ac:dyDescent="0.25">
      <c r="A3088" t="s">
        <v>7355</v>
      </c>
      <c r="B3088">
        <f>35843.5155173865*(1/100/100)</f>
        <v>3.5843515517386502</v>
      </c>
      <c r="C3088">
        <v>24382</v>
      </c>
      <c r="D3088" t="s">
        <v>5076</v>
      </c>
      <c r="E3088">
        <v>32525</v>
      </c>
      <c r="F3088" t="s">
        <v>985</v>
      </c>
      <c r="G3088">
        <v>325</v>
      </c>
      <c r="H3088" t="s">
        <v>73</v>
      </c>
      <c r="I3088">
        <v>3</v>
      </c>
      <c r="J3088" t="s">
        <v>50</v>
      </c>
    </row>
    <row r="3089" spans="1:10" x14ac:dyDescent="0.25">
      <c r="A3089" t="s">
        <v>7355</v>
      </c>
      <c r="B3089">
        <f>19344.4337115286*(1/100/100)</f>
        <v>1.9344433711528601</v>
      </c>
      <c r="C3089">
        <v>24383</v>
      </c>
      <c r="D3089" t="s">
        <v>5138</v>
      </c>
      <c r="E3089">
        <v>32530</v>
      </c>
      <c r="F3089" t="s">
        <v>988</v>
      </c>
      <c r="G3089">
        <v>325</v>
      </c>
      <c r="H3089" t="s">
        <v>73</v>
      </c>
      <c r="I3089">
        <v>3</v>
      </c>
      <c r="J3089" t="s">
        <v>50</v>
      </c>
    </row>
    <row r="3090" spans="1:10" x14ac:dyDescent="0.25">
      <c r="A3090" t="s">
        <v>7355</v>
      </c>
      <c r="B3090">
        <f>36406.7306047276*(1/100/100)</f>
        <v>3.6406730604727602</v>
      </c>
      <c r="C3090">
        <v>24384</v>
      </c>
      <c r="D3090" t="s">
        <v>5139</v>
      </c>
      <c r="E3090">
        <v>32530</v>
      </c>
      <c r="F3090" t="s">
        <v>988</v>
      </c>
      <c r="G3090">
        <v>325</v>
      </c>
      <c r="H3090" t="s">
        <v>73</v>
      </c>
      <c r="I3090">
        <v>3</v>
      </c>
      <c r="J3090" t="s">
        <v>50</v>
      </c>
    </row>
    <row r="3091" spans="1:10" x14ac:dyDescent="0.25">
      <c r="A3091" t="s">
        <v>7355</v>
      </c>
      <c r="B3091">
        <f>53613.5137150765*(1/100/100)</f>
        <v>5.3613513715076504</v>
      </c>
      <c r="C3091">
        <v>24385</v>
      </c>
      <c r="D3091" t="s">
        <v>987</v>
      </c>
      <c r="E3091">
        <v>32529</v>
      </c>
      <c r="F3091" t="s">
        <v>987</v>
      </c>
      <c r="G3091">
        <v>325</v>
      </c>
      <c r="H3091" t="s">
        <v>73</v>
      </c>
      <c r="I3091">
        <v>3</v>
      </c>
      <c r="J3091" t="s">
        <v>50</v>
      </c>
    </row>
    <row r="3092" spans="1:10" x14ac:dyDescent="0.25">
      <c r="A3092" t="s">
        <v>7355</v>
      </c>
      <c r="B3092">
        <f>22075.8340436881*(1/100/100)</f>
        <v>2.2075834043688101</v>
      </c>
      <c r="C3092">
        <v>24386</v>
      </c>
      <c r="D3092" t="s">
        <v>3340</v>
      </c>
      <c r="E3092">
        <v>32525</v>
      </c>
      <c r="F3092" t="s">
        <v>985</v>
      </c>
      <c r="G3092">
        <v>325</v>
      </c>
      <c r="H3092" t="s">
        <v>73</v>
      </c>
      <c r="I3092">
        <v>3</v>
      </c>
      <c r="J3092" t="s">
        <v>50</v>
      </c>
    </row>
    <row r="3093" spans="1:10" x14ac:dyDescent="0.25">
      <c r="A3093" t="s">
        <v>7355</v>
      </c>
      <c r="B3093">
        <f>18735.7977076101*(1/100/100)</f>
        <v>1.8735797707610102</v>
      </c>
      <c r="C3093">
        <v>24387</v>
      </c>
      <c r="D3093" t="s">
        <v>5096</v>
      </c>
      <c r="E3093">
        <v>32529</v>
      </c>
      <c r="F3093" t="s">
        <v>987</v>
      </c>
      <c r="G3093">
        <v>325</v>
      </c>
      <c r="H3093" t="s">
        <v>73</v>
      </c>
      <c r="I3093">
        <v>3</v>
      </c>
      <c r="J3093" t="s">
        <v>50</v>
      </c>
    </row>
    <row r="3094" spans="1:10" x14ac:dyDescent="0.25">
      <c r="A3094" t="s">
        <v>7355</v>
      </c>
      <c r="B3094">
        <f>17791.3841035664*(1/100/100)</f>
        <v>1.7791384103566401</v>
      </c>
      <c r="C3094">
        <v>24388</v>
      </c>
      <c r="D3094" t="s">
        <v>5097</v>
      </c>
      <c r="E3094">
        <v>32529</v>
      </c>
      <c r="F3094" t="s">
        <v>987</v>
      </c>
      <c r="G3094">
        <v>325</v>
      </c>
      <c r="H3094" t="s">
        <v>73</v>
      </c>
      <c r="I3094">
        <v>3</v>
      </c>
      <c r="J3094" t="s">
        <v>50</v>
      </c>
    </row>
    <row r="3095" spans="1:10" x14ac:dyDescent="0.25">
      <c r="A3095" t="s">
        <v>7355</v>
      </c>
      <c r="B3095">
        <f>473.22409123804*(1/100/100)</f>
        <v>4.7322409123804005E-2</v>
      </c>
      <c r="C3095">
        <v>24389</v>
      </c>
      <c r="D3095" t="s">
        <v>5140</v>
      </c>
      <c r="E3095">
        <v>32530</v>
      </c>
      <c r="F3095" t="s">
        <v>988</v>
      </c>
      <c r="G3095">
        <v>325</v>
      </c>
      <c r="H3095" t="s">
        <v>73</v>
      </c>
      <c r="I3095">
        <v>3</v>
      </c>
      <c r="J3095" t="s">
        <v>50</v>
      </c>
    </row>
    <row r="3096" spans="1:10" x14ac:dyDescent="0.25">
      <c r="A3096" t="s">
        <v>7355</v>
      </c>
      <c r="B3096">
        <f>11624.0578477224*(1/100/100)</f>
        <v>1.1624057847722402</v>
      </c>
      <c r="C3096">
        <v>24390</v>
      </c>
      <c r="D3096" t="s">
        <v>5077</v>
      </c>
      <c r="E3096">
        <v>32525</v>
      </c>
      <c r="F3096" t="s">
        <v>985</v>
      </c>
      <c r="G3096">
        <v>325</v>
      </c>
      <c r="H3096" t="s">
        <v>73</v>
      </c>
      <c r="I3096">
        <v>3</v>
      </c>
      <c r="J3096" t="s">
        <v>50</v>
      </c>
    </row>
    <row r="3097" spans="1:10" x14ac:dyDescent="0.25">
      <c r="A3097" t="s">
        <v>7355</v>
      </c>
      <c r="B3097">
        <f>22722.7040508796*(1/100/100)</f>
        <v>2.2722704050879603</v>
      </c>
      <c r="C3097">
        <v>24391</v>
      </c>
      <c r="D3097" t="s">
        <v>47</v>
      </c>
      <c r="E3097">
        <v>32530</v>
      </c>
      <c r="F3097" t="s">
        <v>988</v>
      </c>
      <c r="G3097">
        <v>325</v>
      </c>
      <c r="H3097" t="s">
        <v>73</v>
      </c>
      <c r="I3097">
        <v>3</v>
      </c>
      <c r="J3097" t="s">
        <v>50</v>
      </c>
    </row>
    <row r="3098" spans="1:10" x14ac:dyDescent="0.25">
      <c r="A3098" t="s">
        <v>7355</v>
      </c>
      <c r="B3098">
        <f>391837.841821366*(1/100/100)</f>
        <v>39.183784182136598</v>
      </c>
      <c r="C3098">
        <v>24392</v>
      </c>
      <c r="D3098" t="s">
        <v>5141</v>
      </c>
      <c r="E3098">
        <v>32530</v>
      </c>
      <c r="F3098" t="s">
        <v>988</v>
      </c>
      <c r="G3098">
        <v>325</v>
      </c>
      <c r="H3098" t="s">
        <v>73</v>
      </c>
      <c r="I3098">
        <v>3</v>
      </c>
      <c r="J3098" t="s">
        <v>50</v>
      </c>
    </row>
    <row r="3099" spans="1:10" x14ac:dyDescent="0.25">
      <c r="A3099" t="s">
        <v>7355</v>
      </c>
      <c r="B3099">
        <f>58152.8651582971*(1/100/100)</f>
        <v>5.81528651582971</v>
      </c>
      <c r="C3099">
        <v>24393</v>
      </c>
      <c r="D3099" t="s">
        <v>5142</v>
      </c>
      <c r="E3099">
        <v>32530</v>
      </c>
      <c r="F3099" t="s">
        <v>988</v>
      </c>
      <c r="G3099">
        <v>325</v>
      </c>
      <c r="H3099" t="s">
        <v>73</v>
      </c>
      <c r="I3099">
        <v>3</v>
      </c>
      <c r="J3099" t="s">
        <v>50</v>
      </c>
    </row>
    <row r="3100" spans="1:10" x14ac:dyDescent="0.25">
      <c r="A3100" t="s">
        <v>7355</v>
      </c>
      <c r="B3100">
        <f>474.678424714906*(1/100/100)</f>
        <v>4.74678424714906E-2</v>
      </c>
      <c r="C3100">
        <v>24394</v>
      </c>
      <c r="D3100" t="s">
        <v>1436</v>
      </c>
      <c r="E3100">
        <v>32530</v>
      </c>
      <c r="F3100" t="s">
        <v>988</v>
      </c>
      <c r="G3100">
        <v>325</v>
      </c>
      <c r="H3100" t="s">
        <v>73</v>
      </c>
      <c r="I3100">
        <v>3</v>
      </c>
      <c r="J3100" t="s">
        <v>50</v>
      </c>
    </row>
    <row r="3101" spans="1:10" x14ac:dyDescent="0.25">
      <c r="A3101" t="s">
        <v>7355</v>
      </c>
      <c r="B3101">
        <f>5676.54230901582*(1/100/100)</f>
        <v>0.56765423090158207</v>
      </c>
      <c r="C3101">
        <v>24395</v>
      </c>
      <c r="D3101" t="s">
        <v>5078</v>
      </c>
      <c r="E3101">
        <v>32525</v>
      </c>
      <c r="F3101" t="s">
        <v>985</v>
      </c>
      <c r="G3101">
        <v>325</v>
      </c>
      <c r="H3101" t="s">
        <v>73</v>
      </c>
      <c r="I3101">
        <v>3</v>
      </c>
      <c r="J3101" t="s">
        <v>50</v>
      </c>
    </row>
    <row r="3102" spans="1:10" x14ac:dyDescent="0.25">
      <c r="A3102" t="s">
        <v>7355</v>
      </c>
      <c r="B3102">
        <f>33022.1181724013*(1/100/100)</f>
        <v>3.30221181724013</v>
      </c>
      <c r="C3102">
        <v>24396</v>
      </c>
      <c r="D3102" t="s">
        <v>5079</v>
      </c>
      <c r="E3102">
        <v>32525</v>
      </c>
      <c r="F3102" t="s">
        <v>985</v>
      </c>
      <c r="G3102">
        <v>325</v>
      </c>
      <c r="H3102" t="s">
        <v>73</v>
      </c>
      <c r="I3102">
        <v>3</v>
      </c>
      <c r="J3102" t="s">
        <v>50</v>
      </c>
    </row>
    <row r="3103" spans="1:10" x14ac:dyDescent="0.25">
      <c r="A3103" t="s">
        <v>7355</v>
      </c>
      <c r="B3103">
        <f>6024.0913304286*(1/100/100)</f>
        <v>0.60240913304286003</v>
      </c>
      <c r="C3103">
        <v>24397</v>
      </c>
      <c r="D3103" t="s">
        <v>5080</v>
      </c>
      <c r="E3103">
        <v>32525</v>
      </c>
      <c r="F3103" t="s">
        <v>985</v>
      </c>
      <c r="G3103">
        <v>325</v>
      </c>
      <c r="H3103" t="s">
        <v>73</v>
      </c>
      <c r="I3103">
        <v>3</v>
      </c>
      <c r="J3103" t="s">
        <v>50</v>
      </c>
    </row>
    <row r="3104" spans="1:10" x14ac:dyDescent="0.25">
      <c r="A3104" t="s">
        <v>7355</v>
      </c>
      <c r="B3104">
        <f>43015.8027761605*(1/100/100)</f>
        <v>4.3015802776160497</v>
      </c>
      <c r="C3104">
        <v>24398</v>
      </c>
      <c r="D3104" t="s">
        <v>5081</v>
      </c>
      <c r="E3104">
        <v>32525</v>
      </c>
      <c r="F3104" t="s">
        <v>985</v>
      </c>
      <c r="G3104">
        <v>325</v>
      </c>
      <c r="H3104" t="s">
        <v>73</v>
      </c>
      <c r="I3104">
        <v>3</v>
      </c>
      <c r="J3104" t="s">
        <v>50</v>
      </c>
    </row>
    <row r="3105" spans="1:10" x14ac:dyDescent="0.25">
      <c r="A3105" t="s">
        <v>7355</v>
      </c>
      <c r="B3105">
        <f>4161.32365654654*(1/100/100)</f>
        <v>0.41613236565465406</v>
      </c>
      <c r="C3105">
        <v>24399</v>
      </c>
      <c r="D3105" t="s">
        <v>5082</v>
      </c>
      <c r="E3105">
        <v>32525</v>
      </c>
      <c r="F3105" t="s">
        <v>985</v>
      </c>
      <c r="G3105">
        <v>325</v>
      </c>
      <c r="H3105" t="s">
        <v>73</v>
      </c>
      <c r="I3105">
        <v>3</v>
      </c>
      <c r="J3105" t="s">
        <v>50</v>
      </c>
    </row>
    <row r="3106" spans="1:10" x14ac:dyDescent="0.25">
      <c r="A3106" t="s">
        <v>7355</v>
      </c>
      <c r="B3106">
        <f>20881.3768368175*(1/100/100)</f>
        <v>2.08813768368175</v>
      </c>
      <c r="C3106">
        <v>24400</v>
      </c>
      <c r="D3106" t="s">
        <v>978</v>
      </c>
      <c r="E3106">
        <v>32530</v>
      </c>
      <c r="F3106" t="s">
        <v>988</v>
      </c>
      <c r="G3106">
        <v>325</v>
      </c>
      <c r="H3106" t="s">
        <v>73</v>
      </c>
      <c r="I3106">
        <v>3</v>
      </c>
      <c r="J3106" t="s">
        <v>50</v>
      </c>
    </row>
    <row r="3107" spans="1:10" x14ac:dyDescent="0.25">
      <c r="A3107" t="s">
        <v>7355</v>
      </c>
      <c r="B3107">
        <f>8995.07787345592*(1/100/100)</f>
        <v>0.89950778734559211</v>
      </c>
      <c r="C3107">
        <v>24501</v>
      </c>
      <c r="D3107" t="s">
        <v>4996</v>
      </c>
      <c r="E3107">
        <v>32515</v>
      </c>
      <c r="F3107" t="s">
        <v>975</v>
      </c>
      <c r="G3107">
        <v>325</v>
      </c>
      <c r="H3107" t="s">
        <v>73</v>
      </c>
      <c r="I3107">
        <v>3</v>
      </c>
      <c r="J3107" t="s">
        <v>50</v>
      </c>
    </row>
    <row r="3108" spans="1:10" x14ac:dyDescent="0.25">
      <c r="A3108" t="s">
        <v>7355</v>
      </c>
      <c r="B3108">
        <f>5384.58292057922*(1/100/100)</f>
        <v>0.53845829205792195</v>
      </c>
      <c r="C3108">
        <v>24502</v>
      </c>
      <c r="D3108" t="s">
        <v>4997</v>
      </c>
      <c r="E3108">
        <v>32515</v>
      </c>
      <c r="F3108" t="s">
        <v>975</v>
      </c>
      <c r="G3108">
        <v>325</v>
      </c>
      <c r="H3108" t="s">
        <v>73</v>
      </c>
      <c r="I3108">
        <v>3</v>
      </c>
      <c r="J3108" t="s">
        <v>50</v>
      </c>
    </row>
    <row r="3109" spans="1:10" x14ac:dyDescent="0.25">
      <c r="A3109" t="s">
        <v>144</v>
      </c>
      <c r="B3109">
        <f>263237.225217601*(1/100/100)</f>
        <v>26.3237225217601</v>
      </c>
      <c r="C3109">
        <v>30001</v>
      </c>
      <c r="D3109" t="s">
        <v>178</v>
      </c>
      <c r="E3109">
        <v>10301</v>
      </c>
      <c r="F3109" t="s">
        <v>178</v>
      </c>
      <c r="G3109">
        <v>103</v>
      </c>
      <c r="H3109" t="s">
        <v>32</v>
      </c>
      <c r="I3109">
        <v>1</v>
      </c>
      <c r="J3109" t="s">
        <v>30</v>
      </c>
    </row>
    <row r="3110" spans="1:10" x14ac:dyDescent="0.25">
      <c r="A3110" t="s">
        <v>144</v>
      </c>
      <c r="B3110">
        <f>232295.87715584*(1/100/100)</f>
        <v>23.229587715584</v>
      </c>
      <c r="C3110">
        <v>30002</v>
      </c>
      <c r="D3110" t="s">
        <v>179</v>
      </c>
      <c r="E3110">
        <v>10302</v>
      </c>
      <c r="F3110" t="s">
        <v>179</v>
      </c>
      <c r="G3110">
        <v>103</v>
      </c>
      <c r="H3110" t="s">
        <v>32</v>
      </c>
      <c r="I3110">
        <v>1</v>
      </c>
      <c r="J3110" t="s">
        <v>30</v>
      </c>
    </row>
    <row r="3111" spans="1:10" x14ac:dyDescent="0.25">
      <c r="A3111" t="s">
        <v>144</v>
      </c>
      <c r="B3111">
        <f>788136.913806615*(1/100/100)</f>
        <v>78.81369138066151</v>
      </c>
      <c r="C3111">
        <v>30003</v>
      </c>
      <c r="D3111" t="s">
        <v>176</v>
      </c>
      <c r="E3111">
        <v>10101</v>
      </c>
      <c r="F3111" t="s">
        <v>176</v>
      </c>
      <c r="G3111">
        <v>101</v>
      </c>
      <c r="H3111" t="s">
        <v>29</v>
      </c>
      <c r="I3111">
        <v>1</v>
      </c>
      <c r="J3111" t="s">
        <v>30</v>
      </c>
    </row>
    <row r="3112" spans="1:10" x14ac:dyDescent="0.25">
      <c r="A3112" t="s">
        <v>144</v>
      </c>
      <c r="B3112">
        <f>54782.787034464*(1/100/100)</f>
        <v>5.4782787034464002</v>
      </c>
      <c r="C3112">
        <v>30004</v>
      </c>
      <c r="D3112" t="s">
        <v>2119</v>
      </c>
      <c r="E3112">
        <v>10101</v>
      </c>
      <c r="F3112" t="s">
        <v>176</v>
      </c>
      <c r="G3112">
        <v>101</v>
      </c>
      <c r="H3112" t="s">
        <v>29</v>
      </c>
      <c r="I3112">
        <v>1</v>
      </c>
      <c r="J3112" t="s">
        <v>30</v>
      </c>
    </row>
    <row r="3113" spans="1:10" x14ac:dyDescent="0.25">
      <c r="A3113" t="s">
        <v>144</v>
      </c>
      <c r="B3113">
        <f>7145.67003580912*(1/100/100)</f>
        <v>0.71456700358091207</v>
      </c>
      <c r="C3113">
        <v>30005</v>
      </c>
      <c r="D3113" t="s">
        <v>2120</v>
      </c>
      <c r="E3113">
        <v>10101</v>
      </c>
      <c r="F3113" t="s">
        <v>176</v>
      </c>
      <c r="G3113">
        <v>101</v>
      </c>
      <c r="H3113" t="s">
        <v>29</v>
      </c>
      <c r="I3113">
        <v>1</v>
      </c>
      <c r="J3113" t="s">
        <v>30</v>
      </c>
    </row>
    <row r="3114" spans="1:10" x14ac:dyDescent="0.25">
      <c r="A3114" t="s">
        <v>144</v>
      </c>
      <c r="B3114">
        <f>211414.509345465*(1/100/100)</f>
        <v>21.141450934546501</v>
      </c>
      <c r="C3114">
        <v>30006</v>
      </c>
      <c r="D3114" t="s">
        <v>180</v>
      </c>
      <c r="E3114">
        <v>10303</v>
      </c>
      <c r="F3114" t="s">
        <v>180</v>
      </c>
      <c r="G3114">
        <v>103</v>
      </c>
      <c r="H3114" t="s">
        <v>32</v>
      </c>
      <c r="I3114">
        <v>1</v>
      </c>
      <c r="J3114" t="s">
        <v>30</v>
      </c>
    </row>
    <row r="3115" spans="1:10" x14ac:dyDescent="0.25">
      <c r="A3115" t="s">
        <v>144</v>
      </c>
      <c r="B3115">
        <f>425296.132988218*(1/100/100)</f>
        <v>42.529613298821801</v>
      </c>
      <c r="C3115">
        <v>30007</v>
      </c>
      <c r="D3115" t="s">
        <v>181</v>
      </c>
      <c r="E3115">
        <v>10304</v>
      </c>
      <c r="F3115" t="s">
        <v>181</v>
      </c>
      <c r="G3115">
        <v>103</v>
      </c>
      <c r="H3115" t="s">
        <v>32</v>
      </c>
      <c r="I3115">
        <v>1</v>
      </c>
      <c r="J3115" t="s">
        <v>30</v>
      </c>
    </row>
    <row r="3116" spans="1:10" x14ac:dyDescent="0.25">
      <c r="A3116" t="s">
        <v>144</v>
      </c>
      <c r="B3116">
        <f>248981.743031215*(1/100/100)</f>
        <v>24.898174303121504</v>
      </c>
      <c r="C3116">
        <v>30008</v>
      </c>
      <c r="D3116" t="s">
        <v>2121</v>
      </c>
      <c r="E3116">
        <v>10101</v>
      </c>
      <c r="F3116" t="s">
        <v>176</v>
      </c>
      <c r="G3116">
        <v>101</v>
      </c>
      <c r="H3116" t="s">
        <v>29</v>
      </c>
      <c r="I3116">
        <v>1</v>
      </c>
      <c r="J3116" t="s">
        <v>30</v>
      </c>
    </row>
    <row r="3117" spans="1:10" x14ac:dyDescent="0.25">
      <c r="A3117" t="s">
        <v>144</v>
      </c>
      <c r="B3117">
        <f>125635.200276658*(1/100/100)</f>
        <v>12.563520027665801</v>
      </c>
      <c r="C3117">
        <v>30009</v>
      </c>
      <c r="D3117" t="s">
        <v>182</v>
      </c>
      <c r="E3117">
        <v>10305</v>
      </c>
      <c r="F3117" t="s">
        <v>182</v>
      </c>
      <c r="G3117">
        <v>103</v>
      </c>
      <c r="H3117" t="s">
        <v>32</v>
      </c>
      <c r="I3117">
        <v>1</v>
      </c>
      <c r="J3117" t="s">
        <v>30</v>
      </c>
    </row>
    <row r="3118" spans="1:10" x14ac:dyDescent="0.25">
      <c r="A3118" t="s">
        <v>144</v>
      </c>
      <c r="B3118">
        <f>217170.597841924*(1/100/100)</f>
        <v>21.717059784192401</v>
      </c>
      <c r="C3118">
        <v>30010</v>
      </c>
      <c r="D3118" t="s">
        <v>183</v>
      </c>
      <c r="E3118">
        <v>10306</v>
      </c>
      <c r="F3118" t="s">
        <v>183</v>
      </c>
      <c r="G3118">
        <v>103</v>
      </c>
      <c r="H3118" t="s">
        <v>32</v>
      </c>
      <c r="I3118">
        <v>1</v>
      </c>
      <c r="J3118" t="s">
        <v>30</v>
      </c>
    </row>
    <row r="3119" spans="1:10" x14ac:dyDescent="0.25">
      <c r="A3119" t="s">
        <v>144</v>
      </c>
      <c r="B3119">
        <f>61155.9696585452*(1/100/100)</f>
        <v>6.11559696585452</v>
      </c>
      <c r="C3119">
        <v>30011</v>
      </c>
      <c r="D3119" t="s">
        <v>197</v>
      </c>
      <c r="E3119">
        <v>10320</v>
      </c>
      <c r="F3119" t="s">
        <v>197</v>
      </c>
      <c r="G3119">
        <v>103</v>
      </c>
      <c r="H3119" t="s">
        <v>32</v>
      </c>
      <c r="I3119">
        <v>1</v>
      </c>
      <c r="J3119" t="s">
        <v>30</v>
      </c>
    </row>
    <row r="3120" spans="1:10" x14ac:dyDescent="0.25">
      <c r="A3120" t="s">
        <v>144</v>
      </c>
      <c r="B3120">
        <f>304495.515641116*(1/100/100)</f>
        <v>30.449551564111601</v>
      </c>
      <c r="C3120">
        <v>30012</v>
      </c>
      <c r="D3120" t="s">
        <v>184</v>
      </c>
      <c r="E3120">
        <v>10307</v>
      </c>
      <c r="F3120" t="s">
        <v>184</v>
      </c>
      <c r="G3120">
        <v>103</v>
      </c>
      <c r="H3120" t="s">
        <v>32</v>
      </c>
      <c r="I3120">
        <v>1</v>
      </c>
      <c r="J3120" t="s">
        <v>30</v>
      </c>
    </row>
    <row r="3121" spans="1:10" x14ac:dyDescent="0.25">
      <c r="A3121" t="s">
        <v>144</v>
      </c>
      <c r="B3121">
        <f>242804.554209833*(1/100/100)</f>
        <v>24.280455420983301</v>
      </c>
      <c r="C3121">
        <v>30013</v>
      </c>
      <c r="D3121" t="s">
        <v>185</v>
      </c>
      <c r="E3121">
        <v>10308</v>
      </c>
      <c r="F3121" t="s">
        <v>185</v>
      </c>
      <c r="G3121">
        <v>103</v>
      </c>
      <c r="H3121" t="s">
        <v>32</v>
      </c>
      <c r="I3121">
        <v>1</v>
      </c>
      <c r="J3121" t="s">
        <v>30</v>
      </c>
    </row>
    <row r="3122" spans="1:10" x14ac:dyDescent="0.25">
      <c r="A3122" t="s">
        <v>144</v>
      </c>
      <c r="B3122">
        <f>277535.707304719*(1/100/100)</f>
        <v>27.753570730471903</v>
      </c>
      <c r="C3122">
        <v>30014</v>
      </c>
      <c r="D3122" t="s">
        <v>186</v>
      </c>
      <c r="E3122">
        <v>10309</v>
      </c>
      <c r="F3122" t="s">
        <v>186</v>
      </c>
      <c r="G3122">
        <v>103</v>
      </c>
      <c r="H3122" t="s">
        <v>32</v>
      </c>
      <c r="I3122">
        <v>1</v>
      </c>
      <c r="J3122" t="s">
        <v>30</v>
      </c>
    </row>
    <row r="3123" spans="1:10" x14ac:dyDescent="0.25">
      <c r="A3123" t="s">
        <v>144</v>
      </c>
      <c r="B3123">
        <f>211152.570542086*(1/100/100)</f>
        <v>21.115257054208602</v>
      </c>
      <c r="C3123">
        <v>30015</v>
      </c>
      <c r="D3123" t="s">
        <v>2123</v>
      </c>
      <c r="E3123">
        <v>10310</v>
      </c>
      <c r="F3123" t="s">
        <v>187</v>
      </c>
      <c r="G3123">
        <v>103</v>
      </c>
      <c r="H3123" t="s">
        <v>32</v>
      </c>
      <c r="I3123">
        <v>1</v>
      </c>
      <c r="J3123" t="s">
        <v>30</v>
      </c>
    </row>
    <row r="3124" spans="1:10" x14ac:dyDescent="0.25">
      <c r="A3124" t="s">
        <v>144</v>
      </c>
      <c r="B3124">
        <f>173446.526410642*(1/100/100)</f>
        <v>17.344652641064201</v>
      </c>
      <c r="C3124">
        <v>30016</v>
      </c>
      <c r="D3124" t="s">
        <v>188</v>
      </c>
      <c r="E3124">
        <v>10311</v>
      </c>
      <c r="F3124" t="s">
        <v>188</v>
      </c>
      <c r="G3124">
        <v>103</v>
      </c>
      <c r="H3124" t="s">
        <v>32</v>
      </c>
      <c r="I3124">
        <v>1</v>
      </c>
      <c r="J3124" t="s">
        <v>30</v>
      </c>
    </row>
    <row r="3125" spans="1:10" x14ac:dyDescent="0.25">
      <c r="A3125" t="s">
        <v>144</v>
      </c>
      <c r="B3125">
        <f>357835.994734593*(1/100/100)</f>
        <v>35.783599473459304</v>
      </c>
      <c r="C3125">
        <v>30017</v>
      </c>
      <c r="D3125" t="s">
        <v>2124</v>
      </c>
      <c r="E3125">
        <v>10312</v>
      </c>
      <c r="F3125" t="s">
        <v>189</v>
      </c>
      <c r="G3125">
        <v>103</v>
      </c>
      <c r="H3125" t="s">
        <v>32</v>
      </c>
      <c r="I3125">
        <v>1</v>
      </c>
      <c r="J3125" t="s">
        <v>30</v>
      </c>
    </row>
    <row r="3126" spans="1:10" x14ac:dyDescent="0.25">
      <c r="A3126" t="s">
        <v>144</v>
      </c>
      <c r="B3126">
        <f>260750.550263328*(1/100/100)</f>
        <v>26.075055026332802</v>
      </c>
      <c r="C3126">
        <v>30018</v>
      </c>
      <c r="D3126" t="s">
        <v>177</v>
      </c>
      <c r="E3126">
        <v>10201</v>
      </c>
      <c r="F3126" t="s">
        <v>177</v>
      </c>
      <c r="G3126">
        <v>102</v>
      </c>
      <c r="H3126" t="s">
        <v>31</v>
      </c>
      <c r="I3126">
        <v>1</v>
      </c>
      <c r="J3126" t="s">
        <v>30</v>
      </c>
    </row>
    <row r="3127" spans="1:10" x14ac:dyDescent="0.25">
      <c r="A3127" t="s">
        <v>144</v>
      </c>
      <c r="B3127">
        <f>194378.848352089*(1/100/100)</f>
        <v>19.437884835208902</v>
      </c>
      <c r="C3127">
        <v>30019</v>
      </c>
      <c r="D3127" t="s">
        <v>2122</v>
      </c>
      <c r="E3127">
        <v>10101</v>
      </c>
      <c r="F3127" t="s">
        <v>176</v>
      </c>
      <c r="G3127">
        <v>101</v>
      </c>
      <c r="H3127" t="s">
        <v>29</v>
      </c>
      <c r="I3127">
        <v>1</v>
      </c>
      <c r="J3127" t="s">
        <v>30</v>
      </c>
    </row>
    <row r="3128" spans="1:10" x14ac:dyDescent="0.25">
      <c r="A3128" t="s">
        <v>144</v>
      </c>
      <c r="B3128">
        <f>357679.156816145*(1/100/100)</f>
        <v>35.767915681614504</v>
      </c>
      <c r="C3128">
        <v>30020</v>
      </c>
      <c r="D3128" t="s">
        <v>2125</v>
      </c>
      <c r="E3128">
        <v>10313</v>
      </c>
      <c r="F3128" t="s">
        <v>190</v>
      </c>
      <c r="G3128">
        <v>103</v>
      </c>
      <c r="H3128" t="s">
        <v>32</v>
      </c>
      <c r="I3128">
        <v>1</v>
      </c>
      <c r="J3128" t="s">
        <v>30</v>
      </c>
    </row>
    <row r="3129" spans="1:10" x14ac:dyDescent="0.25">
      <c r="A3129" t="s">
        <v>144</v>
      </c>
      <c r="B3129">
        <f>180740.049740071*(1/100/100)</f>
        <v>18.074004974007099</v>
      </c>
      <c r="C3129">
        <v>30021</v>
      </c>
      <c r="D3129" t="s">
        <v>191</v>
      </c>
      <c r="E3129">
        <v>10314</v>
      </c>
      <c r="F3129" t="s">
        <v>191</v>
      </c>
      <c r="G3129">
        <v>103</v>
      </c>
      <c r="H3129" t="s">
        <v>32</v>
      </c>
      <c r="I3129">
        <v>1</v>
      </c>
      <c r="J3129" t="s">
        <v>30</v>
      </c>
    </row>
    <row r="3130" spans="1:10" x14ac:dyDescent="0.25">
      <c r="A3130" t="s">
        <v>144</v>
      </c>
      <c r="B3130">
        <f>350598.220441308*(1/100/100)</f>
        <v>35.059822044130797</v>
      </c>
      <c r="C3130">
        <v>30022</v>
      </c>
      <c r="D3130" t="s">
        <v>192</v>
      </c>
      <c r="E3130">
        <v>10315</v>
      </c>
      <c r="F3130" t="s">
        <v>192</v>
      </c>
      <c r="G3130">
        <v>103</v>
      </c>
      <c r="H3130" t="s">
        <v>32</v>
      </c>
      <c r="I3130">
        <v>1</v>
      </c>
      <c r="J3130" t="s">
        <v>30</v>
      </c>
    </row>
    <row r="3131" spans="1:10" x14ac:dyDescent="0.25">
      <c r="A3131" t="s">
        <v>144</v>
      </c>
      <c r="B3131">
        <f>311091.910098355*(1/100/100)</f>
        <v>31.109191009835499</v>
      </c>
      <c r="C3131">
        <v>30023</v>
      </c>
      <c r="D3131" t="s">
        <v>193</v>
      </c>
      <c r="E3131">
        <v>10316</v>
      </c>
      <c r="F3131" t="s">
        <v>193</v>
      </c>
      <c r="G3131">
        <v>103</v>
      </c>
      <c r="H3131" t="s">
        <v>32</v>
      </c>
      <c r="I3131">
        <v>1</v>
      </c>
      <c r="J3131" t="s">
        <v>30</v>
      </c>
    </row>
    <row r="3132" spans="1:10" x14ac:dyDescent="0.25">
      <c r="A3132" t="s">
        <v>144</v>
      </c>
      <c r="B3132">
        <f>86912.8595501861*(1/100/100)</f>
        <v>8.6912859550186106</v>
      </c>
      <c r="C3132">
        <v>30024</v>
      </c>
      <c r="D3132" t="s">
        <v>198</v>
      </c>
      <c r="E3132">
        <v>10321</v>
      </c>
      <c r="F3132" t="s">
        <v>198</v>
      </c>
      <c r="G3132">
        <v>103</v>
      </c>
      <c r="H3132" t="s">
        <v>32</v>
      </c>
      <c r="I3132">
        <v>1</v>
      </c>
      <c r="J3132" t="s">
        <v>30</v>
      </c>
    </row>
    <row r="3133" spans="1:10" x14ac:dyDescent="0.25">
      <c r="A3133" t="s">
        <v>144</v>
      </c>
      <c r="B3133">
        <f>272880.138152973*(1/100/100)</f>
        <v>27.288013815297305</v>
      </c>
      <c r="C3133">
        <v>30025</v>
      </c>
      <c r="D3133" t="s">
        <v>194</v>
      </c>
      <c r="E3133">
        <v>10317</v>
      </c>
      <c r="F3133" t="s">
        <v>194</v>
      </c>
      <c r="G3133">
        <v>103</v>
      </c>
      <c r="H3133" t="s">
        <v>32</v>
      </c>
      <c r="I3133">
        <v>1</v>
      </c>
      <c r="J3133" t="s">
        <v>30</v>
      </c>
    </row>
    <row r="3134" spans="1:10" x14ac:dyDescent="0.25">
      <c r="A3134" t="s">
        <v>144</v>
      </c>
      <c r="B3134">
        <f>143100.089888007*(1/100/100)</f>
        <v>14.310008988800702</v>
      </c>
      <c r="C3134">
        <v>30026</v>
      </c>
      <c r="D3134" t="s">
        <v>195</v>
      </c>
      <c r="E3134">
        <v>10318</v>
      </c>
      <c r="F3134" t="s">
        <v>195</v>
      </c>
      <c r="G3134">
        <v>103</v>
      </c>
      <c r="H3134" t="s">
        <v>32</v>
      </c>
      <c r="I3134">
        <v>1</v>
      </c>
      <c r="J3134" t="s">
        <v>30</v>
      </c>
    </row>
    <row r="3135" spans="1:10" x14ac:dyDescent="0.25">
      <c r="A3135" t="s">
        <v>144</v>
      </c>
      <c r="B3135">
        <f>261434.703694729*(1/100/100)</f>
        <v>26.143470369472901</v>
      </c>
      <c r="C3135">
        <v>30027</v>
      </c>
      <c r="D3135" t="s">
        <v>196</v>
      </c>
      <c r="E3135">
        <v>10319</v>
      </c>
      <c r="F3135" t="s">
        <v>196</v>
      </c>
      <c r="G3135">
        <v>103</v>
      </c>
      <c r="H3135" t="s">
        <v>32</v>
      </c>
      <c r="I3135">
        <v>1</v>
      </c>
      <c r="J3135" t="s">
        <v>30</v>
      </c>
    </row>
    <row r="3136" spans="1:10" x14ac:dyDescent="0.25">
      <c r="A3136" t="s">
        <v>144</v>
      </c>
      <c r="B3136">
        <f>107726.622576731*(1/100/100)</f>
        <v>10.772662257673099</v>
      </c>
      <c r="C3136">
        <v>30028</v>
      </c>
      <c r="D3136" t="s">
        <v>200</v>
      </c>
      <c r="E3136">
        <v>10323</v>
      </c>
      <c r="F3136" t="s">
        <v>200</v>
      </c>
      <c r="G3136">
        <v>103</v>
      </c>
      <c r="H3136" t="s">
        <v>32</v>
      </c>
      <c r="I3136">
        <v>1</v>
      </c>
      <c r="J3136" t="s">
        <v>30</v>
      </c>
    </row>
    <row r="3137" spans="1:10" x14ac:dyDescent="0.25">
      <c r="A3137" t="s">
        <v>144</v>
      </c>
      <c r="B3137">
        <f>109507.649421477*(1/100/100)</f>
        <v>10.950764942147702</v>
      </c>
      <c r="C3137">
        <v>30029</v>
      </c>
      <c r="D3137" t="s">
        <v>199</v>
      </c>
      <c r="E3137">
        <v>10322</v>
      </c>
      <c r="F3137" t="s">
        <v>199</v>
      </c>
      <c r="G3137">
        <v>103</v>
      </c>
      <c r="H3137" t="s">
        <v>32</v>
      </c>
      <c r="I3137">
        <v>1</v>
      </c>
      <c r="J3137" t="s">
        <v>30</v>
      </c>
    </row>
    <row r="3138" spans="1:10" x14ac:dyDescent="0.25">
      <c r="A3138" t="s">
        <v>144</v>
      </c>
      <c r="B3138">
        <f>149170.285688676*(1/100/100)</f>
        <v>14.9170285688676</v>
      </c>
      <c r="C3138">
        <v>30101</v>
      </c>
      <c r="D3138" t="s">
        <v>253</v>
      </c>
      <c r="E3138">
        <v>10616</v>
      </c>
      <c r="F3138" t="s">
        <v>253</v>
      </c>
      <c r="G3138">
        <v>106</v>
      </c>
      <c r="H3138" t="s">
        <v>35</v>
      </c>
      <c r="I3138">
        <v>1</v>
      </c>
      <c r="J3138" t="s">
        <v>30</v>
      </c>
    </row>
    <row r="3139" spans="1:10" x14ac:dyDescent="0.25">
      <c r="A3139" t="s">
        <v>144</v>
      </c>
      <c r="B3139">
        <f>108915.464733548*(1/100/100)</f>
        <v>10.891546473354801</v>
      </c>
      <c r="C3139">
        <v>30102</v>
      </c>
      <c r="D3139" t="s">
        <v>254</v>
      </c>
      <c r="E3139">
        <v>10617</v>
      </c>
      <c r="F3139" t="s">
        <v>254</v>
      </c>
      <c r="G3139">
        <v>106</v>
      </c>
      <c r="H3139" t="s">
        <v>35</v>
      </c>
      <c r="I3139">
        <v>1</v>
      </c>
      <c r="J3139" t="s">
        <v>30</v>
      </c>
    </row>
    <row r="3140" spans="1:10" x14ac:dyDescent="0.25">
      <c r="A3140" t="s">
        <v>144</v>
      </c>
      <c r="B3140">
        <f>134264.857690825*(1/100/100)</f>
        <v>13.426485769082502</v>
      </c>
      <c r="C3140">
        <v>30103</v>
      </c>
      <c r="D3140" t="s">
        <v>239</v>
      </c>
      <c r="E3140">
        <v>10601</v>
      </c>
      <c r="F3140" t="s">
        <v>239</v>
      </c>
      <c r="G3140">
        <v>106</v>
      </c>
      <c r="H3140" t="s">
        <v>35</v>
      </c>
      <c r="I3140">
        <v>1</v>
      </c>
      <c r="J3140" t="s">
        <v>30</v>
      </c>
    </row>
    <row r="3141" spans="1:10" x14ac:dyDescent="0.25">
      <c r="A3141" t="s">
        <v>144</v>
      </c>
      <c r="B3141">
        <f>206313.219850964*(1/100/100)</f>
        <v>20.631321985096402</v>
      </c>
      <c r="C3141">
        <v>30104</v>
      </c>
      <c r="D3141" t="s">
        <v>2184</v>
      </c>
      <c r="E3141">
        <v>10602</v>
      </c>
      <c r="F3141" t="s">
        <v>240</v>
      </c>
      <c r="G3141">
        <v>106</v>
      </c>
      <c r="H3141" t="s">
        <v>35</v>
      </c>
      <c r="I3141">
        <v>1</v>
      </c>
      <c r="J3141" t="s">
        <v>30</v>
      </c>
    </row>
    <row r="3142" spans="1:10" x14ac:dyDescent="0.25">
      <c r="A3142" t="s">
        <v>144</v>
      </c>
      <c r="B3142">
        <f>122209.307697738*(1/100/100)</f>
        <v>12.220930769773799</v>
      </c>
      <c r="C3142">
        <v>30105</v>
      </c>
      <c r="D3142" t="s">
        <v>241</v>
      </c>
      <c r="E3142">
        <v>10603</v>
      </c>
      <c r="F3142" t="s">
        <v>241</v>
      </c>
      <c r="G3142">
        <v>106</v>
      </c>
      <c r="H3142" t="s">
        <v>35</v>
      </c>
      <c r="I3142">
        <v>1</v>
      </c>
      <c r="J3142" t="s">
        <v>30</v>
      </c>
    </row>
    <row r="3143" spans="1:10" x14ac:dyDescent="0.25">
      <c r="A3143" t="s">
        <v>144</v>
      </c>
      <c r="B3143">
        <f>93421.8701071217*(1/100/100)</f>
        <v>9.3421870107121698</v>
      </c>
      <c r="C3143">
        <v>30106</v>
      </c>
      <c r="D3143" t="s">
        <v>256</v>
      </c>
      <c r="E3143">
        <v>10619</v>
      </c>
      <c r="F3143" t="s">
        <v>256</v>
      </c>
      <c r="G3143">
        <v>106</v>
      </c>
      <c r="H3143" t="s">
        <v>35</v>
      </c>
      <c r="I3143">
        <v>1</v>
      </c>
      <c r="J3143" t="s">
        <v>30</v>
      </c>
    </row>
    <row r="3144" spans="1:10" x14ac:dyDescent="0.25">
      <c r="A3144" t="s">
        <v>144</v>
      </c>
      <c r="B3144">
        <f>147492.483529066*(1/100/100)</f>
        <v>14.7492483529066</v>
      </c>
      <c r="C3144">
        <v>30107</v>
      </c>
      <c r="D3144" t="s">
        <v>2186</v>
      </c>
      <c r="E3144">
        <v>10604</v>
      </c>
      <c r="F3144" t="s">
        <v>242</v>
      </c>
      <c r="G3144">
        <v>106</v>
      </c>
      <c r="H3144" t="s">
        <v>35</v>
      </c>
      <c r="I3144">
        <v>1</v>
      </c>
      <c r="J3144" t="s">
        <v>30</v>
      </c>
    </row>
    <row r="3145" spans="1:10" x14ac:dyDescent="0.25">
      <c r="A3145" t="s">
        <v>144</v>
      </c>
      <c r="B3145">
        <f>285194.837389201*(1/100/100)</f>
        <v>28.519483738920101</v>
      </c>
      <c r="C3145">
        <v>30108</v>
      </c>
      <c r="D3145" t="s">
        <v>243</v>
      </c>
      <c r="E3145">
        <v>10605</v>
      </c>
      <c r="F3145" t="s">
        <v>243</v>
      </c>
      <c r="G3145">
        <v>106</v>
      </c>
      <c r="H3145" t="s">
        <v>35</v>
      </c>
      <c r="I3145">
        <v>1</v>
      </c>
      <c r="J3145" t="s">
        <v>30</v>
      </c>
    </row>
    <row r="3146" spans="1:10" x14ac:dyDescent="0.25">
      <c r="A3146" t="s">
        <v>144</v>
      </c>
      <c r="B3146">
        <f>560369.849854801*(1/100/100)</f>
        <v>56.036984985480096</v>
      </c>
      <c r="C3146">
        <v>30109</v>
      </c>
      <c r="D3146" t="s">
        <v>35</v>
      </c>
      <c r="E3146">
        <v>10606</v>
      </c>
      <c r="F3146" t="s">
        <v>35</v>
      </c>
      <c r="G3146">
        <v>106</v>
      </c>
      <c r="H3146" t="s">
        <v>35</v>
      </c>
      <c r="I3146">
        <v>1</v>
      </c>
      <c r="J3146" t="s">
        <v>30</v>
      </c>
    </row>
    <row r="3147" spans="1:10" x14ac:dyDescent="0.25">
      <c r="A3147" t="s">
        <v>144</v>
      </c>
      <c r="B3147">
        <f>456428.57272724*(1/100/100)</f>
        <v>45.642857272724001</v>
      </c>
      <c r="C3147">
        <v>30110</v>
      </c>
      <c r="D3147" t="s">
        <v>244</v>
      </c>
      <c r="E3147">
        <v>10607</v>
      </c>
      <c r="F3147" t="s">
        <v>244</v>
      </c>
      <c r="G3147">
        <v>106</v>
      </c>
      <c r="H3147" t="s">
        <v>35</v>
      </c>
      <c r="I3147">
        <v>1</v>
      </c>
      <c r="J3147" t="s">
        <v>30</v>
      </c>
    </row>
    <row r="3148" spans="1:10" x14ac:dyDescent="0.25">
      <c r="A3148" t="s">
        <v>144</v>
      </c>
      <c r="B3148">
        <f>93943.1435890372*(1/100/100)</f>
        <v>9.3943143589037206</v>
      </c>
      <c r="C3148">
        <v>30111</v>
      </c>
      <c r="D3148" t="s">
        <v>2185</v>
      </c>
      <c r="E3148">
        <v>10602</v>
      </c>
      <c r="F3148" t="s">
        <v>240</v>
      </c>
      <c r="G3148">
        <v>106</v>
      </c>
      <c r="H3148" t="s">
        <v>35</v>
      </c>
      <c r="I3148">
        <v>1</v>
      </c>
      <c r="J3148" t="s">
        <v>30</v>
      </c>
    </row>
    <row r="3149" spans="1:10" x14ac:dyDescent="0.25">
      <c r="A3149" t="s">
        <v>144</v>
      </c>
      <c r="B3149">
        <f>166591.162682177*(1/100/100)</f>
        <v>16.659116268217701</v>
      </c>
      <c r="C3149">
        <v>30112</v>
      </c>
      <c r="D3149" t="s">
        <v>245</v>
      </c>
      <c r="E3149">
        <v>10608</v>
      </c>
      <c r="F3149" t="s">
        <v>245</v>
      </c>
      <c r="G3149">
        <v>106</v>
      </c>
      <c r="H3149" t="s">
        <v>35</v>
      </c>
      <c r="I3149">
        <v>1</v>
      </c>
      <c r="J3149" t="s">
        <v>30</v>
      </c>
    </row>
    <row r="3150" spans="1:10" x14ac:dyDescent="0.25">
      <c r="A3150" t="s">
        <v>144</v>
      </c>
      <c r="B3150">
        <f>324861.331744814*(1/100/100)</f>
        <v>32.486133174481402</v>
      </c>
      <c r="C3150">
        <v>30113</v>
      </c>
      <c r="D3150" t="s">
        <v>246</v>
      </c>
      <c r="E3150">
        <v>10609</v>
      </c>
      <c r="F3150" t="s">
        <v>246</v>
      </c>
      <c r="G3150">
        <v>106</v>
      </c>
      <c r="H3150" t="s">
        <v>35</v>
      </c>
      <c r="I3150">
        <v>1</v>
      </c>
      <c r="J3150" t="s">
        <v>30</v>
      </c>
    </row>
    <row r="3151" spans="1:10" x14ac:dyDescent="0.25">
      <c r="A3151" t="s">
        <v>144</v>
      </c>
      <c r="B3151">
        <f>252242.41219034*(1/100/100)</f>
        <v>25.224241219033999</v>
      </c>
      <c r="C3151">
        <v>30114</v>
      </c>
      <c r="D3151" t="s">
        <v>247</v>
      </c>
      <c r="E3151">
        <v>10610</v>
      </c>
      <c r="F3151" t="s">
        <v>247</v>
      </c>
      <c r="G3151">
        <v>106</v>
      </c>
      <c r="H3151" t="s">
        <v>35</v>
      </c>
      <c r="I3151">
        <v>1</v>
      </c>
      <c r="J3151" t="s">
        <v>30</v>
      </c>
    </row>
    <row r="3152" spans="1:10" x14ac:dyDescent="0.25">
      <c r="A3152" t="s">
        <v>144</v>
      </c>
      <c r="B3152">
        <f>178436.401337563*(1/100/100)</f>
        <v>17.843640133756303</v>
      </c>
      <c r="C3152">
        <v>30115</v>
      </c>
      <c r="D3152" t="s">
        <v>2189</v>
      </c>
      <c r="E3152">
        <v>10611</v>
      </c>
      <c r="F3152" t="s">
        <v>248</v>
      </c>
      <c r="G3152">
        <v>106</v>
      </c>
      <c r="H3152" t="s">
        <v>35</v>
      </c>
      <c r="I3152">
        <v>1</v>
      </c>
      <c r="J3152" t="s">
        <v>30</v>
      </c>
    </row>
    <row r="3153" spans="1:10" x14ac:dyDescent="0.25">
      <c r="A3153" t="s">
        <v>144</v>
      </c>
      <c r="B3153">
        <f>248972.917215449*(1/100/100)</f>
        <v>24.897291721544903</v>
      </c>
      <c r="C3153">
        <v>30116</v>
      </c>
      <c r="D3153" t="s">
        <v>249</v>
      </c>
      <c r="E3153">
        <v>10612</v>
      </c>
      <c r="F3153" t="s">
        <v>249</v>
      </c>
      <c r="G3153">
        <v>106</v>
      </c>
      <c r="H3153" t="s">
        <v>35</v>
      </c>
      <c r="I3153">
        <v>1</v>
      </c>
      <c r="J3153" t="s">
        <v>30</v>
      </c>
    </row>
    <row r="3154" spans="1:10" x14ac:dyDescent="0.25">
      <c r="A3154" t="s">
        <v>144</v>
      </c>
      <c r="B3154">
        <f>149419.712301285*(1/100/100)</f>
        <v>14.941971230128502</v>
      </c>
      <c r="C3154">
        <v>30117</v>
      </c>
      <c r="D3154" t="s">
        <v>250</v>
      </c>
      <c r="E3154">
        <v>10613</v>
      </c>
      <c r="F3154" t="s">
        <v>250</v>
      </c>
      <c r="G3154">
        <v>106</v>
      </c>
      <c r="H3154" t="s">
        <v>35</v>
      </c>
      <c r="I3154">
        <v>1</v>
      </c>
      <c r="J3154" t="s">
        <v>30</v>
      </c>
    </row>
    <row r="3155" spans="1:10" x14ac:dyDescent="0.25">
      <c r="A3155" t="s">
        <v>144</v>
      </c>
      <c r="B3155">
        <f>131699.614827064*(1/100/100)</f>
        <v>13.169961482706402</v>
      </c>
      <c r="C3155">
        <v>30118</v>
      </c>
      <c r="D3155" t="s">
        <v>251</v>
      </c>
      <c r="E3155">
        <v>10614</v>
      </c>
      <c r="F3155" t="s">
        <v>251</v>
      </c>
      <c r="G3155">
        <v>106</v>
      </c>
      <c r="H3155" t="s">
        <v>35</v>
      </c>
      <c r="I3155">
        <v>1</v>
      </c>
      <c r="J3155" t="s">
        <v>30</v>
      </c>
    </row>
    <row r="3156" spans="1:10" x14ac:dyDescent="0.25">
      <c r="A3156" t="s">
        <v>144</v>
      </c>
      <c r="B3156">
        <f>120981.190715546*(1/100/100)</f>
        <v>12.098119071554601</v>
      </c>
      <c r="C3156">
        <v>30119</v>
      </c>
      <c r="D3156" t="s">
        <v>2190</v>
      </c>
      <c r="E3156">
        <v>10618</v>
      </c>
      <c r="F3156" t="s">
        <v>255</v>
      </c>
      <c r="G3156">
        <v>106</v>
      </c>
      <c r="H3156" t="s">
        <v>35</v>
      </c>
      <c r="I3156">
        <v>1</v>
      </c>
      <c r="J3156" t="s">
        <v>30</v>
      </c>
    </row>
    <row r="3157" spans="1:10" x14ac:dyDescent="0.25">
      <c r="A3157" t="s">
        <v>144</v>
      </c>
      <c r="B3157">
        <f>162450.078710882*(1/100/100)</f>
        <v>16.245007871088202</v>
      </c>
      <c r="C3157">
        <v>30120</v>
      </c>
      <c r="D3157" t="s">
        <v>2188</v>
      </c>
      <c r="E3157">
        <v>10606</v>
      </c>
      <c r="F3157" t="s">
        <v>35</v>
      </c>
      <c r="G3157">
        <v>106</v>
      </c>
      <c r="H3157" t="s">
        <v>35</v>
      </c>
      <c r="I3157">
        <v>1</v>
      </c>
      <c r="J3157" t="s">
        <v>30</v>
      </c>
    </row>
    <row r="3158" spans="1:10" x14ac:dyDescent="0.25">
      <c r="A3158" t="s">
        <v>144</v>
      </c>
      <c r="B3158">
        <f>268113.26563367*(1/100/100)</f>
        <v>26.811326563366997</v>
      </c>
      <c r="C3158">
        <v>30121</v>
      </c>
      <c r="D3158" t="s">
        <v>252</v>
      </c>
      <c r="E3158">
        <v>10615</v>
      </c>
      <c r="F3158" t="s">
        <v>252</v>
      </c>
      <c r="G3158">
        <v>106</v>
      </c>
      <c r="H3158" t="s">
        <v>35</v>
      </c>
      <c r="I3158">
        <v>1</v>
      </c>
      <c r="J3158" t="s">
        <v>30</v>
      </c>
    </row>
    <row r="3159" spans="1:10" x14ac:dyDescent="0.25">
      <c r="A3159" t="s">
        <v>144</v>
      </c>
      <c r="B3159">
        <f>118608.552317789*(1/100/100)</f>
        <v>11.860855231778901</v>
      </c>
      <c r="C3159">
        <v>30122</v>
      </c>
      <c r="D3159" t="s">
        <v>2191</v>
      </c>
      <c r="E3159">
        <v>10618</v>
      </c>
      <c r="F3159" t="s">
        <v>255</v>
      </c>
      <c r="G3159">
        <v>106</v>
      </c>
      <c r="H3159" t="s">
        <v>35</v>
      </c>
      <c r="I3159">
        <v>1</v>
      </c>
      <c r="J3159" t="s">
        <v>30</v>
      </c>
    </row>
    <row r="3160" spans="1:10" x14ac:dyDescent="0.25">
      <c r="A3160" t="s">
        <v>144</v>
      </c>
      <c r="B3160">
        <f>1087.63029420139*(1/100/100)</f>
        <v>0.10876302942013899</v>
      </c>
      <c r="C3160">
        <v>30124</v>
      </c>
      <c r="D3160" t="s">
        <v>2187</v>
      </c>
      <c r="E3160">
        <v>10604</v>
      </c>
      <c r="F3160" t="s">
        <v>242</v>
      </c>
      <c r="G3160">
        <v>106</v>
      </c>
      <c r="H3160" t="s">
        <v>35</v>
      </c>
      <c r="I3160">
        <v>1</v>
      </c>
      <c r="J3160" t="s">
        <v>30</v>
      </c>
    </row>
    <row r="3161" spans="1:10" x14ac:dyDescent="0.25">
      <c r="A3161" t="s">
        <v>144</v>
      </c>
      <c r="B3161">
        <f>118278.587443612*(1/100/100)</f>
        <v>11.827858744361201</v>
      </c>
      <c r="C3161">
        <v>31001</v>
      </c>
      <c r="D3161" t="s">
        <v>201</v>
      </c>
      <c r="E3161">
        <v>10401</v>
      </c>
      <c r="F3161" t="s">
        <v>201</v>
      </c>
      <c r="G3161">
        <v>104</v>
      </c>
      <c r="H3161" t="s">
        <v>33</v>
      </c>
      <c r="I3161">
        <v>1</v>
      </c>
      <c r="J3161" t="s">
        <v>30</v>
      </c>
    </row>
    <row r="3162" spans="1:10" x14ac:dyDescent="0.25">
      <c r="A3162" t="s">
        <v>144</v>
      </c>
      <c r="B3162">
        <f>114531.799608004*(1/100/100)</f>
        <v>11.453179960800401</v>
      </c>
      <c r="C3162">
        <v>31002</v>
      </c>
      <c r="D3162" t="s">
        <v>2126</v>
      </c>
      <c r="E3162">
        <v>10402</v>
      </c>
      <c r="F3162" t="s">
        <v>202</v>
      </c>
      <c r="G3162">
        <v>104</v>
      </c>
      <c r="H3162" t="s">
        <v>33</v>
      </c>
      <c r="I3162">
        <v>1</v>
      </c>
      <c r="J3162" t="s">
        <v>30</v>
      </c>
    </row>
    <row r="3163" spans="1:10" x14ac:dyDescent="0.25">
      <c r="A3163" t="s">
        <v>144</v>
      </c>
      <c r="B3163">
        <f>18290.1974512969*(1/100/100)</f>
        <v>1.8290197451296899</v>
      </c>
      <c r="C3163">
        <v>31003</v>
      </c>
      <c r="D3163" t="s">
        <v>2140</v>
      </c>
      <c r="E3163">
        <v>10407</v>
      </c>
      <c r="F3163" t="s">
        <v>206</v>
      </c>
      <c r="G3163">
        <v>104</v>
      </c>
      <c r="H3163" t="s">
        <v>33</v>
      </c>
      <c r="I3163">
        <v>1</v>
      </c>
      <c r="J3163" t="s">
        <v>30</v>
      </c>
    </row>
    <row r="3164" spans="1:10" x14ac:dyDescent="0.25">
      <c r="A3164" t="s">
        <v>144</v>
      </c>
      <c r="B3164">
        <f>30319.5650931135*(1/100/100)</f>
        <v>3.0319565093113501</v>
      </c>
      <c r="C3164">
        <v>31004</v>
      </c>
      <c r="D3164" t="s">
        <v>2152</v>
      </c>
      <c r="E3164">
        <v>10416</v>
      </c>
      <c r="F3164" t="s">
        <v>215</v>
      </c>
      <c r="G3164">
        <v>104</v>
      </c>
      <c r="H3164" t="s">
        <v>33</v>
      </c>
      <c r="I3164">
        <v>1</v>
      </c>
      <c r="J3164" t="s">
        <v>30</v>
      </c>
    </row>
    <row r="3165" spans="1:10" x14ac:dyDescent="0.25">
      <c r="A3165" t="s">
        <v>144</v>
      </c>
      <c r="B3165">
        <f>78524.2969438716*(1/100/100)</f>
        <v>7.8524296943871601</v>
      </c>
      <c r="C3165">
        <v>31005</v>
      </c>
      <c r="D3165" t="s">
        <v>2155</v>
      </c>
      <c r="E3165">
        <v>10417</v>
      </c>
      <c r="F3165" t="s">
        <v>216</v>
      </c>
      <c r="G3165">
        <v>104</v>
      </c>
      <c r="H3165" t="s">
        <v>33</v>
      </c>
      <c r="I3165">
        <v>1</v>
      </c>
      <c r="J3165" t="s">
        <v>30</v>
      </c>
    </row>
    <row r="3166" spans="1:10" x14ac:dyDescent="0.25">
      <c r="A3166" t="s">
        <v>144</v>
      </c>
      <c r="B3166">
        <f>63950.3534264066*(1/100/100)</f>
        <v>6.3950353426406599</v>
      </c>
      <c r="C3166">
        <v>31006</v>
      </c>
      <c r="D3166" t="s">
        <v>203</v>
      </c>
      <c r="E3166">
        <v>10403</v>
      </c>
      <c r="F3166" t="s">
        <v>203</v>
      </c>
      <c r="G3166">
        <v>104</v>
      </c>
      <c r="H3166" t="s">
        <v>33</v>
      </c>
      <c r="I3166">
        <v>1</v>
      </c>
      <c r="J3166" t="s">
        <v>30</v>
      </c>
    </row>
    <row r="3167" spans="1:10" x14ac:dyDescent="0.25">
      <c r="A3167" t="s">
        <v>144</v>
      </c>
      <c r="B3167">
        <f>30817.3443587561*(1/100/100)</f>
        <v>3.0817344358756102</v>
      </c>
      <c r="C3167">
        <v>31007</v>
      </c>
      <c r="D3167" t="s">
        <v>2144</v>
      </c>
      <c r="E3167">
        <v>10408</v>
      </c>
      <c r="F3167" t="s">
        <v>207</v>
      </c>
      <c r="G3167">
        <v>104</v>
      </c>
      <c r="H3167" t="s">
        <v>33</v>
      </c>
      <c r="I3167">
        <v>1</v>
      </c>
      <c r="J3167" t="s">
        <v>30</v>
      </c>
    </row>
    <row r="3168" spans="1:10" x14ac:dyDescent="0.25">
      <c r="A3168" t="s">
        <v>144</v>
      </c>
      <c r="B3168">
        <f>61238.2041456957*(1/100/100)</f>
        <v>6.12382041456957</v>
      </c>
      <c r="C3168">
        <v>31008</v>
      </c>
      <c r="D3168" t="s">
        <v>2128</v>
      </c>
      <c r="E3168">
        <v>10403</v>
      </c>
      <c r="F3168" t="s">
        <v>203</v>
      </c>
      <c r="G3168">
        <v>104</v>
      </c>
      <c r="H3168" t="s">
        <v>33</v>
      </c>
      <c r="I3168">
        <v>1</v>
      </c>
      <c r="J3168" t="s">
        <v>30</v>
      </c>
    </row>
    <row r="3169" spans="1:10" x14ac:dyDescent="0.25">
      <c r="A3169" t="s">
        <v>144</v>
      </c>
      <c r="B3169">
        <f>32889.0008752531*(1/100/100)</f>
        <v>3.28890008752531</v>
      </c>
      <c r="C3169">
        <v>31009</v>
      </c>
      <c r="D3169" t="s">
        <v>2149</v>
      </c>
      <c r="E3169">
        <v>10413</v>
      </c>
      <c r="F3169" t="s">
        <v>212</v>
      </c>
      <c r="G3169">
        <v>104</v>
      </c>
      <c r="H3169" t="s">
        <v>33</v>
      </c>
      <c r="I3169">
        <v>1</v>
      </c>
      <c r="J3169" t="s">
        <v>30</v>
      </c>
    </row>
    <row r="3170" spans="1:10" x14ac:dyDescent="0.25">
      <c r="A3170" t="s">
        <v>144</v>
      </c>
      <c r="B3170">
        <f>78309.0280005239*(1/100/100)</f>
        <v>7.8309028000523906</v>
      </c>
      <c r="C3170">
        <v>31010</v>
      </c>
      <c r="D3170" t="s">
        <v>2132</v>
      </c>
      <c r="E3170">
        <v>10404</v>
      </c>
      <c r="F3170" t="s">
        <v>204</v>
      </c>
      <c r="G3170">
        <v>104</v>
      </c>
      <c r="H3170" t="s">
        <v>33</v>
      </c>
      <c r="I3170">
        <v>1</v>
      </c>
      <c r="J3170" t="s">
        <v>30</v>
      </c>
    </row>
    <row r="3171" spans="1:10" x14ac:dyDescent="0.25">
      <c r="A3171" t="s">
        <v>144</v>
      </c>
      <c r="B3171">
        <f>29459.5679397448*(1/100/100)</f>
        <v>2.9459567939744802</v>
      </c>
      <c r="C3171">
        <v>31011</v>
      </c>
      <c r="D3171" t="s">
        <v>2135</v>
      </c>
      <c r="E3171">
        <v>10405</v>
      </c>
      <c r="F3171" t="s">
        <v>33</v>
      </c>
      <c r="G3171">
        <v>104</v>
      </c>
      <c r="H3171" t="s">
        <v>33</v>
      </c>
      <c r="I3171">
        <v>1</v>
      </c>
      <c r="J3171" t="s">
        <v>30</v>
      </c>
    </row>
    <row r="3172" spans="1:10" x14ac:dyDescent="0.25">
      <c r="A3172" t="s">
        <v>144</v>
      </c>
      <c r="B3172">
        <f>42602.6118473198*(1/100/100)</f>
        <v>4.2602611847319807</v>
      </c>
      <c r="C3172">
        <v>31012</v>
      </c>
      <c r="D3172" t="s">
        <v>219</v>
      </c>
      <c r="E3172">
        <v>10420</v>
      </c>
      <c r="F3172" t="s">
        <v>219</v>
      </c>
      <c r="G3172">
        <v>104</v>
      </c>
      <c r="H3172" t="s">
        <v>33</v>
      </c>
      <c r="I3172">
        <v>1</v>
      </c>
      <c r="J3172" t="s">
        <v>30</v>
      </c>
    </row>
    <row r="3173" spans="1:10" x14ac:dyDescent="0.25">
      <c r="A3173" t="s">
        <v>144</v>
      </c>
      <c r="B3173">
        <f>431871.863627275*(1/100/100)</f>
        <v>43.187186362727502</v>
      </c>
      <c r="C3173">
        <v>31013</v>
      </c>
      <c r="D3173" t="s">
        <v>33</v>
      </c>
      <c r="E3173">
        <v>10405</v>
      </c>
      <c r="F3173" t="s">
        <v>33</v>
      </c>
      <c r="G3173">
        <v>104</v>
      </c>
      <c r="H3173" t="s">
        <v>33</v>
      </c>
      <c r="I3173">
        <v>1</v>
      </c>
      <c r="J3173" t="s">
        <v>30</v>
      </c>
    </row>
    <row r="3174" spans="1:10" x14ac:dyDescent="0.25">
      <c r="A3174" t="s">
        <v>144</v>
      </c>
      <c r="B3174">
        <f>104228.732141202*(1/100/100)</f>
        <v>10.4228732141202</v>
      </c>
      <c r="C3174">
        <v>31014</v>
      </c>
      <c r="D3174" t="s">
        <v>205</v>
      </c>
      <c r="E3174">
        <v>10406</v>
      </c>
      <c r="F3174" t="s">
        <v>205</v>
      </c>
      <c r="G3174">
        <v>104</v>
      </c>
      <c r="H3174" t="s">
        <v>33</v>
      </c>
      <c r="I3174">
        <v>1</v>
      </c>
      <c r="J3174" t="s">
        <v>30</v>
      </c>
    </row>
    <row r="3175" spans="1:10" x14ac:dyDescent="0.25">
      <c r="A3175" t="s">
        <v>144</v>
      </c>
      <c r="B3175">
        <f>47645.841762599*(1/100/100)</f>
        <v>4.7645841762599002</v>
      </c>
      <c r="C3175">
        <v>31015</v>
      </c>
      <c r="D3175" t="s">
        <v>217</v>
      </c>
      <c r="E3175">
        <v>10418</v>
      </c>
      <c r="F3175" t="s">
        <v>217</v>
      </c>
      <c r="G3175">
        <v>104</v>
      </c>
      <c r="H3175" t="s">
        <v>33</v>
      </c>
      <c r="I3175">
        <v>1</v>
      </c>
      <c r="J3175" t="s">
        <v>30</v>
      </c>
    </row>
    <row r="3176" spans="1:10" x14ac:dyDescent="0.25">
      <c r="A3176" t="s">
        <v>144</v>
      </c>
      <c r="B3176">
        <f>43062.4476094212*(1/100/100)</f>
        <v>4.3062447609421204</v>
      </c>
      <c r="C3176">
        <v>31016</v>
      </c>
      <c r="D3176" t="s">
        <v>2141</v>
      </c>
      <c r="E3176">
        <v>10407</v>
      </c>
      <c r="F3176" t="s">
        <v>206</v>
      </c>
      <c r="G3176">
        <v>104</v>
      </c>
      <c r="H3176" t="s">
        <v>33</v>
      </c>
      <c r="I3176">
        <v>1</v>
      </c>
      <c r="J3176" t="s">
        <v>30</v>
      </c>
    </row>
    <row r="3177" spans="1:10" x14ac:dyDescent="0.25">
      <c r="A3177" t="s">
        <v>144</v>
      </c>
      <c r="B3177">
        <f>12370.2976385016*(1/100/100)</f>
        <v>1.2370297638501602</v>
      </c>
      <c r="C3177">
        <v>31017</v>
      </c>
      <c r="D3177" t="s">
        <v>2156</v>
      </c>
      <c r="E3177">
        <v>10417</v>
      </c>
      <c r="F3177" t="s">
        <v>216</v>
      </c>
      <c r="G3177">
        <v>104</v>
      </c>
      <c r="H3177" t="s">
        <v>33</v>
      </c>
      <c r="I3177">
        <v>1</v>
      </c>
      <c r="J3177" t="s">
        <v>30</v>
      </c>
    </row>
    <row r="3178" spans="1:10" x14ac:dyDescent="0.25">
      <c r="A3178" t="s">
        <v>144</v>
      </c>
      <c r="B3178">
        <f>43938.9931654805*(1/100/100)</f>
        <v>4.3938993165480502</v>
      </c>
      <c r="C3178">
        <v>31018</v>
      </c>
      <c r="D3178" t="s">
        <v>206</v>
      </c>
      <c r="E3178">
        <v>10407</v>
      </c>
      <c r="F3178" t="s">
        <v>206</v>
      </c>
      <c r="G3178">
        <v>104</v>
      </c>
      <c r="H3178" t="s">
        <v>33</v>
      </c>
      <c r="I3178">
        <v>1</v>
      </c>
      <c r="J3178" t="s">
        <v>30</v>
      </c>
    </row>
    <row r="3179" spans="1:10" x14ac:dyDescent="0.25">
      <c r="A3179" t="s">
        <v>144</v>
      </c>
      <c r="B3179">
        <f>38021.2471603948*(1/100/100)</f>
        <v>3.8021247160394802</v>
      </c>
      <c r="C3179">
        <v>31019</v>
      </c>
      <c r="D3179" t="s">
        <v>223</v>
      </c>
      <c r="E3179">
        <v>10424</v>
      </c>
      <c r="F3179" t="s">
        <v>223</v>
      </c>
      <c r="G3179">
        <v>104</v>
      </c>
      <c r="H3179" t="s">
        <v>33</v>
      </c>
      <c r="I3179">
        <v>1</v>
      </c>
      <c r="J3179" t="s">
        <v>30</v>
      </c>
    </row>
    <row r="3180" spans="1:10" x14ac:dyDescent="0.25">
      <c r="A3180" t="s">
        <v>144</v>
      </c>
      <c r="B3180">
        <f>55800.5966161859*(1/100/100)</f>
        <v>5.5800596616185905</v>
      </c>
      <c r="C3180">
        <v>31020</v>
      </c>
      <c r="D3180" t="s">
        <v>220</v>
      </c>
      <c r="E3180">
        <v>10421</v>
      </c>
      <c r="F3180" t="s">
        <v>220</v>
      </c>
      <c r="G3180">
        <v>104</v>
      </c>
      <c r="H3180" t="s">
        <v>33</v>
      </c>
      <c r="I3180">
        <v>1</v>
      </c>
      <c r="J3180" t="s">
        <v>30</v>
      </c>
    </row>
    <row r="3181" spans="1:10" x14ac:dyDescent="0.25">
      <c r="A3181" t="s">
        <v>144</v>
      </c>
      <c r="B3181">
        <f>32800.4909463742*(1/100/100)</f>
        <v>3.2800490946374201</v>
      </c>
      <c r="C3181">
        <v>31021</v>
      </c>
      <c r="D3181" t="s">
        <v>221</v>
      </c>
      <c r="E3181">
        <v>10422</v>
      </c>
      <c r="F3181" t="s">
        <v>221</v>
      </c>
      <c r="G3181">
        <v>104</v>
      </c>
      <c r="H3181" t="s">
        <v>33</v>
      </c>
      <c r="I3181">
        <v>1</v>
      </c>
      <c r="J3181" t="s">
        <v>30</v>
      </c>
    </row>
    <row r="3182" spans="1:10" x14ac:dyDescent="0.25">
      <c r="A3182" t="s">
        <v>144</v>
      </c>
      <c r="B3182">
        <f>13786.4255951698*(1/100/100)</f>
        <v>1.37864255951698</v>
      </c>
      <c r="C3182">
        <v>31022</v>
      </c>
      <c r="D3182" t="s">
        <v>2129</v>
      </c>
      <c r="E3182">
        <v>10403</v>
      </c>
      <c r="F3182" t="s">
        <v>203</v>
      </c>
      <c r="G3182">
        <v>104</v>
      </c>
      <c r="H3182" t="s">
        <v>33</v>
      </c>
      <c r="I3182">
        <v>1</v>
      </c>
      <c r="J3182" t="s">
        <v>30</v>
      </c>
    </row>
    <row r="3183" spans="1:10" x14ac:dyDescent="0.25">
      <c r="A3183" t="s">
        <v>144</v>
      </c>
      <c r="B3183">
        <f>11629.6020717412*(1/100/100)</f>
        <v>1.1629602071741201</v>
      </c>
      <c r="C3183">
        <v>31023</v>
      </c>
      <c r="D3183" t="s">
        <v>2157</v>
      </c>
      <c r="E3183">
        <v>10417</v>
      </c>
      <c r="F3183" t="s">
        <v>216</v>
      </c>
      <c r="G3183">
        <v>104</v>
      </c>
      <c r="H3183" t="s">
        <v>33</v>
      </c>
      <c r="I3183">
        <v>1</v>
      </c>
      <c r="J3183" t="s">
        <v>30</v>
      </c>
    </row>
    <row r="3184" spans="1:10" x14ac:dyDescent="0.25">
      <c r="A3184" t="s">
        <v>144</v>
      </c>
      <c r="B3184">
        <f>22171.5080405728*(1/100/100)</f>
        <v>2.21715080405728</v>
      </c>
      <c r="C3184">
        <v>31024</v>
      </c>
      <c r="D3184" t="s">
        <v>2136</v>
      </c>
      <c r="E3184">
        <v>10405</v>
      </c>
      <c r="F3184" t="s">
        <v>33</v>
      </c>
      <c r="G3184">
        <v>104</v>
      </c>
      <c r="H3184" t="s">
        <v>33</v>
      </c>
      <c r="I3184">
        <v>1</v>
      </c>
      <c r="J3184" t="s">
        <v>30</v>
      </c>
    </row>
    <row r="3185" spans="1:10" x14ac:dyDescent="0.25">
      <c r="A3185" t="s">
        <v>144</v>
      </c>
      <c r="B3185">
        <f>135444.168441386*(1/100/100)</f>
        <v>13.544416844138599</v>
      </c>
      <c r="C3185">
        <v>31025</v>
      </c>
      <c r="D3185" t="s">
        <v>207</v>
      </c>
      <c r="E3185">
        <v>10408</v>
      </c>
      <c r="F3185" t="s">
        <v>207</v>
      </c>
      <c r="G3185">
        <v>104</v>
      </c>
      <c r="H3185" t="s">
        <v>33</v>
      </c>
      <c r="I3185">
        <v>1</v>
      </c>
      <c r="J3185" t="s">
        <v>30</v>
      </c>
    </row>
    <row r="3186" spans="1:10" x14ac:dyDescent="0.25">
      <c r="A3186" t="s">
        <v>144</v>
      </c>
      <c r="B3186">
        <f>33930.165739457*(1/100/100)</f>
        <v>3.3930165739457001</v>
      </c>
      <c r="C3186">
        <v>31026</v>
      </c>
      <c r="D3186" t="s">
        <v>2130</v>
      </c>
      <c r="E3186">
        <v>10403</v>
      </c>
      <c r="F3186" t="s">
        <v>203</v>
      </c>
      <c r="G3186">
        <v>104</v>
      </c>
      <c r="H3186" t="s">
        <v>33</v>
      </c>
      <c r="I3186">
        <v>1</v>
      </c>
      <c r="J3186" t="s">
        <v>30</v>
      </c>
    </row>
    <row r="3187" spans="1:10" x14ac:dyDescent="0.25">
      <c r="A3187" t="s">
        <v>144</v>
      </c>
      <c r="B3187">
        <f>73818.2466135222*(1/100/100)</f>
        <v>7.3818246613522209</v>
      </c>
      <c r="C3187">
        <v>31027</v>
      </c>
      <c r="D3187" t="s">
        <v>2145</v>
      </c>
      <c r="E3187">
        <v>10408</v>
      </c>
      <c r="F3187" t="s">
        <v>207</v>
      </c>
      <c r="G3187">
        <v>104</v>
      </c>
      <c r="H3187" t="s">
        <v>33</v>
      </c>
      <c r="I3187">
        <v>1</v>
      </c>
      <c r="J3187" t="s">
        <v>30</v>
      </c>
    </row>
    <row r="3188" spans="1:10" x14ac:dyDescent="0.25">
      <c r="A3188" t="s">
        <v>144</v>
      </c>
      <c r="B3188">
        <f>25892.3578855594*(1/100/100)</f>
        <v>2.5892357885559401</v>
      </c>
      <c r="C3188">
        <v>31028</v>
      </c>
      <c r="D3188" t="s">
        <v>2142</v>
      </c>
      <c r="E3188">
        <v>10407</v>
      </c>
      <c r="F3188" t="s">
        <v>206</v>
      </c>
      <c r="G3188">
        <v>104</v>
      </c>
      <c r="H3188" t="s">
        <v>33</v>
      </c>
      <c r="I3188">
        <v>1</v>
      </c>
      <c r="J3188" t="s">
        <v>30</v>
      </c>
    </row>
    <row r="3189" spans="1:10" x14ac:dyDescent="0.25">
      <c r="A3189" t="s">
        <v>144</v>
      </c>
      <c r="B3189">
        <f>95093.5809500659*(1/100/100)</f>
        <v>9.5093580950065899</v>
      </c>
      <c r="C3189">
        <v>31029</v>
      </c>
      <c r="D3189" t="s">
        <v>227</v>
      </c>
      <c r="E3189">
        <v>10428</v>
      </c>
      <c r="F3189" t="s">
        <v>227</v>
      </c>
      <c r="G3189">
        <v>104</v>
      </c>
      <c r="H3189" t="s">
        <v>33</v>
      </c>
      <c r="I3189">
        <v>1</v>
      </c>
      <c r="J3189" t="s">
        <v>30</v>
      </c>
    </row>
    <row r="3190" spans="1:10" x14ac:dyDescent="0.25">
      <c r="A3190" t="s">
        <v>144</v>
      </c>
      <c r="B3190">
        <f>123045.436130083*(1/100/100)</f>
        <v>12.304543613008301</v>
      </c>
      <c r="C3190">
        <v>31030</v>
      </c>
      <c r="D3190" t="s">
        <v>2147</v>
      </c>
      <c r="E3190">
        <v>10409</v>
      </c>
      <c r="F3190" t="s">
        <v>208</v>
      </c>
      <c r="G3190">
        <v>104</v>
      </c>
      <c r="H3190" t="s">
        <v>33</v>
      </c>
      <c r="I3190">
        <v>1</v>
      </c>
      <c r="J3190" t="s">
        <v>30</v>
      </c>
    </row>
    <row r="3191" spans="1:10" x14ac:dyDescent="0.25">
      <c r="A3191" t="s">
        <v>144</v>
      </c>
      <c r="B3191">
        <f>76987.7727204755*(1/100/100)</f>
        <v>7.6987772720475514</v>
      </c>
      <c r="C3191">
        <v>31031</v>
      </c>
      <c r="D3191" t="s">
        <v>2127</v>
      </c>
      <c r="E3191">
        <v>10402</v>
      </c>
      <c r="F3191" t="s">
        <v>202</v>
      </c>
      <c r="G3191">
        <v>104</v>
      </c>
      <c r="H3191" t="s">
        <v>33</v>
      </c>
      <c r="I3191">
        <v>1</v>
      </c>
      <c r="J3191" t="s">
        <v>30</v>
      </c>
    </row>
    <row r="3192" spans="1:10" x14ac:dyDescent="0.25">
      <c r="A3192" t="s">
        <v>144</v>
      </c>
      <c r="B3192">
        <f>102655.285713051*(1/100/100)</f>
        <v>10.265528571305101</v>
      </c>
      <c r="C3192">
        <v>31032</v>
      </c>
      <c r="D3192" t="s">
        <v>2146</v>
      </c>
      <c r="E3192">
        <v>10408</v>
      </c>
      <c r="F3192" t="s">
        <v>207</v>
      </c>
      <c r="G3192">
        <v>104</v>
      </c>
      <c r="H3192" t="s">
        <v>33</v>
      </c>
      <c r="I3192">
        <v>1</v>
      </c>
      <c r="J3192" t="s">
        <v>30</v>
      </c>
    </row>
    <row r="3193" spans="1:10" x14ac:dyDescent="0.25">
      <c r="A3193" t="s">
        <v>144</v>
      </c>
      <c r="B3193">
        <f>76095.4972743147*(1/100/100)</f>
        <v>7.6095497274314701</v>
      </c>
      <c r="C3193">
        <v>31033</v>
      </c>
      <c r="D3193" t="s">
        <v>209</v>
      </c>
      <c r="E3193">
        <v>10410</v>
      </c>
      <c r="F3193" t="s">
        <v>209</v>
      </c>
      <c r="G3193">
        <v>104</v>
      </c>
      <c r="H3193" t="s">
        <v>33</v>
      </c>
      <c r="I3193">
        <v>1</v>
      </c>
      <c r="J3193" t="s">
        <v>30</v>
      </c>
    </row>
    <row r="3194" spans="1:10" x14ac:dyDescent="0.25">
      <c r="A3194" t="s">
        <v>144</v>
      </c>
      <c r="B3194">
        <f>52451.2181106355*(1/100/100)</f>
        <v>5.2451218110635498</v>
      </c>
      <c r="C3194">
        <v>31034</v>
      </c>
      <c r="D3194" t="s">
        <v>2160</v>
      </c>
      <c r="E3194">
        <v>10426</v>
      </c>
      <c r="F3194" t="s">
        <v>225</v>
      </c>
      <c r="G3194">
        <v>104</v>
      </c>
      <c r="H3194" t="s">
        <v>33</v>
      </c>
      <c r="I3194">
        <v>1</v>
      </c>
      <c r="J3194" t="s">
        <v>30</v>
      </c>
    </row>
    <row r="3195" spans="1:10" x14ac:dyDescent="0.25">
      <c r="A3195" t="s">
        <v>144</v>
      </c>
      <c r="B3195">
        <f>204282.610013684*(1/100/100)</f>
        <v>20.428261001368401</v>
      </c>
      <c r="C3195">
        <v>31035</v>
      </c>
      <c r="D3195" t="s">
        <v>210</v>
      </c>
      <c r="E3195">
        <v>10411</v>
      </c>
      <c r="F3195" t="s">
        <v>210</v>
      </c>
      <c r="G3195">
        <v>104</v>
      </c>
      <c r="H3195" t="s">
        <v>33</v>
      </c>
      <c r="I3195">
        <v>1</v>
      </c>
      <c r="J3195" t="s">
        <v>30</v>
      </c>
    </row>
    <row r="3196" spans="1:10" x14ac:dyDescent="0.25">
      <c r="A3196" t="s">
        <v>144</v>
      </c>
      <c r="B3196">
        <f>125653.214152306*(1/100/100)</f>
        <v>12.565321415230601</v>
      </c>
      <c r="C3196">
        <v>31036</v>
      </c>
      <c r="D3196" t="s">
        <v>2148</v>
      </c>
      <c r="E3196">
        <v>10412</v>
      </c>
      <c r="F3196" t="s">
        <v>211</v>
      </c>
      <c r="G3196">
        <v>104</v>
      </c>
      <c r="H3196" t="s">
        <v>33</v>
      </c>
      <c r="I3196">
        <v>1</v>
      </c>
      <c r="J3196" t="s">
        <v>30</v>
      </c>
    </row>
    <row r="3197" spans="1:10" x14ac:dyDescent="0.25">
      <c r="A3197" t="s">
        <v>144</v>
      </c>
      <c r="B3197">
        <f>62848.4443815142*(1/100/100)</f>
        <v>6.2848444381514206</v>
      </c>
      <c r="C3197">
        <v>31037</v>
      </c>
      <c r="D3197" t="s">
        <v>2158</v>
      </c>
      <c r="E3197">
        <v>10417</v>
      </c>
      <c r="F3197" t="s">
        <v>216</v>
      </c>
      <c r="G3197">
        <v>104</v>
      </c>
      <c r="H3197" t="s">
        <v>33</v>
      </c>
      <c r="I3197">
        <v>1</v>
      </c>
      <c r="J3197" t="s">
        <v>30</v>
      </c>
    </row>
    <row r="3198" spans="1:10" x14ac:dyDescent="0.25">
      <c r="A3198" t="s">
        <v>144</v>
      </c>
      <c r="B3198">
        <f>79675.4115480229*(1/100/100)</f>
        <v>7.9675411548022899</v>
      </c>
      <c r="C3198">
        <v>31038</v>
      </c>
      <c r="D3198" t="s">
        <v>226</v>
      </c>
      <c r="E3198">
        <v>10427</v>
      </c>
      <c r="F3198" t="s">
        <v>226</v>
      </c>
      <c r="G3198">
        <v>104</v>
      </c>
      <c r="H3198" t="s">
        <v>33</v>
      </c>
      <c r="I3198">
        <v>1</v>
      </c>
      <c r="J3198" t="s">
        <v>30</v>
      </c>
    </row>
    <row r="3199" spans="1:10" x14ac:dyDescent="0.25">
      <c r="A3199" t="s">
        <v>144</v>
      </c>
      <c r="B3199">
        <f>28138.7138518925*(1/100/100)</f>
        <v>2.8138713851892501</v>
      </c>
      <c r="C3199">
        <v>31039</v>
      </c>
      <c r="D3199" t="s">
        <v>2133</v>
      </c>
      <c r="E3199">
        <v>10404</v>
      </c>
      <c r="F3199" t="s">
        <v>204</v>
      </c>
      <c r="G3199">
        <v>104</v>
      </c>
      <c r="H3199" t="s">
        <v>33</v>
      </c>
      <c r="I3199">
        <v>1</v>
      </c>
      <c r="J3199" t="s">
        <v>30</v>
      </c>
    </row>
    <row r="3200" spans="1:10" x14ac:dyDescent="0.25">
      <c r="A3200" t="s">
        <v>144</v>
      </c>
      <c r="B3200">
        <f>35532.472899625*(1/100/100)</f>
        <v>3.5532472899625001</v>
      </c>
      <c r="C3200">
        <v>31040</v>
      </c>
      <c r="D3200" t="s">
        <v>2143</v>
      </c>
      <c r="E3200">
        <v>10407</v>
      </c>
      <c r="F3200" t="s">
        <v>206</v>
      </c>
      <c r="G3200">
        <v>104</v>
      </c>
      <c r="H3200" t="s">
        <v>33</v>
      </c>
      <c r="I3200">
        <v>1</v>
      </c>
      <c r="J3200" t="s">
        <v>30</v>
      </c>
    </row>
    <row r="3201" spans="1:10" x14ac:dyDescent="0.25">
      <c r="A3201" t="s">
        <v>144</v>
      </c>
      <c r="B3201">
        <f>65873.1135514504*(1/100/100)</f>
        <v>6.5873113551450402</v>
      </c>
      <c r="C3201">
        <v>31041</v>
      </c>
      <c r="D3201" t="s">
        <v>224</v>
      </c>
      <c r="E3201">
        <v>10425</v>
      </c>
      <c r="F3201" t="s">
        <v>224</v>
      </c>
      <c r="G3201">
        <v>104</v>
      </c>
      <c r="H3201" t="s">
        <v>33</v>
      </c>
      <c r="I3201">
        <v>1</v>
      </c>
      <c r="J3201" t="s">
        <v>30</v>
      </c>
    </row>
    <row r="3202" spans="1:10" x14ac:dyDescent="0.25">
      <c r="A3202" t="s">
        <v>144</v>
      </c>
      <c r="B3202">
        <f>125556.239657539*(1/100/100)</f>
        <v>12.555623965753901</v>
      </c>
      <c r="C3202">
        <v>31042</v>
      </c>
      <c r="D3202" t="s">
        <v>2150</v>
      </c>
      <c r="E3202">
        <v>10413</v>
      </c>
      <c r="F3202" t="s">
        <v>212</v>
      </c>
      <c r="G3202">
        <v>104</v>
      </c>
      <c r="H3202" t="s">
        <v>33</v>
      </c>
      <c r="I3202">
        <v>1</v>
      </c>
      <c r="J3202" t="s">
        <v>30</v>
      </c>
    </row>
    <row r="3203" spans="1:10" x14ac:dyDescent="0.25">
      <c r="A3203" t="s">
        <v>144</v>
      </c>
      <c r="B3203">
        <f>22451.6949602884*(1/100/100)</f>
        <v>2.2451694960288404</v>
      </c>
      <c r="C3203">
        <v>31043</v>
      </c>
      <c r="D3203" t="s">
        <v>2137</v>
      </c>
      <c r="E3203">
        <v>10405</v>
      </c>
      <c r="F3203" t="s">
        <v>33</v>
      </c>
      <c r="G3203">
        <v>104</v>
      </c>
      <c r="H3203" t="s">
        <v>33</v>
      </c>
      <c r="I3203">
        <v>1</v>
      </c>
      <c r="J3203" t="s">
        <v>30</v>
      </c>
    </row>
    <row r="3204" spans="1:10" x14ac:dyDescent="0.25">
      <c r="A3204" t="s">
        <v>144</v>
      </c>
      <c r="B3204">
        <f>18006.2807006402*(1/100/100)</f>
        <v>1.80062807006402</v>
      </c>
      <c r="C3204">
        <v>31044</v>
      </c>
      <c r="D3204" t="s">
        <v>2151</v>
      </c>
      <c r="E3204">
        <v>10413</v>
      </c>
      <c r="F3204" t="s">
        <v>212</v>
      </c>
      <c r="G3204">
        <v>104</v>
      </c>
      <c r="H3204" t="s">
        <v>33</v>
      </c>
      <c r="I3204">
        <v>1</v>
      </c>
      <c r="J3204" t="s">
        <v>30</v>
      </c>
    </row>
    <row r="3205" spans="1:10" x14ac:dyDescent="0.25">
      <c r="A3205" t="s">
        <v>144</v>
      </c>
      <c r="B3205">
        <f>366412.543420209*(1/100/100)</f>
        <v>36.641254342020908</v>
      </c>
      <c r="C3205">
        <v>31045</v>
      </c>
      <c r="D3205" t="s">
        <v>213</v>
      </c>
      <c r="E3205">
        <v>10414</v>
      </c>
      <c r="F3205" t="s">
        <v>213</v>
      </c>
      <c r="G3205">
        <v>104</v>
      </c>
      <c r="H3205" t="s">
        <v>33</v>
      </c>
      <c r="I3205">
        <v>1</v>
      </c>
      <c r="J3205" t="s">
        <v>30</v>
      </c>
    </row>
    <row r="3206" spans="1:10" x14ac:dyDescent="0.25">
      <c r="A3206" t="s">
        <v>144</v>
      </c>
      <c r="B3206">
        <f>22460.3651045717*(1/100/100)</f>
        <v>2.2460365104571705</v>
      </c>
      <c r="C3206">
        <v>31046</v>
      </c>
      <c r="D3206" t="s">
        <v>2153</v>
      </c>
      <c r="E3206">
        <v>10416</v>
      </c>
      <c r="F3206" t="s">
        <v>215</v>
      </c>
      <c r="G3206">
        <v>104</v>
      </c>
      <c r="H3206" t="s">
        <v>33</v>
      </c>
      <c r="I3206">
        <v>1</v>
      </c>
      <c r="J3206" t="s">
        <v>30</v>
      </c>
    </row>
    <row r="3207" spans="1:10" x14ac:dyDescent="0.25">
      <c r="A3207" t="s">
        <v>144</v>
      </c>
      <c r="B3207">
        <f>27384.6201722283*(1/100/100)</f>
        <v>2.73846201722283</v>
      </c>
      <c r="C3207">
        <v>31047</v>
      </c>
      <c r="D3207" t="s">
        <v>2138</v>
      </c>
      <c r="E3207">
        <v>10405</v>
      </c>
      <c r="F3207" t="s">
        <v>33</v>
      </c>
      <c r="G3207">
        <v>104</v>
      </c>
      <c r="H3207" t="s">
        <v>33</v>
      </c>
      <c r="I3207">
        <v>1</v>
      </c>
      <c r="J3207" t="s">
        <v>30</v>
      </c>
    </row>
    <row r="3208" spans="1:10" x14ac:dyDescent="0.25">
      <c r="A3208" t="s">
        <v>144</v>
      </c>
      <c r="B3208">
        <f>125929.145986405*(1/100/100)</f>
        <v>12.592914598640501</v>
      </c>
      <c r="C3208">
        <v>31048</v>
      </c>
      <c r="D3208" t="s">
        <v>214</v>
      </c>
      <c r="E3208">
        <v>10415</v>
      </c>
      <c r="F3208" t="s">
        <v>214</v>
      </c>
      <c r="G3208">
        <v>104</v>
      </c>
      <c r="H3208" t="s">
        <v>33</v>
      </c>
      <c r="I3208">
        <v>1</v>
      </c>
      <c r="J3208" t="s">
        <v>30</v>
      </c>
    </row>
    <row r="3209" spans="1:10" x14ac:dyDescent="0.25">
      <c r="A3209" t="s">
        <v>144</v>
      </c>
      <c r="B3209">
        <f>94665.3263679657*(1/100/100)</f>
        <v>9.4665326367965701</v>
      </c>
      <c r="C3209">
        <v>31049</v>
      </c>
      <c r="D3209" t="s">
        <v>215</v>
      </c>
      <c r="E3209">
        <v>10416</v>
      </c>
      <c r="F3209" t="s">
        <v>215</v>
      </c>
      <c r="G3209">
        <v>104</v>
      </c>
      <c r="H3209" t="s">
        <v>33</v>
      </c>
      <c r="I3209">
        <v>1</v>
      </c>
      <c r="J3209" t="s">
        <v>30</v>
      </c>
    </row>
    <row r="3210" spans="1:10" x14ac:dyDescent="0.25">
      <c r="A3210" t="s">
        <v>144</v>
      </c>
      <c r="B3210">
        <f>56828.2727403563*(1/100/100)</f>
        <v>5.6828272740356303</v>
      </c>
      <c r="C3210">
        <v>31050</v>
      </c>
      <c r="D3210" t="s">
        <v>2134</v>
      </c>
      <c r="E3210">
        <v>10404</v>
      </c>
      <c r="F3210" t="s">
        <v>204</v>
      </c>
      <c r="G3210">
        <v>104</v>
      </c>
      <c r="H3210" t="s">
        <v>33</v>
      </c>
      <c r="I3210">
        <v>1</v>
      </c>
      <c r="J3210" t="s">
        <v>30</v>
      </c>
    </row>
    <row r="3211" spans="1:10" x14ac:dyDescent="0.25">
      <c r="A3211" t="s">
        <v>144</v>
      </c>
      <c r="B3211">
        <f>15606.0529257667*(1/100/100)</f>
        <v>1.56060529257667</v>
      </c>
      <c r="C3211">
        <v>31051</v>
      </c>
      <c r="D3211" t="s">
        <v>2154</v>
      </c>
      <c r="E3211">
        <v>10416</v>
      </c>
      <c r="F3211" t="s">
        <v>215</v>
      </c>
      <c r="G3211">
        <v>104</v>
      </c>
      <c r="H3211" t="s">
        <v>33</v>
      </c>
      <c r="I3211">
        <v>1</v>
      </c>
      <c r="J3211" t="s">
        <v>30</v>
      </c>
    </row>
    <row r="3212" spans="1:10" x14ac:dyDescent="0.25">
      <c r="A3212" t="s">
        <v>144</v>
      </c>
      <c r="B3212">
        <f>74110.8985664749*(1/100/100)</f>
        <v>7.4110898566474912</v>
      </c>
      <c r="C3212">
        <v>31052</v>
      </c>
      <c r="D3212" t="s">
        <v>216</v>
      </c>
      <c r="E3212">
        <v>10417</v>
      </c>
      <c r="F3212" t="s">
        <v>216</v>
      </c>
      <c r="G3212">
        <v>104</v>
      </c>
      <c r="H3212" t="s">
        <v>33</v>
      </c>
      <c r="I3212">
        <v>1</v>
      </c>
      <c r="J3212" t="s">
        <v>30</v>
      </c>
    </row>
    <row r="3213" spans="1:10" x14ac:dyDescent="0.25">
      <c r="A3213" t="s">
        <v>144</v>
      </c>
      <c r="B3213">
        <f>11803.7942504078*(1/100/100)</f>
        <v>1.18037942504078</v>
      </c>
      <c r="C3213">
        <v>31053</v>
      </c>
      <c r="D3213" t="s">
        <v>222</v>
      </c>
      <c r="E3213">
        <v>10423</v>
      </c>
      <c r="F3213" t="s">
        <v>222</v>
      </c>
      <c r="G3213">
        <v>104</v>
      </c>
      <c r="H3213" t="s">
        <v>33</v>
      </c>
      <c r="I3213">
        <v>1</v>
      </c>
      <c r="J3213" t="s">
        <v>30</v>
      </c>
    </row>
    <row r="3214" spans="1:10" x14ac:dyDescent="0.25">
      <c r="A3214" t="s">
        <v>144</v>
      </c>
      <c r="B3214">
        <f>11061.3481941688*(1/100/100)</f>
        <v>1.1061348194168801</v>
      </c>
      <c r="C3214">
        <v>31054</v>
      </c>
      <c r="D3214" t="s">
        <v>2159</v>
      </c>
      <c r="E3214">
        <v>10417</v>
      </c>
      <c r="F3214" t="s">
        <v>216</v>
      </c>
      <c r="G3214">
        <v>104</v>
      </c>
      <c r="H3214" t="s">
        <v>33</v>
      </c>
      <c r="I3214">
        <v>1</v>
      </c>
      <c r="J3214" t="s">
        <v>30</v>
      </c>
    </row>
    <row r="3215" spans="1:10" x14ac:dyDescent="0.25">
      <c r="A3215" t="s">
        <v>144</v>
      </c>
      <c r="B3215">
        <f>34582.8224753945*(1/100/100)</f>
        <v>3.4582822475394503</v>
      </c>
      <c r="C3215">
        <v>31055</v>
      </c>
      <c r="D3215" t="s">
        <v>2161</v>
      </c>
      <c r="E3215">
        <v>10426</v>
      </c>
      <c r="F3215" t="s">
        <v>225</v>
      </c>
      <c r="G3215">
        <v>104</v>
      </c>
      <c r="H3215" t="s">
        <v>33</v>
      </c>
      <c r="I3215">
        <v>1</v>
      </c>
      <c r="J3215" t="s">
        <v>30</v>
      </c>
    </row>
    <row r="3216" spans="1:10" x14ac:dyDescent="0.25">
      <c r="A3216" t="s">
        <v>144</v>
      </c>
      <c r="B3216">
        <f>34917.7197718672*(1/100/100)</f>
        <v>3.4917719771867204</v>
      </c>
      <c r="C3216">
        <v>31056</v>
      </c>
      <c r="D3216" t="s">
        <v>2139</v>
      </c>
      <c r="E3216">
        <v>10405</v>
      </c>
      <c r="F3216" t="s">
        <v>33</v>
      </c>
      <c r="G3216">
        <v>104</v>
      </c>
      <c r="H3216" t="s">
        <v>33</v>
      </c>
      <c r="I3216">
        <v>1</v>
      </c>
      <c r="J3216" t="s">
        <v>30</v>
      </c>
    </row>
    <row r="3217" spans="1:10" x14ac:dyDescent="0.25">
      <c r="A3217" t="s">
        <v>144</v>
      </c>
      <c r="B3217">
        <f>23256.4717816228*(1/100/100)</f>
        <v>2.3256471781622801</v>
      </c>
      <c r="C3217">
        <v>31057</v>
      </c>
      <c r="D3217" t="s">
        <v>2131</v>
      </c>
      <c r="E3217">
        <v>10403</v>
      </c>
      <c r="F3217" t="s">
        <v>203</v>
      </c>
      <c r="G3217">
        <v>104</v>
      </c>
      <c r="H3217" t="s">
        <v>33</v>
      </c>
      <c r="I3217">
        <v>1</v>
      </c>
      <c r="J3217" t="s">
        <v>30</v>
      </c>
    </row>
    <row r="3218" spans="1:10" x14ac:dyDescent="0.25">
      <c r="A3218" t="s">
        <v>144</v>
      </c>
      <c r="B3218">
        <f>64945.7217581609*(1/100/100)</f>
        <v>6.4945721758160904</v>
      </c>
      <c r="C3218">
        <v>31058</v>
      </c>
      <c r="D3218" t="s">
        <v>218</v>
      </c>
      <c r="E3218">
        <v>10419</v>
      </c>
      <c r="F3218" t="s">
        <v>218</v>
      </c>
      <c r="G3218">
        <v>104</v>
      </c>
      <c r="H3218" t="s">
        <v>33</v>
      </c>
      <c r="I3218">
        <v>1</v>
      </c>
      <c r="J3218" t="s">
        <v>30</v>
      </c>
    </row>
    <row r="3219" spans="1:10" x14ac:dyDescent="0.25">
      <c r="A3219" t="s">
        <v>144</v>
      </c>
      <c r="B3219">
        <f>18631.8607520251*(1/100/100)</f>
        <v>1.86318607520251</v>
      </c>
      <c r="C3219">
        <v>31101</v>
      </c>
      <c r="D3219" t="s">
        <v>2172</v>
      </c>
      <c r="E3219">
        <v>10507</v>
      </c>
      <c r="F3219" t="s">
        <v>233</v>
      </c>
      <c r="G3219">
        <v>105</v>
      </c>
      <c r="H3219" t="s">
        <v>34</v>
      </c>
      <c r="I3219">
        <v>1</v>
      </c>
      <c r="J3219" t="s">
        <v>30</v>
      </c>
    </row>
    <row r="3220" spans="1:10" x14ac:dyDescent="0.25">
      <c r="A3220" t="s">
        <v>144</v>
      </c>
      <c r="B3220">
        <f>187023.996901636*(1/100/100)</f>
        <v>18.702399690163602</v>
      </c>
      <c r="C3220">
        <v>31102</v>
      </c>
      <c r="D3220" t="s">
        <v>228</v>
      </c>
      <c r="E3220">
        <v>10501</v>
      </c>
      <c r="F3220" t="s">
        <v>228</v>
      </c>
      <c r="G3220">
        <v>105</v>
      </c>
      <c r="H3220" t="s">
        <v>34</v>
      </c>
      <c r="I3220">
        <v>1</v>
      </c>
      <c r="J3220" t="s">
        <v>30</v>
      </c>
    </row>
    <row r="3221" spans="1:10" x14ac:dyDescent="0.25">
      <c r="A3221" t="s">
        <v>144</v>
      </c>
      <c r="B3221">
        <f>23734.5047082654*(1/100/100)</f>
        <v>2.37345047082654</v>
      </c>
      <c r="C3221">
        <v>31103</v>
      </c>
      <c r="D3221" t="s">
        <v>2170</v>
      </c>
      <c r="E3221">
        <v>10506</v>
      </c>
      <c r="F3221" t="s">
        <v>232</v>
      </c>
      <c r="G3221">
        <v>105</v>
      </c>
      <c r="H3221" t="s">
        <v>34</v>
      </c>
      <c r="I3221">
        <v>1</v>
      </c>
      <c r="J3221" t="s">
        <v>30</v>
      </c>
    </row>
    <row r="3222" spans="1:10" x14ac:dyDescent="0.25">
      <c r="A3222" t="s">
        <v>144</v>
      </c>
      <c r="B3222">
        <f>68819.9405599547*(1/100/100)</f>
        <v>6.8819940559954702</v>
      </c>
      <c r="C3222">
        <v>31104</v>
      </c>
      <c r="D3222" t="s">
        <v>2175</v>
      </c>
      <c r="E3222">
        <v>10508</v>
      </c>
      <c r="F3222" t="s">
        <v>234</v>
      </c>
      <c r="G3222">
        <v>105</v>
      </c>
      <c r="H3222" t="s">
        <v>34</v>
      </c>
      <c r="I3222">
        <v>1</v>
      </c>
      <c r="J3222" t="s">
        <v>30</v>
      </c>
    </row>
    <row r="3223" spans="1:10" x14ac:dyDescent="0.25">
      <c r="A3223" t="s">
        <v>144</v>
      </c>
      <c r="B3223">
        <f>32807.4846987611*(1/100/100)</f>
        <v>3.2807484698761105</v>
      </c>
      <c r="C3223">
        <v>31105</v>
      </c>
      <c r="D3223" t="s">
        <v>2176</v>
      </c>
      <c r="E3223">
        <v>10509</v>
      </c>
      <c r="F3223" t="s">
        <v>235</v>
      </c>
      <c r="G3223">
        <v>105</v>
      </c>
      <c r="H3223" t="s">
        <v>34</v>
      </c>
      <c r="I3223">
        <v>1</v>
      </c>
      <c r="J3223" t="s">
        <v>30</v>
      </c>
    </row>
    <row r="3224" spans="1:10" x14ac:dyDescent="0.25">
      <c r="A3224" t="s">
        <v>144</v>
      </c>
      <c r="B3224">
        <f>84259.0564757839*(1/100/100)</f>
        <v>8.4259056475783911</v>
      </c>
      <c r="C3224">
        <v>31106</v>
      </c>
      <c r="D3224" t="s">
        <v>229</v>
      </c>
      <c r="E3224">
        <v>10502</v>
      </c>
      <c r="F3224" t="s">
        <v>229</v>
      </c>
      <c r="G3224">
        <v>105</v>
      </c>
      <c r="H3224" t="s">
        <v>34</v>
      </c>
      <c r="I3224">
        <v>1</v>
      </c>
      <c r="J3224" t="s">
        <v>30</v>
      </c>
    </row>
    <row r="3225" spans="1:10" x14ac:dyDescent="0.25">
      <c r="A3225" t="s">
        <v>144</v>
      </c>
      <c r="B3225">
        <f>90004.4059294606*(1/100/100)</f>
        <v>9.0004405929460596</v>
      </c>
      <c r="C3225">
        <v>31107</v>
      </c>
      <c r="D3225" t="s">
        <v>2165</v>
      </c>
      <c r="E3225">
        <v>10504</v>
      </c>
      <c r="F3225" t="s">
        <v>34</v>
      </c>
      <c r="G3225">
        <v>105</v>
      </c>
      <c r="H3225" t="s">
        <v>34</v>
      </c>
      <c r="I3225">
        <v>1</v>
      </c>
      <c r="J3225" t="s">
        <v>30</v>
      </c>
    </row>
    <row r="3226" spans="1:10" x14ac:dyDescent="0.25">
      <c r="A3226" t="s">
        <v>144</v>
      </c>
      <c r="B3226">
        <f>16293.4304869753*(1/100/100)</f>
        <v>1.62934304869753</v>
      </c>
      <c r="C3226">
        <v>31108</v>
      </c>
      <c r="D3226" t="s">
        <v>2177</v>
      </c>
      <c r="E3226">
        <v>10509</v>
      </c>
      <c r="F3226" t="s">
        <v>235</v>
      </c>
      <c r="G3226">
        <v>105</v>
      </c>
      <c r="H3226" t="s">
        <v>34</v>
      </c>
      <c r="I3226">
        <v>1</v>
      </c>
      <c r="J3226" t="s">
        <v>30</v>
      </c>
    </row>
    <row r="3227" spans="1:10" x14ac:dyDescent="0.25">
      <c r="A3227" t="s">
        <v>144</v>
      </c>
      <c r="B3227">
        <f>203492.194733029*(1/100/100)</f>
        <v>20.349219473302902</v>
      </c>
      <c r="C3227">
        <v>31109</v>
      </c>
      <c r="D3227" t="s">
        <v>230</v>
      </c>
      <c r="E3227">
        <v>10503</v>
      </c>
      <c r="F3227" t="s">
        <v>230</v>
      </c>
      <c r="G3227">
        <v>105</v>
      </c>
      <c r="H3227" t="s">
        <v>34</v>
      </c>
      <c r="I3227">
        <v>1</v>
      </c>
      <c r="J3227" t="s">
        <v>30</v>
      </c>
    </row>
    <row r="3228" spans="1:10" x14ac:dyDescent="0.25">
      <c r="A3228" t="s">
        <v>144</v>
      </c>
      <c r="B3228">
        <f>79898.975657141*(1/100/100)</f>
        <v>7.9898975657140996</v>
      </c>
      <c r="C3228">
        <v>31110</v>
      </c>
      <c r="D3228" t="s">
        <v>2166</v>
      </c>
      <c r="E3228">
        <v>10504</v>
      </c>
      <c r="F3228" t="s">
        <v>34</v>
      </c>
      <c r="G3228">
        <v>105</v>
      </c>
      <c r="H3228" t="s">
        <v>34</v>
      </c>
      <c r="I3228">
        <v>1</v>
      </c>
      <c r="J3228" t="s">
        <v>30</v>
      </c>
    </row>
    <row r="3229" spans="1:10" x14ac:dyDescent="0.25">
      <c r="A3229" t="s">
        <v>144</v>
      </c>
      <c r="B3229">
        <f>361151.042154969*(1/100/100)</f>
        <v>36.115104215496899</v>
      </c>
      <c r="C3229">
        <v>31111</v>
      </c>
      <c r="D3229" t="s">
        <v>34</v>
      </c>
      <c r="E3229">
        <v>10504</v>
      </c>
      <c r="F3229" t="s">
        <v>34</v>
      </c>
      <c r="G3229">
        <v>105</v>
      </c>
      <c r="H3229" t="s">
        <v>34</v>
      </c>
      <c r="I3229">
        <v>1</v>
      </c>
      <c r="J3229" t="s">
        <v>30</v>
      </c>
    </row>
    <row r="3230" spans="1:10" x14ac:dyDescent="0.25">
      <c r="A3230" t="s">
        <v>144</v>
      </c>
      <c r="B3230">
        <f>34996.6914940529*(1/100/100)</f>
        <v>3.4996691494052903</v>
      </c>
      <c r="C3230">
        <v>31112</v>
      </c>
      <c r="D3230" t="s">
        <v>2173</v>
      </c>
      <c r="E3230">
        <v>10507</v>
      </c>
      <c r="F3230" t="s">
        <v>233</v>
      </c>
      <c r="G3230">
        <v>105</v>
      </c>
      <c r="H3230" t="s">
        <v>34</v>
      </c>
      <c r="I3230">
        <v>1</v>
      </c>
      <c r="J3230" t="s">
        <v>30</v>
      </c>
    </row>
    <row r="3231" spans="1:10" x14ac:dyDescent="0.25">
      <c r="A3231" t="s">
        <v>144</v>
      </c>
      <c r="B3231">
        <f>135144.993345357*(1/100/100)</f>
        <v>13.514499334535701</v>
      </c>
      <c r="C3231">
        <v>31113</v>
      </c>
      <c r="D3231" t="s">
        <v>237</v>
      </c>
      <c r="E3231">
        <v>10511</v>
      </c>
      <c r="F3231" t="s">
        <v>237</v>
      </c>
      <c r="G3231">
        <v>105</v>
      </c>
      <c r="H3231" t="s">
        <v>34</v>
      </c>
      <c r="I3231">
        <v>1</v>
      </c>
      <c r="J3231" t="s">
        <v>30</v>
      </c>
    </row>
    <row r="3232" spans="1:10" x14ac:dyDescent="0.25">
      <c r="A3232" t="s">
        <v>144</v>
      </c>
      <c r="B3232">
        <f>44318.5742499635*(1/100/100)</f>
        <v>4.43185742499635</v>
      </c>
      <c r="C3232">
        <v>31114</v>
      </c>
      <c r="D3232" t="s">
        <v>2182</v>
      </c>
      <c r="E3232">
        <v>10510</v>
      </c>
      <c r="F3232" t="s">
        <v>236</v>
      </c>
      <c r="G3232">
        <v>105</v>
      </c>
      <c r="H3232" t="s">
        <v>34</v>
      </c>
      <c r="I3232">
        <v>1</v>
      </c>
      <c r="J3232" t="s">
        <v>30</v>
      </c>
    </row>
    <row r="3233" spans="1:10" x14ac:dyDescent="0.25">
      <c r="A3233" t="s">
        <v>144</v>
      </c>
      <c r="B3233">
        <f>24250.7500751767*(1/100/100)</f>
        <v>2.4250750075176701</v>
      </c>
      <c r="C3233">
        <v>31115</v>
      </c>
      <c r="D3233" t="s">
        <v>2174</v>
      </c>
      <c r="E3233">
        <v>10507</v>
      </c>
      <c r="F3233" t="s">
        <v>233</v>
      </c>
      <c r="G3233">
        <v>105</v>
      </c>
      <c r="H3233" t="s">
        <v>34</v>
      </c>
      <c r="I3233">
        <v>1</v>
      </c>
      <c r="J3233" t="s">
        <v>30</v>
      </c>
    </row>
    <row r="3234" spans="1:10" x14ac:dyDescent="0.25">
      <c r="A3234" t="s">
        <v>144</v>
      </c>
      <c r="B3234">
        <f>45847.7641114952*(1/100/100)</f>
        <v>4.5847764111495204</v>
      </c>
      <c r="C3234">
        <v>31116</v>
      </c>
      <c r="D3234" t="s">
        <v>231</v>
      </c>
      <c r="E3234">
        <v>10505</v>
      </c>
      <c r="F3234" t="s">
        <v>231</v>
      </c>
      <c r="G3234">
        <v>105</v>
      </c>
      <c r="H3234" t="s">
        <v>34</v>
      </c>
      <c r="I3234">
        <v>1</v>
      </c>
      <c r="J3234" t="s">
        <v>30</v>
      </c>
    </row>
    <row r="3235" spans="1:10" x14ac:dyDescent="0.25">
      <c r="A3235" t="s">
        <v>144</v>
      </c>
      <c r="B3235">
        <f>82556.5987945727*(1/100/100)</f>
        <v>8.2556598794572693</v>
      </c>
      <c r="C3235">
        <v>31117</v>
      </c>
      <c r="D3235" t="s">
        <v>232</v>
      </c>
      <c r="E3235">
        <v>10506</v>
      </c>
      <c r="F3235" t="s">
        <v>232</v>
      </c>
      <c r="G3235">
        <v>105</v>
      </c>
      <c r="H3235" t="s">
        <v>34</v>
      </c>
      <c r="I3235">
        <v>1</v>
      </c>
      <c r="J3235" t="s">
        <v>30</v>
      </c>
    </row>
    <row r="3236" spans="1:10" x14ac:dyDescent="0.25">
      <c r="A3236" t="s">
        <v>144</v>
      </c>
      <c r="B3236">
        <f>54183.9775479729*(1/100/100)</f>
        <v>5.4183977547972901</v>
      </c>
      <c r="C3236">
        <v>31118</v>
      </c>
      <c r="D3236" t="s">
        <v>238</v>
      </c>
      <c r="E3236">
        <v>10512</v>
      </c>
      <c r="F3236" t="s">
        <v>238</v>
      </c>
      <c r="G3236">
        <v>105</v>
      </c>
      <c r="H3236" t="s">
        <v>34</v>
      </c>
      <c r="I3236">
        <v>1</v>
      </c>
      <c r="J3236" t="s">
        <v>30</v>
      </c>
    </row>
    <row r="3237" spans="1:10" x14ac:dyDescent="0.25">
      <c r="A3237" t="s">
        <v>144</v>
      </c>
      <c r="B3237">
        <f>78265.2471310168*(1/100/100)</f>
        <v>7.8265247131016809</v>
      </c>
      <c r="C3237">
        <v>31119</v>
      </c>
      <c r="D3237" t="s">
        <v>233</v>
      </c>
      <c r="E3237">
        <v>10507</v>
      </c>
      <c r="F3237" t="s">
        <v>233</v>
      </c>
      <c r="G3237">
        <v>105</v>
      </c>
      <c r="H3237" t="s">
        <v>34</v>
      </c>
      <c r="I3237">
        <v>1</v>
      </c>
      <c r="J3237" t="s">
        <v>30</v>
      </c>
    </row>
    <row r="3238" spans="1:10" x14ac:dyDescent="0.25">
      <c r="A3238" t="s">
        <v>144</v>
      </c>
      <c r="B3238">
        <f>90627.4895535319*(1/100/100)</f>
        <v>9.0627489553531895</v>
      </c>
      <c r="C3238">
        <v>31120</v>
      </c>
      <c r="D3238" t="s">
        <v>2178</v>
      </c>
      <c r="E3238">
        <v>10509</v>
      </c>
      <c r="F3238" t="s">
        <v>235</v>
      </c>
      <c r="G3238">
        <v>105</v>
      </c>
      <c r="H3238" t="s">
        <v>34</v>
      </c>
      <c r="I3238">
        <v>1</v>
      </c>
      <c r="J3238" t="s">
        <v>30</v>
      </c>
    </row>
    <row r="3239" spans="1:10" x14ac:dyDescent="0.25">
      <c r="A3239" t="s">
        <v>144</v>
      </c>
      <c r="B3239">
        <f>33676.1273872511*(1/100/100)</f>
        <v>3.3676127387251102</v>
      </c>
      <c r="C3239">
        <v>31121</v>
      </c>
      <c r="D3239" t="s">
        <v>2179</v>
      </c>
      <c r="E3239">
        <v>10509</v>
      </c>
      <c r="F3239" t="s">
        <v>235</v>
      </c>
      <c r="G3239">
        <v>105</v>
      </c>
      <c r="H3239" t="s">
        <v>34</v>
      </c>
      <c r="I3239">
        <v>1</v>
      </c>
      <c r="J3239" t="s">
        <v>30</v>
      </c>
    </row>
    <row r="3240" spans="1:10" x14ac:dyDescent="0.25">
      <c r="A3240" t="s">
        <v>144</v>
      </c>
      <c r="B3240">
        <f>66277.2402676314*(1/100/100)</f>
        <v>6.6277240267631399</v>
      </c>
      <c r="C3240">
        <v>31122</v>
      </c>
      <c r="D3240" t="s">
        <v>2164</v>
      </c>
      <c r="E3240">
        <v>10503</v>
      </c>
      <c r="F3240" t="s">
        <v>230</v>
      </c>
      <c r="G3240">
        <v>105</v>
      </c>
      <c r="H3240" t="s">
        <v>34</v>
      </c>
      <c r="I3240">
        <v>1</v>
      </c>
      <c r="J3240" t="s">
        <v>30</v>
      </c>
    </row>
    <row r="3241" spans="1:10" x14ac:dyDescent="0.25">
      <c r="A3241" t="s">
        <v>144</v>
      </c>
      <c r="B3241">
        <f>93193.1545009065*(1/100/100)</f>
        <v>9.3193154500906505</v>
      </c>
      <c r="C3241">
        <v>31123</v>
      </c>
      <c r="D3241" t="s">
        <v>2167</v>
      </c>
      <c r="E3241">
        <v>10504</v>
      </c>
      <c r="F3241" t="s">
        <v>34</v>
      </c>
      <c r="G3241">
        <v>105</v>
      </c>
      <c r="H3241" t="s">
        <v>34</v>
      </c>
      <c r="I3241">
        <v>1</v>
      </c>
      <c r="J3241" t="s">
        <v>30</v>
      </c>
    </row>
    <row r="3242" spans="1:10" x14ac:dyDescent="0.25">
      <c r="A3242" t="s">
        <v>144</v>
      </c>
      <c r="B3242">
        <f>80039.8662481742*(1/100/100)</f>
        <v>8.0039866248174203</v>
      </c>
      <c r="C3242">
        <v>31124</v>
      </c>
      <c r="D3242" t="s">
        <v>2162</v>
      </c>
      <c r="E3242">
        <v>10501</v>
      </c>
      <c r="F3242" t="s">
        <v>228</v>
      </c>
      <c r="G3242">
        <v>105</v>
      </c>
      <c r="H3242" t="s">
        <v>34</v>
      </c>
      <c r="I3242">
        <v>1</v>
      </c>
      <c r="J3242" t="s">
        <v>30</v>
      </c>
    </row>
    <row r="3243" spans="1:10" x14ac:dyDescent="0.25">
      <c r="A3243" t="s">
        <v>144</v>
      </c>
      <c r="B3243">
        <f>13955.6313351717*(1/100/100)</f>
        <v>1.3955631335171701</v>
      </c>
      <c r="C3243">
        <v>31125</v>
      </c>
      <c r="D3243" t="s">
        <v>2183</v>
      </c>
      <c r="E3243">
        <v>10510</v>
      </c>
      <c r="F3243" t="s">
        <v>236</v>
      </c>
      <c r="G3243">
        <v>105</v>
      </c>
      <c r="H3243" t="s">
        <v>34</v>
      </c>
      <c r="I3243">
        <v>1</v>
      </c>
      <c r="J3243" t="s">
        <v>30</v>
      </c>
    </row>
    <row r="3244" spans="1:10" x14ac:dyDescent="0.25">
      <c r="A3244" t="s">
        <v>144</v>
      </c>
      <c r="B3244">
        <f>221583.456344352*(1/100/100)</f>
        <v>22.1583456344352</v>
      </c>
      <c r="C3244">
        <v>31126</v>
      </c>
      <c r="D3244" t="s">
        <v>234</v>
      </c>
      <c r="E3244">
        <v>10508</v>
      </c>
      <c r="F3244" t="s">
        <v>234</v>
      </c>
      <c r="G3244">
        <v>105</v>
      </c>
      <c r="H3244" t="s">
        <v>34</v>
      </c>
      <c r="I3244">
        <v>1</v>
      </c>
      <c r="J3244" t="s">
        <v>30</v>
      </c>
    </row>
    <row r="3245" spans="1:10" x14ac:dyDescent="0.25">
      <c r="A3245" t="s">
        <v>144</v>
      </c>
      <c r="B3245">
        <f>65701.445407231*(1/100/100)</f>
        <v>6.5701445407231009</v>
      </c>
      <c r="C3245">
        <v>31127</v>
      </c>
      <c r="D3245" t="s">
        <v>2180</v>
      </c>
      <c r="E3245">
        <v>10509</v>
      </c>
      <c r="F3245" t="s">
        <v>235</v>
      </c>
      <c r="G3245">
        <v>105</v>
      </c>
      <c r="H3245" t="s">
        <v>34</v>
      </c>
      <c r="I3245">
        <v>1</v>
      </c>
      <c r="J3245" t="s">
        <v>30</v>
      </c>
    </row>
    <row r="3246" spans="1:10" x14ac:dyDescent="0.25">
      <c r="A3246" t="s">
        <v>144</v>
      </c>
      <c r="B3246">
        <f>36378.8868891437*(1/100/100)</f>
        <v>3.6378886889143702</v>
      </c>
      <c r="C3246">
        <v>31128</v>
      </c>
      <c r="D3246" t="s">
        <v>2168</v>
      </c>
      <c r="E3246">
        <v>10505</v>
      </c>
      <c r="F3246" t="s">
        <v>231</v>
      </c>
      <c r="G3246">
        <v>105</v>
      </c>
      <c r="H3246" t="s">
        <v>34</v>
      </c>
      <c r="I3246">
        <v>1</v>
      </c>
      <c r="J3246" t="s">
        <v>30</v>
      </c>
    </row>
    <row r="3247" spans="1:10" x14ac:dyDescent="0.25">
      <c r="A3247" t="s">
        <v>144</v>
      </c>
      <c r="B3247">
        <f>43047.4630639587*(1/100/100)</f>
        <v>4.3047463063958702</v>
      </c>
      <c r="C3247">
        <v>31129</v>
      </c>
      <c r="D3247" t="s">
        <v>2171</v>
      </c>
      <c r="E3247">
        <v>10506</v>
      </c>
      <c r="F3247" t="s">
        <v>232</v>
      </c>
      <c r="G3247">
        <v>105</v>
      </c>
      <c r="H3247" t="s">
        <v>34</v>
      </c>
      <c r="I3247">
        <v>1</v>
      </c>
      <c r="J3247" t="s">
        <v>30</v>
      </c>
    </row>
    <row r="3248" spans="1:10" x14ac:dyDescent="0.25">
      <c r="A3248" t="s">
        <v>144</v>
      </c>
      <c r="B3248">
        <f>57635.5273734717*(1/100/100)</f>
        <v>5.7635527373471698</v>
      </c>
      <c r="C3248">
        <v>31130</v>
      </c>
      <c r="D3248" t="s">
        <v>236</v>
      </c>
      <c r="E3248">
        <v>10510</v>
      </c>
      <c r="F3248" t="s">
        <v>236</v>
      </c>
      <c r="G3248">
        <v>105</v>
      </c>
      <c r="H3248" t="s">
        <v>34</v>
      </c>
      <c r="I3248">
        <v>1</v>
      </c>
      <c r="J3248" t="s">
        <v>30</v>
      </c>
    </row>
    <row r="3249" spans="1:10" x14ac:dyDescent="0.25">
      <c r="A3249" t="s">
        <v>144</v>
      </c>
      <c r="B3249">
        <f>56543.2062942482*(1/100/100)</f>
        <v>5.6543206294248201</v>
      </c>
      <c r="C3249">
        <v>31131</v>
      </c>
      <c r="D3249" t="s">
        <v>2181</v>
      </c>
      <c r="E3249">
        <v>10509</v>
      </c>
      <c r="F3249" t="s">
        <v>235</v>
      </c>
      <c r="G3249">
        <v>105</v>
      </c>
      <c r="H3249" t="s">
        <v>34</v>
      </c>
      <c r="I3249">
        <v>1</v>
      </c>
      <c r="J3249" t="s">
        <v>30</v>
      </c>
    </row>
    <row r="3250" spans="1:10" x14ac:dyDescent="0.25">
      <c r="A3250" t="s">
        <v>144</v>
      </c>
      <c r="B3250">
        <f>59038.4003552454*(1/100/100)</f>
        <v>5.9038400355245404</v>
      </c>
      <c r="C3250">
        <v>31132</v>
      </c>
      <c r="D3250" t="s">
        <v>2169</v>
      </c>
      <c r="E3250">
        <v>10505</v>
      </c>
      <c r="F3250" t="s">
        <v>231</v>
      </c>
      <c r="G3250">
        <v>105</v>
      </c>
      <c r="H3250" t="s">
        <v>34</v>
      </c>
      <c r="I3250">
        <v>1</v>
      </c>
      <c r="J3250" t="s">
        <v>30</v>
      </c>
    </row>
    <row r="3251" spans="1:10" x14ac:dyDescent="0.25">
      <c r="A3251" t="s">
        <v>144</v>
      </c>
      <c r="B3251">
        <f>72937.9812879447*(1/100/100)</f>
        <v>7.29379812879447</v>
      </c>
      <c r="C3251">
        <v>31133</v>
      </c>
      <c r="D3251" t="s">
        <v>2163</v>
      </c>
      <c r="E3251">
        <v>10502</v>
      </c>
      <c r="F3251" t="s">
        <v>229</v>
      </c>
      <c r="G3251">
        <v>105</v>
      </c>
      <c r="H3251" t="s">
        <v>34</v>
      </c>
      <c r="I3251">
        <v>1</v>
      </c>
      <c r="J3251" t="s">
        <v>30</v>
      </c>
    </row>
    <row r="3252" spans="1:10" x14ac:dyDescent="0.25">
      <c r="A3252" t="s">
        <v>144</v>
      </c>
      <c r="B3252">
        <f>424823.880157083*(1/100/100)</f>
        <v>42.482388015708302</v>
      </c>
      <c r="C3252">
        <v>32001</v>
      </c>
      <c r="D3252" t="s">
        <v>257</v>
      </c>
      <c r="E3252">
        <v>10701</v>
      </c>
      <c r="F3252" t="s">
        <v>257</v>
      </c>
      <c r="G3252">
        <v>107</v>
      </c>
      <c r="H3252" t="s">
        <v>36</v>
      </c>
      <c r="I3252">
        <v>1</v>
      </c>
      <c r="J3252" t="s">
        <v>30</v>
      </c>
    </row>
    <row r="3253" spans="1:10" x14ac:dyDescent="0.25">
      <c r="A3253" t="s">
        <v>144</v>
      </c>
      <c r="B3253">
        <f>324303.910847458*(1/100/100)</f>
        <v>32.4303910847458</v>
      </c>
      <c r="C3253">
        <v>32002</v>
      </c>
      <c r="D3253" t="s">
        <v>258</v>
      </c>
      <c r="E3253">
        <v>10702</v>
      </c>
      <c r="F3253" t="s">
        <v>258</v>
      </c>
      <c r="G3253">
        <v>107</v>
      </c>
      <c r="H3253" t="s">
        <v>36</v>
      </c>
      <c r="I3253">
        <v>1</v>
      </c>
      <c r="J3253" t="s">
        <v>30</v>
      </c>
    </row>
    <row r="3254" spans="1:10" x14ac:dyDescent="0.25">
      <c r="A3254" t="s">
        <v>144</v>
      </c>
      <c r="B3254">
        <f>186066.608853528*(1/100/100)</f>
        <v>18.606660885352802</v>
      </c>
      <c r="C3254">
        <v>32003</v>
      </c>
      <c r="D3254" t="s">
        <v>259</v>
      </c>
      <c r="E3254">
        <v>10703</v>
      </c>
      <c r="F3254" t="s">
        <v>259</v>
      </c>
      <c r="G3254">
        <v>107</v>
      </c>
      <c r="H3254" t="s">
        <v>36</v>
      </c>
      <c r="I3254">
        <v>1</v>
      </c>
      <c r="J3254" t="s">
        <v>30</v>
      </c>
    </row>
    <row r="3255" spans="1:10" x14ac:dyDescent="0.25">
      <c r="A3255" t="s">
        <v>144</v>
      </c>
      <c r="B3255">
        <f>137636.772213392*(1/100/100)</f>
        <v>13.763677221339199</v>
      </c>
      <c r="C3255">
        <v>32004</v>
      </c>
      <c r="D3255" t="s">
        <v>260</v>
      </c>
      <c r="E3255">
        <v>10704</v>
      </c>
      <c r="F3255" t="s">
        <v>260</v>
      </c>
      <c r="G3255">
        <v>107</v>
      </c>
      <c r="H3255" t="s">
        <v>36</v>
      </c>
      <c r="I3255">
        <v>1</v>
      </c>
      <c r="J3255" t="s">
        <v>30</v>
      </c>
    </row>
    <row r="3256" spans="1:10" x14ac:dyDescent="0.25">
      <c r="A3256" t="s">
        <v>144</v>
      </c>
      <c r="B3256">
        <f>167514.447960708*(1/100/100)</f>
        <v>16.7514447960708</v>
      </c>
      <c r="C3256">
        <v>32005</v>
      </c>
      <c r="D3256" t="s">
        <v>282</v>
      </c>
      <c r="E3256">
        <v>10727</v>
      </c>
      <c r="F3256" t="s">
        <v>282</v>
      </c>
      <c r="G3256">
        <v>107</v>
      </c>
      <c r="H3256" t="s">
        <v>36</v>
      </c>
      <c r="I3256">
        <v>1</v>
      </c>
      <c r="J3256" t="s">
        <v>30</v>
      </c>
    </row>
    <row r="3257" spans="1:10" x14ac:dyDescent="0.25">
      <c r="A3257" t="s">
        <v>144</v>
      </c>
      <c r="B3257">
        <f>416880.498266886*(1/100/100)</f>
        <v>41.688049826688598</v>
      </c>
      <c r="C3257">
        <v>32006</v>
      </c>
      <c r="D3257" t="s">
        <v>261</v>
      </c>
      <c r="E3257">
        <v>10705</v>
      </c>
      <c r="F3257" t="s">
        <v>261</v>
      </c>
      <c r="G3257">
        <v>107</v>
      </c>
      <c r="H3257" t="s">
        <v>36</v>
      </c>
      <c r="I3257">
        <v>1</v>
      </c>
      <c r="J3257" t="s">
        <v>30</v>
      </c>
    </row>
    <row r="3258" spans="1:10" x14ac:dyDescent="0.25">
      <c r="A3258" t="s">
        <v>144</v>
      </c>
      <c r="B3258">
        <f>162359.936983179*(1/100/100)</f>
        <v>16.235993698317902</v>
      </c>
      <c r="C3258">
        <v>32007</v>
      </c>
      <c r="D3258" t="s">
        <v>262</v>
      </c>
      <c r="E3258">
        <v>10706</v>
      </c>
      <c r="F3258" t="s">
        <v>262</v>
      </c>
      <c r="G3258">
        <v>107</v>
      </c>
      <c r="H3258" t="s">
        <v>36</v>
      </c>
      <c r="I3258">
        <v>1</v>
      </c>
      <c r="J3258" t="s">
        <v>30</v>
      </c>
    </row>
    <row r="3259" spans="1:10" x14ac:dyDescent="0.25">
      <c r="A3259" t="s">
        <v>144</v>
      </c>
      <c r="B3259">
        <f>645588.606085227*(1/100/100)</f>
        <v>64.558860608522707</v>
      </c>
      <c r="C3259">
        <v>32008</v>
      </c>
      <c r="D3259" t="s">
        <v>263</v>
      </c>
      <c r="E3259">
        <v>10707</v>
      </c>
      <c r="F3259" t="s">
        <v>263</v>
      </c>
      <c r="G3259">
        <v>107</v>
      </c>
      <c r="H3259" t="s">
        <v>36</v>
      </c>
      <c r="I3259">
        <v>1</v>
      </c>
      <c r="J3259" t="s">
        <v>30</v>
      </c>
    </row>
    <row r="3260" spans="1:10" x14ac:dyDescent="0.25">
      <c r="A3260" t="s">
        <v>144</v>
      </c>
      <c r="B3260">
        <f>340590.130540656*(1/100/100)</f>
        <v>34.059013054065602</v>
      </c>
      <c r="C3260">
        <v>32009</v>
      </c>
      <c r="D3260" t="s">
        <v>264</v>
      </c>
      <c r="E3260">
        <v>10708</v>
      </c>
      <c r="F3260" t="s">
        <v>264</v>
      </c>
      <c r="G3260">
        <v>107</v>
      </c>
      <c r="H3260" t="s">
        <v>36</v>
      </c>
      <c r="I3260">
        <v>1</v>
      </c>
      <c r="J3260" t="s">
        <v>30</v>
      </c>
    </row>
    <row r="3261" spans="1:10" x14ac:dyDescent="0.25">
      <c r="A3261" t="s">
        <v>144</v>
      </c>
      <c r="B3261">
        <f>400478.526079146*(1/100/100)</f>
        <v>40.047852607914606</v>
      </c>
      <c r="C3261">
        <v>32010</v>
      </c>
      <c r="D3261" t="s">
        <v>265</v>
      </c>
      <c r="E3261">
        <v>10709</v>
      </c>
      <c r="F3261" t="s">
        <v>265</v>
      </c>
      <c r="G3261">
        <v>107</v>
      </c>
      <c r="H3261" t="s">
        <v>36</v>
      </c>
      <c r="I3261">
        <v>1</v>
      </c>
      <c r="J3261" t="s">
        <v>30</v>
      </c>
    </row>
    <row r="3262" spans="1:10" x14ac:dyDescent="0.25">
      <c r="A3262" t="s">
        <v>144</v>
      </c>
      <c r="B3262">
        <f>238919.179552035*(1/100/100)</f>
        <v>23.8919179552035</v>
      </c>
      <c r="C3262">
        <v>32011</v>
      </c>
      <c r="D3262" t="s">
        <v>266</v>
      </c>
      <c r="E3262">
        <v>10710</v>
      </c>
      <c r="F3262" t="s">
        <v>266</v>
      </c>
      <c r="G3262">
        <v>107</v>
      </c>
      <c r="H3262" t="s">
        <v>36</v>
      </c>
      <c r="I3262">
        <v>1</v>
      </c>
      <c r="J3262" t="s">
        <v>30</v>
      </c>
    </row>
    <row r="3263" spans="1:10" x14ac:dyDescent="0.25">
      <c r="A3263" t="s">
        <v>144</v>
      </c>
      <c r="B3263">
        <f>348727.103305306*(1/100/100)</f>
        <v>34.872710330530602</v>
      </c>
      <c r="C3263">
        <v>32012</v>
      </c>
      <c r="D3263" t="s">
        <v>267</v>
      </c>
      <c r="E3263">
        <v>10711</v>
      </c>
      <c r="F3263" t="s">
        <v>267</v>
      </c>
      <c r="G3263">
        <v>107</v>
      </c>
      <c r="H3263" t="s">
        <v>36</v>
      </c>
      <c r="I3263">
        <v>1</v>
      </c>
      <c r="J3263" t="s">
        <v>30</v>
      </c>
    </row>
    <row r="3264" spans="1:10" x14ac:dyDescent="0.25">
      <c r="A3264" t="s">
        <v>144</v>
      </c>
      <c r="B3264">
        <f>45631.4526962053*(1/100/100)</f>
        <v>4.5631452696205299</v>
      </c>
      <c r="C3264">
        <v>32013</v>
      </c>
      <c r="D3264" t="s">
        <v>2192</v>
      </c>
      <c r="E3264">
        <v>10703</v>
      </c>
      <c r="F3264" t="s">
        <v>259</v>
      </c>
      <c r="G3264">
        <v>107</v>
      </c>
      <c r="H3264" t="s">
        <v>36</v>
      </c>
      <c r="I3264">
        <v>1</v>
      </c>
      <c r="J3264" t="s">
        <v>30</v>
      </c>
    </row>
    <row r="3265" spans="1:10" x14ac:dyDescent="0.25">
      <c r="A3265" t="s">
        <v>144</v>
      </c>
      <c r="B3265">
        <f>368861.508725205*(1/100/100)</f>
        <v>36.886150872520503</v>
      </c>
      <c r="C3265">
        <v>32014</v>
      </c>
      <c r="D3265" t="s">
        <v>268</v>
      </c>
      <c r="E3265">
        <v>10712</v>
      </c>
      <c r="F3265" t="s">
        <v>268</v>
      </c>
      <c r="G3265">
        <v>107</v>
      </c>
      <c r="H3265" t="s">
        <v>36</v>
      </c>
      <c r="I3265">
        <v>1</v>
      </c>
      <c r="J3265" t="s">
        <v>30</v>
      </c>
    </row>
    <row r="3266" spans="1:10" x14ac:dyDescent="0.25">
      <c r="A3266" t="s">
        <v>144</v>
      </c>
      <c r="B3266">
        <f>129693.963949691*(1/100/100)</f>
        <v>12.969396394969101</v>
      </c>
      <c r="C3266">
        <v>32015</v>
      </c>
      <c r="D3266" t="s">
        <v>2195</v>
      </c>
      <c r="E3266">
        <v>10725</v>
      </c>
      <c r="F3266" t="s">
        <v>280</v>
      </c>
      <c r="G3266">
        <v>107</v>
      </c>
      <c r="H3266" t="s">
        <v>36</v>
      </c>
      <c r="I3266">
        <v>1</v>
      </c>
      <c r="J3266" t="s">
        <v>30</v>
      </c>
    </row>
    <row r="3267" spans="1:10" x14ac:dyDescent="0.25">
      <c r="A3267" t="s">
        <v>144</v>
      </c>
      <c r="B3267">
        <f>782478.441235492*(1/100/100)</f>
        <v>78.2478441235492</v>
      </c>
      <c r="C3267">
        <v>32016</v>
      </c>
      <c r="D3267" t="s">
        <v>36</v>
      </c>
      <c r="E3267">
        <v>10713</v>
      </c>
      <c r="F3267" t="s">
        <v>36</v>
      </c>
      <c r="G3267">
        <v>107</v>
      </c>
      <c r="H3267" t="s">
        <v>36</v>
      </c>
      <c r="I3267">
        <v>1</v>
      </c>
      <c r="J3267" t="s">
        <v>30</v>
      </c>
    </row>
    <row r="3268" spans="1:10" x14ac:dyDescent="0.25">
      <c r="A3268" t="s">
        <v>144</v>
      </c>
      <c r="B3268">
        <f>299658.967210392*(1/100/100)</f>
        <v>29.965896721039201</v>
      </c>
      <c r="C3268">
        <v>32017</v>
      </c>
      <c r="D3268" t="s">
        <v>269</v>
      </c>
      <c r="E3268">
        <v>10714</v>
      </c>
      <c r="F3268" t="s">
        <v>269</v>
      </c>
      <c r="G3268">
        <v>107</v>
      </c>
      <c r="H3268" t="s">
        <v>36</v>
      </c>
      <c r="I3268">
        <v>1</v>
      </c>
      <c r="J3268" t="s">
        <v>30</v>
      </c>
    </row>
    <row r="3269" spans="1:10" x14ac:dyDescent="0.25">
      <c r="A3269" t="s">
        <v>144</v>
      </c>
      <c r="B3269">
        <f>181169.305338972*(1/100/100)</f>
        <v>18.1169305338972</v>
      </c>
      <c r="C3269">
        <v>32018</v>
      </c>
      <c r="D3269" t="s">
        <v>270</v>
      </c>
      <c r="E3269">
        <v>10715</v>
      </c>
      <c r="F3269" t="s">
        <v>270</v>
      </c>
      <c r="G3269">
        <v>107</v>
      </c>
      <c r="H3269" t="s">
        <v>36</v>
      </c>
      <c r="I3269">
        <v>1</v>
      </c>
      <c r="J3269" t="s">
        <v>30</v>
      </c>
    </row>
    <row r="3270" spans="1:10" x14ac:dyDescent="0.25">
      <c r="A3270" t="s">
        <v>144</v>
      </c>
      <c r="B3270">
        <f>307494.799196601*(1/100/100)</f>
        <v>30.7494799196601</v>
      </c>
      <c r="C3270">
        <v>32019</v>
      </c>
      <c r="D3270" t="s">
        <v>271</v>
      </c>
      <c r="E3270">
        <v>10716</v>
      </c>
      <c r="F3270" t="s">
        <v>271</v>
      </c>
      <c r="G3270">
        <v>107</v>
      </c>
      <c r="H3270" t="s">
        <v>36</v>
      </c>
      <c r="I3270">
        <v>1</v>
      </c>
      <c r="J3270" t="s">
        <v>30</v>
      </c>
    </row>
    <row r="3271" spans="1:10" x14ac:dyDescent="0.25">
      <c r="A3271" t="s">
        <v>144</v>
      </c>
      <c r="B3271">
        <f>647143.770852276*(1/100/100)</f>
        <v>64.714377085227611</v>
      </c>
      <c r="C3271">
        <v>32020</v>
      </c>
      <c r="D3271" t="s">
        <v>272</v>
      </c>
      <c r="E3271">
        <v>10717</v>
      </c>
      <c r="F3271" t="s">
        <v>272</v>
      </c>
      <c r="G3271">
        <v>107</v>
      </c>
      <c r="H3271" t="s">
        <v>36</v>
      </c>
      <c r="I3271">
        <v>1</v>
      </c>
      <c r="J3271" t="s">
        <v>30</v>
      </c>
    </row>
    <row r="3272" spans="1:10" x14ac:dyDescent="0.25">
      <c r="A3272" t="s">
        <v>144</v>
      </c>
      <c r="B3272">
        <f>338974.720261601*(1/100/100)</f>
        <v>33.897472026160102</v>
      </c>
      <c r="C3272">
        <v>32021</v>
      </c>
      <c r="D3272" t="s">
        <v>273</v>
      </c>
      <c r="E3272">
        <v>10718</v>
      </c>
      <c r="F3272" t="s">
        <v>273</v>
      </c>
      <c r="G3272">
        <v>107</v>
      </c>
      <c r="H3272" t="s">
        <v>36</v>
      </c>
      <c r="I3272">
        <v>1</v>
      </c>
      <c r="J3272" t="s">
        <v>30</v>
      </c>
    </row>
    <row r="3273" spans="1:10" x14ac:dyDescent="0.25">
      <c r="A3273" t="s">
        <v>144</v>
      </c>
      <c r="B3273">
        <f>82734.5093347323*(1/100/100)</f>
        <v>8.2734509334732298</v>
      </c>
      <c r="C3273">
        <v>32022</v>
      </c>
      <c r="D3273" t="s">
        <v>281</v>
      </c>
      <c r="E3273">
        <v>10726</v>
      </c>
      <c r="F3273" t="s">
        <v>281</v>
      </c>
      <c r="G3273">
        <v>107</v>
      </c>
      <c r="H3273" t="s">
        <v>36</v>
      </c>
      <c r="I3273">
        <v>1</v>
      </c>
      <c r="J3273" t="s">
        <v>30</v>
      </c>
    </row>
    <row r="3274" spans="1:10" x14ac:dyDescent="0.25">
      <c r="A3274" t="s">
        <v>144</v>
      </c>
      <c r="B3274">
        <f>292481.327296207*(1/100/100)</f>
        <v>29.248132729620703</v>
      </c>
      <c r="C3274">
        <v>32023</v>
      </c>
      <c r="D3274" t="s">
        <v>2193</v>
      </c>
      <c r="E3274">
        <v>10719</v>
      </c>
      <c r="F3274" t="s">
        <v>274</v>
      </c>
      <c r="G3274">
        <v>107</v>
      </c>
      <c r="H3274" t="s">
        <v>36</v>
      </c>
      <c r="I3274">
        <v>1</v>
      </c>
      <c r="J3274" t="s">
        <v>30</v>
      </c>
    </row>
    <row r="3275" spans="1:10" x14ac:dyDescent="0.25">
      <c r="A3275" t="s">
        <v>144</v>
      </c>
      <c r="B3275">
        <f>229363.308915617*(1/100/100)</f>
        <v>22.936330891561703</v>
      </c>
      <c r="C3275">
        <v>32024</v>
      </c>
      <c r="D3275" t="s">
        <v>275</v>
      </c>
      <c r="E3275">
        <v>10720</v>
      </c>
      <c r="F3275" t="s">
        <v>275</v>
      </c>
      <c r="G3275">
        <v>107</v>
      </c>
      <c r="H3275" t="s">
        <v>36</v>
      </c>
      <c r="I3275">
        <v>1</v>
      </c>
      <c r="J3275" t="s">
        <v>30</v>
      </c>
    </row>
    <row r="3276" spans="1:10" x14ac:dyDescent="0.25">
      <c r="A3276" t="s">
        <v>144</v>
      </c>
      <c r="B3276">
        <f>374432.77122277*(1/100/100)</f>
        <v>37.443277122277003</v>
      </c>
      <c r="C3276">
        <v>32025</v>
      </c>
      <c r="D3276" t="s">
        <v>276</v>
      </c>
      <c r="E3276">
        <v>10721</v>
      </c>
      <c r="F3276" t="s">
        <v>276</v>
      </c>
      <c r="G3276">
        <v>107</v>
      </c>
      <c r="H3276" t="s">
        <v>36</v>
      </c>
      <c r="I3276">
        <v>1</v>
      </c>
      <c r="J3276" t="s">
        <v>30</v>
      </c>
    </row>
    <row r="3277" spans="1:10" x14ac:dyDescent="0.25">
      <c r="A3277" t="s">
        <v>144</v>
      </c>
      <c r="B3277">
        <f>386368.151517962*(1/100/100)</f>
        <v>38.636815151796199</v>
      </c>
      <c r="C3277">
        <v>32026</v>
      </c>
      <c r="D3277" t="s">
        <v>277</v>
      </c>
      <c r="E3277">
        <v>10722</v>
      </c>
      <c r="F3277" t="s">
        <v>277</v>
      </c>
      <c r="G3277">
        <v>107</v>
      </c>
      <c r="H3277" t="s">
        <v>36</v>
      </c>
      <c r="I3277">
        <v>1</v>
      </c>
      <c r="J3277" t="s">
        <v>30</v>
      </c>
    </row>
    <row r="3278" spans="1:10" x14ac:dyDescent="0.25">
      <c r="A3278" t="s">
        <v>144</v>
      </c>
      <c r="B3278">
        <f>170105.115065083*(1/100/100)</f>
        <v>17.010511506508301</v>
      </c>
      <c r="C3278">
        <v>32027</v>
      </c>
      <c r="D3278" t="s">
        <v>2194</v>
      </c>
      <c r="E3278">
        <v>10723</v>
      </c>
      <c r="F3278" t="s">
        <v>278</v>
      </c>
      <c r="G3278">
        <v>107</v>
      </c>
      <c r="H3278" t="s">
        <v>36</v>
      </c>
      <c r="I3278">
        <v>1</v>
      </c>
      <c r="J3278" t="s">
        <v>30</v>
      </c>
    </row>
    <row r="3279" spans="1:10" x14ac:dyDescent="0.25">
      <c r="A3279" t="s">
        <v>144</v>
      </c>
      <c r="B3279">
        <f>335849.449271784*(1/100/100)</f>
        <v>33.584944927178398</v>
      </c>
      <c r="C3279">
        <v>32028</v>
      </c>
      <c r="D3279" t="s">
        <v>279</v>
      </c>
      <c r="E3279">
        <v>10724</v>
      </c>
      <c r="F3279" t="s">
        <v>279</v>
      </c>
      <c r="G3279">
        <v>107</v>
      </c>
      <c r="H3279" t="s">
        <v>36</v>
      </c>
      <c r="I3279">
        <v>1</v>
      </c>
      <c r="J3279" t="s">
        <v>30</v>
      </c>
    </row>
    <row r="3280" spans="1:10" x14ac:dyDescent="0.25">
      <c r="A3280" t="s">
        <v>144</v>
      </c>
      <c r="B3280">
        <f>40270.8261584843*(1/100/100)</f>
        <v>4.0270826158484301</v>
      </c>
      <c r="C3280">
        <v>33001</v>
      </c>
      <c r="D3280" t="s">
        <v>2223</v>
      </c>
      <c r="E3280">
        <v>10817</v>
      </c>
      <c r="F3280" t="s">
        <v>298</v>
      </c>
      <c r="G3280">
        <v>108</v>
      </c>
      <c r="H3280" t="s">
        <v>37</v>
      </c>
      <c r="I3280">
        <v>1</v>
      </c>
      <c r="J3280" t="s">
        <v>30</v>
      </c>
    </row>
    <row r="3281" spans="1:10" x14ac:dyDescent="0.25">
      <c r="A3281" t="s">
        <v>144</v>
      </c>
      <c r="B3281">
        <f>33453.7835174917*(1/100/100)</f>
        <v>3.34537835174917</v>
      </c>
      <c r="C3281">
        <v>33002</v>
      </c>
      <c r="D3281" t="s">
        <v>2224</v>
      </c>
      <c r="E3281">
        <v>10817</v>
      </c>
      <c r="F3281" t="s">
        <v>298</v>
      </c>
      <c r="G3281">
        <v>108</v>
      </c>
      <c r="H3281" t="s">
        <v>37</v>
      </c>
      <c r="I3281">
        <v>1</v>
      </c>
      <c r="J3281" t="s">
        <v>30</v>
      </c>
    </row>
    <row r="3282" spans="1:10" x14ac:dyDescent="0.25">
      <c r="A3282" t="s">
        <v>144</v>
      </c>
      <c r="B3282">
        <f>347425.21430513*(1/100/100)</f>
        <v>34.742521430513001</v>
      </c>
      <c r="C3282">
        <v>33003</v>
      </c>
      <c r="D3282" t="s">
        <v>283</v>
      </c>
      <c r="E3282">
        <v>10801</v>
      </c>
      <c r="F3282" t="s">
        <v>283</v>
      </c>
      <c r="G3282">
        <v>108</v>
      </c>
      <c r="H3282" t="s">
        <v>37</v>
      </c>
      <c r="I3282">
        <v>1</v>
      </c>
      <c r="J3282" t="s">
        <v>30</v>
      </c>
    </row>
    <row r="3283" spans="1:10" x14ac:dyDescent="0.25">
      <c r="A3283" t="s">
        <v>144</v>
      </c>
      <c r="B3283">
        <f>94144.0679176396*(1/100/100)</f>
        <v>9.4144067917639607</v>
      </c>
      <c r="C3283">
        <v>33004</v>
      </c>
      <c r="D3283" t="s">
        <v>2229</v>
      </c>
      <c r="E3283">
        <v>10821</v>
      </c>
      <c r="F3283" t="s">
        <v>302</v>
      </c>
      <c r="G3283">
        <v>108</v>
      </c>
      <c r="H3283" t="s">
        <v>37</v>
      </c>
      <c r="I3283">
        <v>1</v>
      </c>
      <c r="J3283" t="s">
        <v>30</v>
      </c>
    </row>
    <row r="3284" spans="1:10" x14ac:dyDescent="0.25">
      <c r="A3284" t="s">
        <v>144</v>
      </c>
      <c r="B3284">
        <f>184414.921238614*(1/100/100)</f>
        <v>18.441492123861401</v>
      </c>
      <c r="C3284">
        <v>33005</v>
      </c>
      <c r="D3284" t="s">
        <v>284</v>
      </c>
      <c r="E3284">
        <v>10802</v>
      </c>
      <c r="F3284" t="s">
        <v>284</v>
      </c>
      <c r="G3284">
        <v>108</v>
      </c>
      <c r="H3284" t="s">
        <v>37</v>
      </c>
      <c r="I3284">
        <v>1</v>
      </c>
      <c r="J3284" t="s">
        <v>30</v>
      </c>
    </row>
    <row r="3285" spans="1:10" x14ac:dyDescent="0.25">
      <c r="A3285" t="s">
        <v>144</v>
      </c>
      <c r="B3285">
        <f>89691.3237577627*(1/100/100)</f>
        <v>8.9691323757762706</v>
      </c>
      <c r="C3285">
        <v>33006</v>
      </c>
      <c r="D3285" t="s">
        <v>2199</v>
      </c>
      <c r="E3285">
        <v>10803</v>
      </c>
      <c r="F3285" t="s">
        <v>285</v>
      </c>
      <c r="G3285">
        <v>108</v>
      </c>
      <c r="H3285" t="s">
        <v>37</v>
      </c>
      <c r="I3285">
        <v>1</v>
      </c>
      <c r="J3285" t="s">
        <v>30</v>
      </c>
    </row>
    <row r="3286" spans="1:10" x14ac:dyDescent="0.25">
      <c r="A3286" t="s">
        <v>144</v>
      </c>
      <c r="B3286">
        <f>64519.5946858287*(1/100/100)</f>
        <v>6.4519594685828698</v>
      </c>
      <c r="C3286">
        <v>33007</v>
      </c>
      <c r="D3286" t="s">
        <v>2196</v>
      </c>
      <c r="E3286">
        <v>10801</v>
      </c>
      <c r="F3286" t="s">
        <v>283</v>
      </c>
      <c r="G3286">
        <v>108</v>
      </c>
      <c r="H3286" t="s">
        <v>37</v>
      </c>
      <c r="I3286">
        <v>1</v>
      </c>
      <c r="J3286" t="s">
        <v>30</v>
      </c>
    </row>
    <row r="3287" spans="1:10" x14ac:dyDescent="0.25">
      <c r="A3287" t="s">
        <v>144</v>
      </c>
      <c r="B3287">
        <f>32734.0975918086*(1/100/100)</f>
        <v>3.2734097591808604</v>
      </c>
      <c r="C3287">
        <v>33008</v>
      </c>
      <c r="D3287" t="s">
        <v>2208</v>
      </c>
      <c r="E3287">
        <v>10809</v>
      </c>
      <c r="F3287" t="s">
        <v>291</v>
      </c>
      <c r="G3287">
        <v>108</v>
      </c>
      <c r="H3287" t="s">
        <v>37</v>
      </c>
      <c r="I3287">
        <v>1</v>
      </c>
      <c r="J3287" t="s">
        <v>30</v>
      </c>
    </row>
    <row r="3288" spans="1:10" x14ac:dyDescent="0.25">
      <c r="A3288" t="s">
        <v>144</v>
      </c>
      <c r="B3288">
        <f>28998.3307637123*(1/100/100)</f>
        <v>2.8998330763712303</v>
      </c>
      <c r="C3288">
        <v>33009</v>
      </c>
      <c r="D3288" t="s">
        <v>2200</v>
      </c>
      <c r="E3288">
        <v>10803</v>
      </c>
      <c r="F3288" t="s">
        <v>285</v>
      </c>
      <c r="G3288">
        <v>108</v>
      </c>
      <c r="H3288" t="s">
        <v>37</v>
      </c>
      <c r="I3288">
        <v>1</v>
      </c>
      <c r="J3288" t="s">
        <v>30</v>
      </c>
    </row>
    <row r="3289" spans="1:10" x14ac:dyDescent="0.25">
      <c r="A3289" t="s">
        <v>144</v>
      </c>
      <c r="B3289">
        <f>117058.18143561*(1/100/100)</f>
        <v>11.705818143561</v>
      </c>
      <c r="C3289">
        <v>33010</v>
      </c>
      <c r="D3289" t="s">
        <v>286</v>
      </c>
      <c r="E3289">
        <v>10804</v>
      </c>
      <c r="F3289" t="s">
        <v>286</v>
      </c>
      <c r="G3289">
        <v>108</v>
      </c>
      <c r="H3289" t="s">
        <v>37</v>
      </c>
      <c r="I3289">
        <v>1</v>
      </c>
      <c r="J3289" t="s">
        <v>30</v>
      </c>
    </row>
    <row r="3290" spans="1:10" x14ac:dyDescent="0.25">
      <c r="A3290" t="s">
        <v>144</v>
      </c>
      <c r="B3290">
        <f>44123.1549623111*(1/100/100)</f>
        <v>4.41231549623111</v>
      </c>
      <c r="C3290">
        <v>33011</v>
      </c>
      <c r="D3290" t="s">
        <v>2209</v>
      </c>
      <c r="E3290">
        <v>10809</v>
      </c>
      <c r="F3290" t="s">
        <v>291</v>
      </c>
      <c r="G3290">
        <v>108</v>
      </c>
      <c r="H3290" t="s">
        <v>37</v>
      </c>
      <c r="I3290">
        <v>1</v>
      </c>
      <c r="J3290" t="s">
        <v>30</v>
      </c>
    </row>
    <row r="3291" spans="1:10" x14ac:dyDescent="0.25">
      <c r="A3291" t="s">
        <v>144</v>
      </c>
      <c r="B3291">
        <f>23492.5529244744*(1/100/100)</f>
        <v>2.3492552924474399</v>
      </c>
      <c r="C3291">
        <v>33012</v>
      </c>
      <c r="D3291" t="s">
        <v>2219</v>
      </c>
      <c r="E3291">
        <v>10813</v>
      </c>
      <c r="F3291" t="s">
        <v>295</v>
      </c>
      <c r="G3291">
        <v>108</v>
      </c>
      <c r="H3291" t="s">
        <v>37</v>
      </c>
      <c r="I3291">
        <v>1</v>
      </c>
      <c r="J3291" t="s">
        <v>30</v>
      </c>
    </row>
    <row r="3292" spans="1:10" x14ac:dyDescent="0.25">
      <c r="A3292" t="s">
        <v>144</v>
      </c>
      <c r="B3292">
        <f>41846.1985850553*(1/100/100)</f>
        <v>4.1846198585055303</v>
      </c>
      <c r="C3292">
        <v>33013</v>
      </c>
      <c r="D3292" t="s">
        <v>2210</v>
      </c>
      <c r="E3292">
        <v>10809</v>
      </c>
      <c r="F3292" t="s">
        <v>291</v>
      </c>
      <c r="G3292">
        <v>108</v>
      </c>
      <c r="H3292" t="s">
        <v>37</v>
      </c>
      <c r="I3292">
        <v>1</v>
      </c>
      <c r="J3292" t="s">
        <v>30</v>
      </c>
    </row>
    <row r="3293" spans="1:10" x14ac:dyDescent="0.25">
      <c r="A3293" t="s">
        <v>144</v>
      </c>
      <c r="B3293">
        <f>216786.497733473*(1/100/100)</f>
        <v>21.678649773347299</v>
      </c>
      <c r="C3293">
        <v>33014</v>
      </c>
      <c r="D3293" t="s">
        <v>287</v>
      </c>
      <c r="E3293">
        <v>10805</v>
      </c>
      <c r="F3293" t="s">
        <v>287</v>
      </c>
      <c r="G3293">
        <v>108</v>
      </c>
      <c r="H3293" t="s">
        <v>37</v>
      </c>
      <c r="I3293">
        <v>1</v>
      </c>
      <c r="J3293" t="s">
        <v>30</v>
      </c>
    </row>
    <row r="3294" spans="1:10" x14ac:dyDescent="0.25">
      <c r="A3294" t="s">
        <v>144</v>
      </c>
      <c r="B3294">
        <f>94600.3934425028*(1/100/100)</f>
        <v>9.4600393442502799</v>
      </c>
      <c r="C3294">
        <v>33015</v>
      </c>
      <c r="D3294" t="s">
        <v>288</v>
      </c>
      <c r="E3294">
        <v>10806</v>
      </c>
      <c r="F3294" t="s">
        <v>288</v>
      </c>
      <c r="G3294">
        <v>108</v>
      </c>
      <c r="H3294" t="s">
        <v>37</v>
      </c>
      <c r="I3294">
        <v>1</v>
      </c>
      <c r="J3294" t="s">
        <v>30</v>
      </c>
    </row>
    <row r="3295" spans="1:10" x14ac:dyDescent="0.25">
      <c r="A3295" t="s">
        <v>144</v>
      </c>
      <c r="B3295">
        <f>46338.0059969893*(1/100/100)</f>
        <v>4.6338005996989295</v>
      </c>
      <c r="C3295">
        <v>33016</v>
      </c>
      <c r="D3295" t="s">
        <v>2231</v>
      </c>
      <c r="E3295">
        <v>10823</v>
      </c>
      <c r="F3295" t="s">
        <v>304</v>
      </c>
      <c r="G3295">
        <v>108</v>
      </c>
      <c r="H3295" t="s">
        <v>37</v>
      </c>
      <c r="I3295">
        <v>1</v>
      </c>
      <c r="J3295" t="s">
        <v>30</v>
      </c>
    </row>
    <row r="3296" spans="1:10" x14ac:dyDescent="0.25">
      <c r="A3296" t="s">
        <v>144</v>
      </c>
      <c r="B3296">
        <f>36849.8219066531*(1/100/100)</f>
        <v>3.6849821906653104</v>
      </c>
      <c r="C3296">
        <v>33017</v>
      </c>
      <c r="D3296" t="s">
        <v>2197</v>
      </c>
      <c r="E3296">
        <v>10802</v>
      </c>
      <c r="F3296" t="s">
        <v>284</v>
      </c>
      <c r="G3296">
        <v>108</v>
      </c>
      <c r="H3296" t="s">
        <v>37</v>
      </c>
      <c r="I3296">
        <v>1</v>
      </c>
      <c r="J3296" t="s">
        <v>30</v>
      </c>
    </row>
    <row r="3297" spans="1:10" x14ac:dyDescent="0.25">
      <c r="A3297" t="s">
        <v>144</v>
      </c>
      <c r="B3297">
        <f>27603.951987947*(1/100/100)</f>
        <v>2.7603951987947002</v>
      </c>
      <c r="C3297">
        <v>33018</v>
      </c>
      <c r="D3297" t="s">
        <v>2201</v>
      </c>
      <c r="E3297">
        <v>10803</v>
      </c>
      <c r="F3297" t="s">
        <v>285</v>
      </c>
      <c r="G3297">
        <v>108</v>
      </c>
      <c r="H3297" t="s">
        <v>37</v>
      </c>
      <c r="I3297">
        <v>1</v>
      </c>
      <c r="J3297" t="s">
        <v>30</v>
      </c>
    </row>
    <row r="3298" spans="1:10" x14ac:dyDescent="0.25">
      <c r="A3298" t="s">
        <v>144</v>
      </c>
      <c r="B3298">
        <f>95198.6219689205*(1/100/100)</f>
        <v>9.5198621968920509</v>
      </c>
      <c r="C3298">
        <v>33019</v>
      </c>
      <c r="D3298" t="s">
        <v>2203</v>
      </c>
      <c r="E3298">
        <v>10804</v>
      </c>
      <c r="F3298" t="s">
        <v>286</v>
      </c>
      <c r="G3298">
        <v>108</v>
      </c>
      <c r="H3298" t="s">
        <v>37</v>
      </c>
      <c r="I3298">
        <v>1</v>
      </c>
      <c r="J3298" t="s">
        <v>30</v>
      </c>
    </row>
    <row r="3299" spans="1:10" x14ac:dyDescent="0.25">
      <c r="A3299" t="s">
        <v>144</v>
      </c>
      <c r="B3299">
        <f>58448.5251114312*(1/100/100)</f>
        <v>5.8448525111431202</v>
      </c>
      <c r="C3299">
        <v>33020</v>
      </c>
      <c r="D3299" t="s">
        <v>2213</v>
      </c>
      <c r="E3299">
        <v>10811</v>
      </c>
      <c r="F3299" t="s">
        <v>293</v>
      </c>
      <c r="G3299">
        <v>108</v>
      </c>
      <c r="H3299" t="s">
        <v>37</v>
      </c>
      <c r="I3299">
        <v>1</v>
      </c>
      <c r="J3299" t="s">
        <v>30</v>
      </c>
    </row>
    <row r="3300" spans="1:10" x14ac:dyDescent="0.25">
      <c r="A3300" t="s">
        <v>144</v>
      </c>
      <c r="B3300">
        <f>146357.414294716*(1/100/100)</f>
        <v>14.635741429471601</v>
      </c>
      <c r="C3300">
        <v>33021</v>
      </c>
      <c r="D3300" t="s">
        <v>289</v>
      </c>
      <c r="E3300">
        <v>10807</v>
      </c>
      <c r="F3300" t="s">
        <v>289</v>
      </c>
      <c r="G3300">
        <v>108</v>
      </c>
      <c r="H3300" t="s">
        <v>37</v>
      </c>
      <c r="I3300">
        <v>1</v>
      </c>
      <c r="J3300" t="s">
        <v>30</v>
      </c>
    </row>
    <row r="3301" spans="1:10" x14ac:dyDescent="0.25">
      <c r="A3301" t="s">
        <v>144</v>
      </c>
      <c r="B3301">
        <f>16007.1387408217*(1/100/100)</f>
        <v>1.60071387408217</v>
      </c>
      <c r="C3301">
        <v>33022</v>
      </c>
      <c r="D3301" t="s">
        <v>2225</v>
      </c>
      <c r="E3301">
        <v>10817</v>
      </c>
      <c r="F3301" t="s">
        <v>298</v>
      </c>
      <c r="G3301">
        <v>108</v>
      </c>
      <c r="H3301" t="s">
        <v>37</v>
      </c>
      <c r="I3301">
        <v>1</v>
      </c>
      <c r="J3301" t="s">
        <v>30</v>
      </c>
    </row>
    <row r="3302" spans="1:10" x14ac:dyDescent="0.25">
      <c r="A3302" t="s">
        <v>144</v>
      </c>
      <c r="B3302">
        <f>78252.6097576021*(1/100/100)</f>
        <v>7.8252609757602105</v>
      </c>
      <c r="C3302">
        <v>33023</v>
      </c>
      <c r="D3302" t="s">
        <v>2220</v>
      </c>
      <c r="E3302">
        <v>10815</v>
      </c>
      <c r="F3302" t="s">
        <v>297</v>
      </c>
      <c r="G3302">
        <v>108</v>
      </c>
      <c r="H3302" t="s">
        <v>37</v>
      </c>
      <c r="I3302">
        <v>1</v>
      </c>
      <c r="J3302" t="s">
        <v>30</v>
      </c>
    </row>
    <row r="3303" spans="1:10" x14ac:dyDescent="0.25">
      <c r="A3303" t="s">
        <v>144</v>
      </c>
      <c r="B3303">
        <f>81947.5719973745*(1/100/100)</f>
        <v>8.1947571997374506</v>
      </c>
      <c r="C3303">
        <v>33024</v>
      </c>
      <c r="D3303" t="s">
        <v>2221</v>
      </c>
      <c r="E3303">
        <v>10815</v>
      </c>
      <c r="F3303" t="s">
        <v>297</v>
      </c>
      <c r="G3303">
        <v>108</v>
      </c>
      <c r="H3303" t="s">
        <v>37</v>
      </c>
      <c r="I3303">
        <v>1</v>
      </c>
      <c r="J3303" t="s">
        <v>30</v>
      </c>
    </row>
    <row r="3304" spans="1:10" x14ac:dyDescent="0.25">
      <c r="A3304" t="s">
        <v>144</v>
      </c>
      <c r="B3304">
        <f>127866.341728256*(1/100/100)</f>
        <v>12.7866341728256</v>
      </c>
      <c r="C3304">
        <v>33025</v>
      </c>
      <c r="D3304" t="s">
        <v>290</v>
      </c>
      <c r="E3304">
        <v>10808</v>
      </c>
      <c r="F3304" t="s">
        <v>290</v>
      </c>
      <c r="G3304">
        <v>108</v>
      </c>
      <c r="H3304" t="s">
        <v>37</v>
      </c>
      <c r="I3304">
        <v>1</v>
      </c>
      <c r="J3304" t="s">
        <v>30</v>
      </c>
    </row>
    <row r="3305" spans="1:10" x14ac:dyDescent="0.25">
      <c r="A3305" t="s">
        <v>144</v>
      </c>
      <c r="B3305">
        <f>98512.1606506894*(1/100/100)</f>
        <v>9.8512160650689413</v>
      </c>
      <c r="C3305">
        <v>33026</v>
      </c>
      <c r="D3305" t="s">
        <v>305</v>
      </c>
      <c r="E3305">
        <v>10824</v>
      </c>
      <c r="F3305" t="s">
        <v>305</v>
      </c>
      <c r="G3305">
        <v>108</v>
      </c>
      <c r="H3305" t="s">
        <v>37</v>
      </c>
      <c r="I3305">
        <v>1</v>
      </c>
      <c r="J3305" t="s">
        <v>30</v>
      </c>
    </row>
    <row r="3306" spans="1:10" x14ac:dyDescent="0.25">
      <c r="A3306" t="s">
        <v>144</v>
      </c>
      <c r="B3306">
        <f>51572.7912274396*(1/100/100)</f>
        <v>5.1572791227439607</v>
      </c>
      <c r="C3306">
        <v>33027</v>
      </c>
      <c r="D3306" t="s">
        <v>2216</v>
      </c>
      <c r="E3306">
        <v>10812</v>
      </c>
      <c r="F3306" t="s">
        <v>294</v>
      </c>
      <c r="G3306">
        <v>108</v>
      </c>
      <c r="H3306" t="s">
        <v>37</v>
      </c>
      <c r="I3306">
        <v>1</v>
      </c>
      <c r="J3306" t="s">
        <v>30</v>
      </c>
    </row>
    <row r="3307" spans="1:10" x14ac:dyDescent="0.25">
      <c r="A3307" t="s">
        <v>144</v>
      </c>
      <c r="B3307">
        <f>34952.7165683927*(1/100/100)</f>
        <v>3.4952716568392703</v>
      </c>
      <c r="C3307">
        <v>33028</v>
      </c>
      <c r="D3307" t="s">
        <v>2211</v>
      </c>
      <c r="E3307">
        <v>10809</v>
      </c>
      <c r="F3307" t="s">
        <v>291</v>
      </c>
      <c r="G3307">
        <v>108</v>
      </c>
      <c r="H3307" t="s">
        <v>37</v>
      </c>
      <c r="I3307">
        <v>1</v>
      </c>
      <c r="J3307" t="s">
        <v>30</v>
      </c>
    </row>
    <row r="3308" spans="1:10" x14ac:dyDescent="0.25">
      <c r="A3308" t="s">
        <v>144</v>
      </c>
      <c r="B3308">
        <f>23509.4481818971*(1/100/100)</f>
        <v>2.3509448181897099</v>
      </c>
      <c r="C3308">
        <v>33029</v>
      </c>
      <c r="D3308" t="s">
        <v>2226</v>
      </c>
      <c r="E3308">
        <v>10817</v>
      </c>
      <c r="F3308" t="s">
        <v>298</v>
      </c>
      <c r="G3308">
        <v>108</v>
      </c>
      <c r="H3308" t="s">
        <v>37</v>
      </c>
      <c r="I3308">
        <v>1</v>
      </c>
      <c r="J3308" t="s">
        <v>30</v>
      </c>
    </row>
    <row r="3309" spans="1:10" x14ac:dyDescent="0.25">
      <c r="A3309" t="s">
        <v>144</v>
      </c>
      <c r="B3309">
        <f>42980.0542979956*(1/100/100)</f>
        <v>4.2980054297995602</v>
      </c>
      <c r="C3309">
        <v>33031</v>
      </c>
      <c r="D3309" t="s">
        <v>2206</v>
      </c>
      <c r="E3309">
        <v>10807</v>
      </c>
      <c r="F3309" t="s">
        <v>289</v>
      </c>
      <c r="G3309">
        <v>108</v>
      </c>
      <c r="H3309" t="s">
        <v>37</v>
      </c>
      <c r="I3309">
        <v>1</v>
      </c>
      <c r="J3309" t="s">
        <v>30</v>
      </c>
    </row>
    <row r="3310" spans="1:10" x14ac:dyDescent="0.25">
      <c r="A3310" t="s">
        <v>144</v>
      </c>
      <c r="B3310">
        <f>150367.299564537*(1/100/100)</f>
        <v>15.036729956453701</v>
      </c>
      <c r="C3310">
        <v>33032</v>
      </c>
      <c r="D3310" t="s">
        <v>291</v>
      </c>
      <c r="E3310">
        <v>10809</v>
      </c>
      <c r="F3310" t="s">
        <v>291</v>
      </c>
      <c r="G3310">
        <v>108</v>
      </c>
      <c r="H3310" t="s">
        <v>37</v>
      </c>
      <c r="I3310">
        <v>1</v>
      </c>
      <c r="J3310" t="s">
        <v>30</v>
      </c>
    </row>
    <row r="3311" spans="1:10" x14ac:dyDescent="0.25">
      <c r="A3311" t="s">
        <v>144</v>
      </c>
      <c r="B3311">
        <f>160280.512761685*(1/100/100)</f>
        <v>16.028051276168501</v>
      </c>
      <c r="C3311">
        <v>33033</v>
      </c>
      <c r="D3311" t="s">
        <v>292</v>
      </c>
      <c r="E3311">
        <v>10810</v>
      </c>
      <c r="F3311" t="s">
        <v>292</v>
      </c>
      <c r="G3311">
        <v>108</v>
      </c>
      <c r="H3311" t="s">
        <v>37</v>
      </c>
      <c r="I3311">
        <v>1</v>
      </c>
      <c r="J3311" t="s">
        <v>30</v>
      </c>
    </row>
    <row r="3312" spans="1:10" x14ac:dyDescent="0.25">
      <c r="A3312" t="s">
        <v>144</v>
      </c>
      <c r="B3312">
        <f>86969.9565445994*(1/100/100)</f>
        <v>8.6969956544599398</v>
      </c>
      <c r="C3312">
        <v>33034</v>
      </c>
      <c r="D3312" t="s">
        <v>293</v>
      </c>
      <c r="E3312">
        <v>10811</v>
      </c>
      <c r="F3312" t="s">
        <v>293</v>
      </c>
      <c r="G3312">
        <v>108</v>
      </c>
      <c r="H3312" t="s">
        <v>37</v>
      </c>
      <c r="I3312">
        <v>1</v>
      </c>
      <c r="J3312" t="s">
        <v>30</v>
      </c>
    </row>
    <row r="3313" spans="1:10" x14ac:dyDescent="0.25">
      <c r="A3313" t="s">
        <v>144</v>
      </c>
      <c r="B3313">
        <f>114443.342471852*(1/100/100)</f>
        <v>11.4443342471852</v>
      </c>
      <c r="C3313">
        <v>33035</v>
      </c>
      <c r="D3313" t="s">
        <v>2222</v>
      </c>
      <c r="E3313">
        <v>10816</v>
      </c>
      <c r="F3313" t="s">
        <v>37</v>
      </c>
      <c r="G3313">
        <v>108</v>
      </c>
      <c r="H3313" t="s">
        <v>37</v>
      </c>
      <c r="I3313">
        <v>1</v>
      </c>
      <c r="J3313" t="s">
        <v>30</v>
      </c>
    </row>
    <row r="3314" spans="1:10" x14ac:dyDescent="0.25">
      <c r="A3314" t="s">
        <v>144</v>
      </c>
      <c r="B3314">
        <f>78541.6860650439*(1/100/100)</f>
        <v>7.8541686065043912</v>
      </c>
      <c r="C3314">
        <v>33036</v>
      </c>
      <c r="D3314" t="s">
        <v>2204</v>
      </c>
      <c r="E3314">
        <v>10804</v>
      </c>
      <c r="F3314" t="s">
        <v>286</v>
      </c>
      <c r="G3314">
        <v>108</v>
      </c>
      <c r="H3314" t="s">
        <v>37</v>
      </c>
      <c r="I3314">
        <v>1</v>
      </c>
      <c r="J3314" t="s">
        <v>30</v>
      </c>
    </row>
    <row r="3315" spans="1:10" x14ac:dyDescent="0.25">
      <c r="A3315" t="s">
        <v>144</v>
      </c>
      <c r="B3315">
        <f>238815.817938893*(1/100/100)</f>
        <v>23.8815817938893</v>
      </c>
      <c r="C3315">
        <v>33037</v>
      </c>
      <c r="D3315" t="s">
        <v>295</v>
      </c>
      <c r="E3315">
        <v>10813</v>
      </c>
      <c r="F3315" t="s">
        <v>295</v>
      </c>
      <c r="G3315">
        <v>108</v>
      </c>
      <c r="H3315" t="s">
        <v>37</v>
      </c>
      <c r="I3315">
        <v>1</v>
      </c>
      <c r="J3315" t="s">
        <v>30</v>
      </c>
    </row>
    <row r="3316" spans="1:10" x14ac:dyDescent="0.25">
      <c r="A3316" t="s">
        <v>144</v>
      </c>
      <c r="B3316">
        <f>35249.4222738163*(1/100/100)</f>
        <v>3.5249422273816302</v>
      </c>
      <c r="C3316">
        <v>33038</v>
      </c>
      <c r="D3316" t="s">
        <v>2217</v>
      </c>
      <c r="E3316">
        <v>10812</v>
      </c>
      <c r="F3316" t="s">
        <v>294</v>
      </c>
      <c r="G3316">
        <v>108</v>
      </c>
      <c r="H3316" t="s">
        <v>37</v>
      </c>
      <c r="I3316">
        <v>1</v>
      </c>
      <c r="J3316" t="s">
        <v>30</v>
      </c>
    </row>
    <row r="3317" spans="1:10" x14ac:dyDescent="0.25">
      <c r="A3317" t="s">
        <v>144</v>
      </c>
      <c r="B3317">
        <f>194204.200848348*(1/100/100)</f>
        <v>19.420420084834802</v>
      </c>
      <c r="C3317">
        <v>33039</v>
      </c>
      <c r="D3317" t="s">
        <v>296</v>
      </c>
      <c r="E3317">
        <v>10814</v>
      </c>
      <c r="F3317" t="s">
        <v>296</v>
      </c>
      <c r="G3317">
        <v>108</v>
      </c>
      <c r="H3317" t="s">
        <v>37</v>
      </c>
      <c r="I3317">
        <v>1</v>
      </c>
      <c r="J3317" t="s">
        <v>30</v>
      </c>
    </row>
    <row r="3318" spans="1:10" x14ac:dyDescent="0.25">
      <c r="A3318" t="s">
        <v>144</v>
      </c>
      <c r="B3318">
        <f>168513.029196269*(1/100/100)</f>
        <v>16.8513029196269</v>
      </c>
      <c r="C3318">
        <v>33040</v>
      </c>
      <c r="D3318" t="s">
        <v>297</v>
      </c>
      <c r="E3318">
        <v>10815</v>
      </c>
      <c r="F3318" t="s">
        <v>297</v>
      </c>
      <c r="G3318">
        <v>108</v>
      </c>
      <c r="H3318" t="s">
        <v>37</v>
      </c>
      <c r="I3318">
        <v>1</v>
      </c>
      <c r="J3318" t="s">
        <v>30</v>
      </c>
    </row>
    <row r="3319" spans="1:10" x14ac:dyDescent="0.25">
      <c r="A3319" t="s">
        <v>144</v>
      </c>
      <c r="B3319">
        <f>102025.199768546*(1/100/100)</f>
        <v>10.2025199768546</v>
      </c>
      <c r="C3319">
        <v>33041</v>
      </c>
      <c r="D3319" t="s">
        <v>309</v>
      </c>
      <c r="E3319">
        <v>10828</v>
      </c>
      <c r="F3319" t="s">
        <v>309</v>
      </c>
      <c r="G3319">
        <v>108</v>
      </c>
      <c r="H3319" t="s">
        <v>37</v>
      </c>
      <c r="I3319">
        <v>1</v>
      </c>
      <c r="J3319" t="s">
        <v>30</v>
      </c>
    </row>
    <row r="3320" spans="1:10" x14ac:dyDescent="0.25">
      <c r="A3320" t="s">
        <v>144</v>
      </c>
      <c r="B3320">
        <f>59908.7890622362*(1/100/100)</f>
        <v>5.990878906223621</v>
      </c>
      <c r="C3320">
        <v>33042</v>
      </c>
      <c r="D3320" t="s">
        <v>2207</v>
      </c>
      <c r="E3320">
        <v>10807</v>
      </c>
      <c r="F3320" t="s">
        <v>289</v>
      </c>
      <c r="G3320">
        <v>108</v>
      </c>
      <c r="H3320" t="s">
        <v>37</v>
      </c>
      <c r="I3320">
        <v>1</v>
      </c>
      <c r="J3320" t="s">
        <v>30</v>
      </c>
    </row>
    <row r="3321" spans="1:10" x14ac:dyDescent="0.25">
      <c r="A3321" t="s">
        <v>144</v>
      </c>
      <c r="B3321">
        <f>238705.33083429*(1/100/100)</f>
        <v>23.870533083429002</v>
      </c>
      <c r="C3321">
        <v>33043</v>
      </c>
      <c r="D3321" t="s">
        <v>37</v>
      </c>
      <c r="E3321">
        <v>10816</v>
      </c>
      <c r="F3321" t="s">
        <v>37</v>
      </c>
      <c r="G3321">
        <v>108</v>
      </c>
      <c r="H3321" t="s">
        <v>37</v>
      </c>
      <c r="I3321">
        <v>1</v>
      </c>
      <c r="J3321" t="s">
        <v>30</v>
      </c>
    </row>
    <row r="3322" spans="1:10" x14ac:dyDescent="0.25">
      <c r="A3322" t="s">
        <v>144</v>
      </c>
      <c r="B3322">
        <f>41092.6170233182*(1/100/100)</f>
        <v>4.1092617023318203</v>
      </c>
      <c r="C3322">
        <v>33044</v>
      </c>
      <c r="D3322" t="s">
        <v>2198</v>
      </c>
      <c r="E3322">
        <v>10802</v>
      </c>
      <c r="F3322" t="s">
        <v>284</v>
      </c>
      <c r="G3322">
        <v>108</v>
      </c>
      <c r="H3322" t="s">
        <v>37</v>
      </c>
      <c r="I3322">
        <v>1</v>
      </c>
      <c r="J3322" t="s">
        <v>30</v>
      </c>
    </row>
    <row r="3323" spans="1:10" x14ac:dyDescent="0.25">
      <c r="A3323" t="s">
        <v>144</v>
      </c>
      <c r="B3323">
        <f>82311.6125342668*(1/100/100)</f>
        <v>8.2311612534266807</v>
      </c>
      <c r="C3323">
        <v>33045</v>
      </c>
      <c r="D3323" t="s">
        <v>298</v>
      </c>
      <c r="E3323">
        <v>10817</v>
      </c>
      <c r="F3323" t="s">
        <v>298</v>
      </c>
      <c r="G3323">
        <v>108</v>
      </c>
      <c r="H3323" t="s">
        <v>37</v>
      </c>
      <c r="I3323">
        <v>1</v>
      </c>
      <c r="J3323" t="s">
        <v>30</v>
      </c>
    </row>
    <row r="3324" spans="1:10" x14ac:dyDescent="0.25">
      <c r="A3324" t="s">
        <v>144</v>
      </c>
      <c r="B3324">
        <f>125307.898647588*(1/100/100)</f>
        <v>12.5307898647588</v>
      </c>
      <c r="C3324">
        <v>33046</v>
      </c>
      <c r="D3324" t="s">
        <v>299</v>
      </c>
      <c r="E3324">
        <v>10818</v>
      </c>
      <c r="F3324" t="s">
        <v>299</v>
      </c>
      <c r="G3324">
        <v>108</v>
      </c>
      <c r="H3324" t="s">
        <v>37</v>
      </c>
      <c r="I3324">
        <v>1</v>
      </c>
      <c r="J3324" t="s">
        <v>30</v>
      </c>
    </row>
    <row r="3325" spans="1:10" x14ac:dyDescent="0.25">
      <c r="A3325" t="s">
        <v>144</v>
      </c>
      <c r="B3325">
        <f>125407.058686985*(1/100/100)</f>
        <v>12.540705868698501</v>
      </c>
      <c r="C3325">
        <v>33047</v>
      </c>
      <c r="D3325" t="s">
        <v>300</v>
      </c>
      <c r="E3325">
        <v>10819</v>
      </c>
      <c r="F3325" t="s">
        <v>300</v>
      </c>
      <c r="G3325">
        <v>108</v>
      </c>
      <c r="H3325" t="s">
        <v>37</v>
      </c>
      <c r="I3325">
        <v>1</v>
      </c>
      <c r="J3325" t="s">
        <v>30</v>
      </c>
    </row>
    <row r="3326" spans="1:10" x14ac:dyDescent="0.25">
      <c r="A3326" t="s">
        <v>144</v>
      </c>
      <c r="B3326">
        <f>92191.3258469316*(1/100/100)</f>
        <v>9.2191325846931615</v>
      </c>
      <c r="C3326">
        <v>33048</v>
      </c>
      <c r="D3326" t="s">
        <v>2214</v>
      </c>
      <c r="E3326">
        <v>10811</v>
      </c>
      <c r="F3326" t="s">
        <v>293</v>
      </c>
      <c r="G3326">
        <v>108</v>
      </c>
      <c r="H3326" t="s">
        <v>37</v>
      </c>
      <c r="I3326">
        <v>1</v>
      </c>
      <c r="J3326" t="s">
        <v>30</v>
      </c>
    </row>
    <row r="3327" spans="1:10" x14ac:dyDescent="0.25">
      <c r="A3327" t="s">
        <v>144</v>
      </c>
      <c r="B3327">
        <f>138777.264940107*(1/100/100)</f>
        <v>13.877726494010702</v>
      </c>
      <c r="C3327">
        <v>33049</v>
      </c>
      <c r="D3327" t="s">
        <v>301</v>
      </c>
      <c r="E3327">
        <v>10820</v>
      </c>
      <c r="F3327" t="s">
        <v>301</v>
      </c>
      <c r="G3327">
        <v>108</v>
      </c>
      <c r="H3327" t="s">
        <v>37</v>
      </c>
      <c r="I3327">
        <v>1</v>
      </c>
      <c r="J3327" t="s">
        <v>30</v>
      </c>
    </row>
    <row r="3328" spans="1:10" x14ac:dyDescent="0.25">
      <c r="A3328" t="s">
        <v>144</v>
      </c>
      <c r="B3328">
        <f>23525.6045494745*(1/100/100)</f>
        <v>2.3525604549474504</v>
      </c>
      <c r="C3328">
        <v>33050</v>
      </c>
      <c r="D3328" t="s">
        <v>2227</v>
      </c>
      <c r="E3328">
        <v>10817</v>
      </c>
      <c r="F3328" t="s">
        <v>298</v>
      </c>
      <c r="G3328">
        <v>108</v>
      </c>
      <c r="H3328" t="s">
        <v>37</v>
      </c>
      <c r="I3328">
        <v>1</v>
      </c>
      <c r="J3328" t="s">
        <v>30</v>
      </c>
    </row>
    <row r="3329" spans="1:10" x14ac:dyDescent="0.25">
      <c r="A3329" t="s">
        <v>144</v>
      </c>
      <c r="B3329">
        <f>22702.0865228928*(1/100/100)</f>
        <v>2.2702086522892801</v>
      </c>
      <c r="C3329">
        <v>33052</v>
      </c>
      <c r="D3329" t="s">
        <v>2233</v>
      </c>
      <c r="E3329">
        <v>10826</v>
      </c>
      <c r="F3329" t="s">
        <v>307</v>
      </c>
      <c r="G3329">
        <v>108</v>
      </c>
      <c r="H3329" t="s">
        <v>37</v>
      </c>
      <c r="I3329">
        <v>1</v>
      </c>
      <c r="J3329" t="s">
        <v>30</v>
      </c>
    </row>
    <row r="3330" spans="1:10" x14ac:dyDescent="0.25">
      <c r="A3330" t="s">
        <v>144</v>
      </c>
      <c r="B3330">
        <f>26963.990795266*(1/100/100)</f>
        <v>2.6963990795266</v>
      </c>
      <c r="C3330">
        <v>33053</v>
      </c>
      <c r="D3330" t="s">
        <v>2228</v>
      </c>
      <c r="E3330">
        <v>10817</v>
      </c>
      <c r="F3330" t="s">
        <v>298</v>
      </c>
      <c r="G3330">
        <v>108</v>
      </c>
      <c r="H3330" t="s">
        <v>37</v>
      </c>
      <c r="I3330">
        <v>1</v>
      </c>
      <c r="J3330" t="s">
        <v>30</v>
      </c>
    </row>
    <row r="3331" spans="1:10" x14ac:dyDescent="0.25">
      <c r="A3331" t="s">
        <v>144</v>
      </c>
      <c r="B3331">
        <f>118889.025120548*(1/100/100)</f>
        <v>11.8889025120548</v>
      </c>
      <c r="C3331">
        <v>33054</v>
      </c>
      <c r="D3331" t="s">
        <v>2218</v>
      </c>
      <c r="E3331">
        <v>10812</v>
      </c>
      <c r="F3331" t="s">
        <v>294</v>
      </c>
      <c r="G3331">
        <v>108</v>
      </c>
      <c r="H3331" t="s">
        <v>37</v>
      </c>
      <c r="I3331">
        <v>1</v>
      </c>
      <c r="J3331" t="s">
        <v>30</v>
      </c>
    </row>
    <row r="3332" spans="1:10" x14ac:dyDescent="0.25">
      <c r="A3332" t="s">
        <v>144</v>
      </c>
      <c r="B3332">
        <f>110817.128569334*(1/100/100)</f>
        <v>11.0817128569334</v>
      </c>
      <c r="C3332">
        <v>33055</v>
      </c>
      <c r="D3332" t="s">
        <v>2230</v>
      </c>
      <c r="E3332">
        <v>10821</v>
      </c>
      <c r="F3332" t="s">
        <v>302</v>
      </c>
      <c r="G3332">
        <v>108</v>
      </c>
      <c r="H3332" t="s">
        <v>37</v>
      </c>
      <c r="I3332">
        <v>1</v>
      </c>
      <c r="J3332" t="s">
        <v>30</v>
      </c>
    </row>
    <row r="3333" spans="1:10" x14ac:dyDescent="0.25">
      <c r="A3333" t="s">
        <v>144</v>
      </c>
      <c r="B3333">
        <f>243024.900570406*(1/100/100)</f>
        <v>24.3024900570406</v>
      </c>
      <c r="C3333">
        <v>33056</v>
      </c>
      <c r="D3333" t="s">
        <v>303</v>
      </c>
      <c r="E3333">
        <v>10822</v>
      </c>
      <c r="F3333" t="s">
        <v>303</v>
      </c>
      <c r="G3333">
        <v>108</v>
      </c>
      <c r="H3333" t="s">
        <v>37</v>
      </c>
      <c r="I3333">
        <v>1</v>
      </c>
      <c r="J3333" t="s">
        <v>30</v>
      </c>
    </row>
    <row r="3334" spans="1:10" x14ac:dyDescent="0.25">
      <c r="A3334" t="s">
        <v>144</v>
      </c>
      <c r="B3334">
        <f>46098.8806314266*(1/100/100)</f>
        <v>4.6098880631426598</v>
      </c>
      <c r="C3334">
        <v>33057</v>
      </c>
      <c r="D3334" t="s">
        <v>2212</v>
      </c>
      <c r="E3334">
        <v>10810</v>
      </c>
      <c r="F3334" t="s">
        <v>292</v>
      </c>
      <c r="G3334">
        <v>108</v>
      </c>
      <c r="H3334" t="s">
        <v>37</v>
      </c>
      <c r="I3334">
        <v>1</v>
      </c>
      <c r="J3334" t="s">
        <v>30</v>
      </c>
    </row>
    <row r="3335" spans="1:10" x14ac:dyDescent="0.25">
      <c r="A3335" t="s">
        <v>144</v>
      </c>
      <c r="B3335">
        <f>60802.1701546393*(1/100/100)</f>
        <v>6.0802170154639308</v>
      </c>
      <c r="C3335">
        <v>33058</v>
      </c>
      <c r="D3335" t="s">
        <v>2232</v>
      </c>
      <c r="E3335">
        <v>10823</v>
      </c>
      <c r="F3335" t="s">
        <v>304</v>
      </c>
      <c r="G3335">
        <v>108</v>
      </c>
      <c r="H3335" t="s">
        <v>37</v>
      </c>
      <c r="I3335">
        <v>1</v>
      </c>
      <c r="J3335" t="s">
        <v>30</v>
      </c>
    </row>
    <row r="3336" spans="1:10" x14ac:dyDescent="0.25">
      <c r="A3336" t="s">
        <v>144</v>
      </c>
      <c r="B3336">
        <f>100818.779524147*(1/100/100)</f>
        <v>10.0818779524147</v>
      </c>
      <c r="C3336">
        <v>33059</v>
      </c>
      <c r="D3336" t="s">
        <v>306</v>
      </c>
      <c r="E3336">
        <v>10825</v>
      </c>
      <c r="F3336" t="s">
        <v>306</v>
      </c>
      <c r="G3336">
        <v>108</v>
      </c>
      <c r="H3336" t="s">
        <v>37</v>
      </c>
      <c r="I3336">
        <v>1</v>
      </c>
      <c r="J3336" t="s">
        <v>30</v>
      </c>
    </row>
    <row r="3337" spans="1:10" x14ac:dyDescent="0.25">
      <c r="A3337" t="s">
        <v>144</v>
      </c>
      <c r="B3337">
        <f>48366.3336824045*(1/100/100)</f>
        <v>4.8366333682404505</v>
      </c>
      <c r="C3337">
        <v>33060</v>
      </c>
      <c r="D3337" t="s">
        <v>2215</v>
      </c>
      <c r="E3337">
        <v>10811</v>
      </c>
      <c r="F3337" t="s">
        <v>293</v>
      </c>
      <c r="G3337">
        <v>108</v>
      </c>
      <c r="H3337" t="s">
        <v>37</v>
      </c>
      <c r="I3337">
        <v>1</v>
      </c>
      <c r="J3337" t="s">
        <v>30</v>
      </c>
    </row>
    <row r="3338" spans="1:10" x14ac:dyDescent="0.25">
      <c r="A3338" t="s">
        <v>144</v>
      </c>
      <c r="B3338">
        <f>59546.7935946024*(1/100/100)</f>
        <v>5.9546793594602407</v>
      </c>
      <c r="C3338">
        <v>33061</v>
      </c>
      <c r="D3338" t="s">
        <v>2205</v>
      </c>
      <c r="E3338">
        <v>10805</v>
      </c>
      <c r="F3338" t="s">
        <v>287</v>
      </c>
      <c r="G3338">
        <v>108</v>
      </c>
      <c r="H3338" t="s">
        <v>37</v>
      </c>
      <c r="I3338">
        <v>1</v>
      </c>
      <c r="J3338" t="s">
        <v>30</v>
      </c>
    </row>
    <row r="3339" spans="1:10" x14ac:dyDescent="0.25">
      <c r="A3339" t="s">
        <v>144</v>
      </c>
      <c r="B3339">
        <f>85126.79006137*(1/100/100)</f>
        <v>8.5126790061370006</v>
      </c>
      <c r="C3339">
        <v>33062</v>
      </c>
      <c r="D3339" t="s">
        <v>2202</v>
      </c>
      <c r="E3339">
        <v>10803</v>
      </c>
      <c r="F3339" t="s">
        <v>285</v>
      </c>
      <c r="G3339">
        <v>108</v>
      </c>
      <c r="H3339" t="s">
        <v>37</v>
      </c>
      <c r="I3339">
        <v>1</v>
      </c>
      <c r="J3339" t="s">
        <v>30</v>
      </c>
    </row>
    <row r="3340" spans="1:10" x14ac:dyDescent="0.25">
      <c r="A3340" t="s">
        <v>144</v>
      </c>
      <c r="B3340">
        <f>72317.6811644519*(1/100/100)</f>
        <v>7.231768116445191</v>
      </c>
      <c r="C3340">
        <v>33063</v>
      </c>
      <c r="D3340" t="s">
        <v>2234</v>
      </c>
      <c r="E3340">
        <v>10826</v>
      </c>
      <c r="F3340" t="s">
        <v>307</v>
      </c>
      <c r="G3340">
        <v>108</v>
      </c>
      <c r="H3340" t="s">
        <v>37</v>
      </c>
      <c r="I3340">
        <v>1</v>
      </c>
      <c r="J3340" t="s">
        <v>30</v>
      </c>
    </row>
    <row r="3341" spans="1:10" x14ac:dyDescent="0.25">
      <c r="A3341" t="s">
        <v>144</v>
      </c>
      <c r="B3341">
        <f>68374.9933795835*(1/100/100)</f>
        <v>6.8374993379583495</v>
      </c>
      <c r="C3341">
        <v>33064</v>
      </c>
      <c r="D3341" t="s">
        <v>308</v>
      </c>
      <c r="E3341">
        <v>10827</v>
      </c>
      <c r="F3341" t="s">
        <v>308</v>
      </c>
      <c r="G3341">
        <v>108</v>
      </c>
      <c r="H3341" t="s">
        <v>37</v>
      </c>
      <c r="I3341">
        <v>1</v>
      </c>
      <c r="J3341" t="s">
        <v>30</v>
      </c>
    </row>
    <row r="3342" spans="1:10" x14ac:dyDescent="0.25">
      <c r="A3342" t="s">
        <v>144</v>
      </c>
      <c r="B3342">
        <f>151473.248905532*(1/100/100)</f>
        <v>15.1473248905532</v>
      </c>
      <c r="C3342">
        <v>33065</v>
      </c>
      <c r="D3342" t="s">
        <v>304</v>
      </c>
      <c r="E3342">
        <v>10823</v>
      </c>
      <c r="F3342" t="s">
        <v>304</v>
      </c>
      <c r="G3342">
        <v>108</v>
      </c>
      <c r="H3342" t="s">
        <v>37</v>
      </c>
      <c r="I3342">
        <v>1</v>
      </c>
      <c r="J3342" t="s">
        <v>30</v>
      </c>
    </row>
    <row r="3343" spans="1:10" x14ac:dyDescent="0.25">
      <c r="A3343" t="s">
        <v>144</v>
      </c>
      <c r="B3343">
        <f>11778.0669038997*(1/100/100)</f>
        <v>1.17780669038997</v>
      </c>
      <c r="C3343">
        <v>34001</v>
      </c>
      <c r="D3343" t="s">
        <v>2288</v>
      </c>
      <c r="E3343">
        <v>10926</v>
      </c>
      <c r="F3343" t="s">
        <v>334</v>
      </c>
      <c r="G3343">
        <v>109</v>
      </c>
      <c r="H3343" t="s">
        <v>38</v>
      </c>
      <c r="I3343">
        <v>1</v>
      </c>
      <c r="J3343" t="s">
        <v>30</v>
      </c>
    </row>
    <row r="3344" spans="1:10" x14ac:dyDescent="0.25">
      <c r="A3344" t="s">
        <v>144</v>
      </c>
      <c r="B3344">
        <f>9800.90953169321*(1/100/100)</f>
        <v>0.98009095316932116</v>
      </c>
      <c r="C3344">
        <v>34002</v>
      </c>
      <c r="D3344" t="s">
        <v>2289</v>
      </c>
      <c r="E3344">
        <v>10926</v>
      </c>
      <c r="F3344" t="s">
        <v>334</v>
      </c>
      <c r="G3344">
        <v>109</v>
      </c>
      <c r="H3344" t="s">
        <v>38</v>
      </c>
      <c r="I3344">
        <v>1</v>
      </c>
      <c r="J3344" t="s">
        <v>30</v>
      </c>
    </row>
    <row r="3345" spans="1:10" x14ac:dyDescent="0.25">
      <c r="A3345" t="s">
        <v>144</v>
      </c>
      <c r="B3345">
        <f>23130.4904411377*(1/100/100)</f>
        <v>2.3130490441137699</v>
      </c>
      <c r="C3345">
        <v>34003</v>
      </c>
      <c r="D3345" t="s">
        <v>2262</v>
      </c>
      <c r="E3345">
        <v>10913</v>
      </c>
      <c r="F3345" t="s">
        <v>322</v>
      </c>
      <c r="G3345">
        <v>109</v>
      </c>
      <c r="H3345" t="s">
        <v>38</v>
      </c>
      <c r="I3345">
        <v>1</v>
      </c>
      <c r="J3345" t="s">
        <v>30</v>
      </c>
    </row>
    <row r="3346" spans="1:10" x14ac:dyDescent="0.25">
      <c r="A3346" t="s">
        <v>144</v>
      </c>
      <c r="B3346">
        <f>36943.7480580437*(1/100/100)</f>
        <v>3.6943748058043697</v>
      </c>
      <c r="C3346">
        <v>34004</v>
      </c>
      <c r="D3346" t="s">
        <v>2279</v>
      </c>
      <c r="E3346">
        <v>10923</v>
      </c>
      <c r="F3346" t="s">
        <v>331</v>
      </c>
      <c r="G3346">
        <v>109</v>
      </c>
      <c r="H3346" t="s">
        <v>38</v>
      </c>
      <c r="I3346">
        <v>1</v>
      </c>
      <c r="J3346" t="s">
        <v>30</v>
      </c>
    </row>
    <row r="3347" spans="1:10" x14ac:dyDescent="0.25">
      <c r="A3347" t="s">
        <v>144</v>
      </c>
      <c r="B3347">
        <f>52514.2747105814*(1/100/100)</f>
        <v>5.2514274710581397</v>
      </c>
      <c r="C3347">
        <v>34005</v>
      </c>
      <c r="D3347" t="s">
        <v>2270</v>
      </c>
      <c r="E3347">
        <v>10916</v>
      </c>
      <c r="F3347" t="s">
        <v>325</v>
      </c>
      <c r="G3347">
        <v>109</v>
      </c>
      <c r="H3347" t="s">
        <v>38</v>
      </c>
      <c r="I3347">
        <v>1</v>
      </c>
      <c r="J3347" t="s">
        <v>30</v>
      </c>
    </row>
    <row r="3348" spans="1:10" x14ac:dyDescent="0.25">
      <c r="A3348" t="s">
        <v>144</v>
      </c>
      <c r="B3348">
        <f>53335.7214873006*(1/100/100)</f>
        <v>5.3335721487300605</v>
      </c>
      <c r="C3348">
        <v>34006</v>
      </c>
      <c r="D3348" t="s">
        <v>339</v>
      </c>
      <c r="E3348">
        <v>10931</v>
      </c>
      <c r="F3348" t="s">
        <v>339</v>
      </c>
      <c r="G3348">
        <v>109</v>
      </c>
      <c r="H3348" t="s">
        <v>38</v>
      </c>
      <c r="I3348">
        <v>1</v>
      </c>
      <c r="J3348" t="s">
        <v>30</v>
      </c>
    </row>
    <row r="3349" spans="1:10" x14ac:dyDescent="0.25">
      <c r="A3349" t="s">
        <v>144</v>
      </c>
      <c r="B3349">
        <f>114606.82490679*(1/100/100)</f>
        <v>11.460682490679002</v>
      </c>
      <c r="C3349">
        <v>34007</v>
      </c>
      <c r="D3349" t="s">
        <v>310</v>
      </c>
      <c r="E3349">
        <v>10901</v>
      </c>
      <c r="F3349" t="s">
        <v>310</v>
      </c>
      <c r="G3349">
        <v>109</v>
      </c>
      <c r="H3349" t="s">
        <v>38</v>
      </c>
      <c r="I3349">
        <v>1</v>
      </c>
      <c r="J3349" t="s">
        <v>30</v>
      </c>
    </row>
    <row r="3350" spans="1:10" x14ac:dyDescent="0.25">
      <c r="A3350" t="s">
        <v>144</v>
      </c>
      <c r="B3350">
        <f>24376.2517066505*(1/100/100)</f>
        <v>2.4376251706650498</v>
      </c>
      <c r="C3350">
        <v>34008</v>
      </c>
      <c r="D3350" t="s">
        <v>2256</v>
      </c>
      <c r="E3350">
        <v>10911</v>
      </c>
      <c r="F3350" t="s">
        <v>320</v>
      </c>
      <c r="G3350">
        <v>109</v>
      </c>
      <c r="H3350" t="s">
        <v>38</v>
      </c>
      <c r="I3350">
        <v>1</v>
      </c>
      <c r="J3350" t="s">
        <v>30</v>
      </c>
    </row>
    <row r="3351" spans="1:10" x14ac:dyDescent="0.25">
      <c r="A3351" t="s">
        <v>144</v>
      </c>
      <c r="B3351">
        <f>130399.4698107*(1/100/100)</f>
        <v>13.039946981070001</v>
      </c>
      <c r="C3351">
        <v>34009</v>
      </c>
      <c r="D3351" t="s">
        <v>311</v>
      </c>
      <c r="E3351">
        <v>10902</v>
      </c>
      <c r="F3351" t="s">
        <v>311</v>
      </c>
      <c r="G3351">
        <v>109</v>
      </c>
      <c r="H3351" t="s">
        <v>38</v>
      </c>
      <c r="I3351">
        <v>1</v>
      </c>
      <c r="J3351" t="s">
        <v>30</v>
      </c>
    </row>
    <row r="3352" spans="1:10" x14ac:dyDescent="0.25">
      <c r="A3352" t="s">
        <v>144</v>
      </c>
      <c r="B3352">
        <f>98860.0263951227*(1/100/100)</f>
        <v>9.8860026395122702</v>
      </c>
      <c r="C3352">
        <v>34010</v>
      </c>
      <c r="D3352" t="s">
        <v>2260</v>
      </c>
      <c r="E3352">
        <v>10912</v>
      </c>
      <c r="F3352" t="s">
        <v>321</v>
      </c>
      <c r="G3352">
        <v>109</v>
      </c>
      <c r="H3352" t="s">
        <v>38</v>
      </c>
      <c r="I3352">
        <v>1</v>
      </c>
      <c r="J3352" t="s">
        <v>30</v>
      </c>
    </row>
    <row r="3353" spans="1:10" x14ac:dyDescent="0.25">
      <c r="A3353" t="s">
        <v>144</v>
      </c>
      <c r="B3353">
        <f>36409.8204877996*(1/100/100)</f>
        <v>3.6409820487799607</v>
      </c>
      <c r="C3353">
        <v>34011</v>
      </c>
      <c r="D3353" t="s">
        <v>2250</v>
      </c>
      <c r="E3353">
        <v>10906</v>
      </c>
      <c r="F3353" t="s">
        <v>315</v>
      </c>
      <c r="G3353">
        <v>109</v>
      </c>
      <c r="H3353" t="s">
        <v>38</v>
      </c>
      <c r="I3353">
        <v>1</v>
      </c>
      <c r="J3353" t="s">
        <v>30</v>
      </c>
    </row>
    <row r="3354" spans="1:10" x14ac:dyDescent="0.25">
      <c r="A3354" t="s">
        <v>144</v>
      </c>
      <c r="B3354">
        <f>90015.5823472644*(1/100/100)</f>
        <v>9.0015582347264402</v>
      </c>
      <c r="C3354">
        <v>34012</v>
      </c>
      <c r="D3354" t="s">
        <v>2241</v>
      </c>
      <c r="E3354">
        <v>10903</v>
      </c>
      <c r="F3354" t="s">
        <v>312</v>
      </c>
      <c r="G3354">
        <v>109</v>
      </c>
      <c r="H3354" t="s">
        <v>38</v>
      </c>
      <c r="I3354">
        <v>1</v>
      </c>
      <c r="J3354" t="s">
        <v>30</v>
      </c>
    </row>
    <row r="3355" spans="1:10" x14ac:dyDescent="0.25">
      <c r="A3355" t="s">
        <v>144</v>
      </c>
      <c r="B3355">
        <f>19741.6861085379*(1/100/100)</f>
        <v>1.9741686108537899</v>
      </c>
      <c r="C3355">
        <v>34013</v>
      </c>
      <c r="D3355" t="s">
        <v>2237</v>
      </c>
      <c r="E3355">
        <v>10902</v>
      </c>
      <c r="F3355" t="s">
        <v>311</v>
      </c>
      <c r="G3355">
        <v>109</v>
      </c>
      <c r="H3355" t="s">
        <v>38</v>
      </c>
      <c r="I3355">
        <v>1</v>
      </c>
      <c r="J3355" t="s">
        <v>30</v>
      </c>
    </row>
    <row r="3356" spans="1:10" x14ac:dyDescent="0.25">
      <c r="A3356" t="s">
        <v>144</v>
      </c>
      <c r="B3356">
        <f>30739.9411865548*(1/100/100)</f>
        <v>3.07399411865548</v>
      </c>
      <c r="C3356">
        <v>34014</v>
      </c>
      <c r="D3356" t="s">
        <v>2280</v>
      </c>
      <c r="E3356">
        <v>10923</v>
      </c>
      <c r="F3356" t="s">
        <v>331</v>
      </c>
      <c r="G3356">
        <v>109</v>
      </c>
      <c r="H3356" t="s">
        <v>38</v>
      </c>
      <c r="I3356">
        <v>1</v>
      </c>
      <c r="J3356" t="s">
        <v>30</v>
      </c>
    </row>
    <row r="3357" spans="1:10" x14ac:dyDescent="0.25">
      <c r="A3357" t="s">
        <v>144</v>
      </c>
      <c r="B3357">
        <f>63591.5422821016*(1/100/100)</f>
        <v>6.3591542282101603</v>
      </c>
      <c r="C3357">
        <v>34015</v>
      </c>
      <c r="D3357" t="s">
        <v>2278</v>
      </c>
      <c r="E3357">
        <v>10922</v>
      </c>
      <c r="F3357" t="s">
        <v>330</v>
      </c>
      <c r="G3357">
        <v>109</v>
      </c>
      <c r="H3357" t="s">
        <v>38</v>
      </c>
      <c r="I3357">
        <v>1</v>
      </c>
      <c r="J3357" t="s">
        <v>30</v>
      </c>
    </row>
    <row r="3358" spans="1:10" x14ac:dyDescent="0.25">
      <c r="A3358" t="s">
        <v>144</v>
      </c>
      <c r="B3358">
        <f>19191.1628655382*(1/100/100)</f>
        <v>1.9191162865538203</v>
      </c>
      <c r="C3358">
        <v>34016</v>
      </c>
      <c r="D3358" t="s">
        <v>802</v>
      </c>
      <c r="E3358">
        <v>10903</v>
      </c>
      <c r="F3358" t="s">
        <v>312</v>
      </c>
      <c r="G3358">
        <v>109</v>
      </c>
      <c r="H3358" t="s">
        <v>38</v>
      </c>
      <c r="I3358">
        <v>1</v>
      </c>
      <c r="J3358" t="s">
        <v>30</v>
      </c>
    </row>
    <row r="3359" spans="1:10" x14ac:dyDescent="0.25">
      <c r="A3359" t="s">
        <v>144</v>
      </c>
      <c r="B3359">
        <f>77220.9521494466*(1/100/100)</f>
        <v>7.7220952149446607</v>
      </c>
      <c r="C3359">
        <v>34017</v>
      </c>
      <c r="D3359" t="s">
        <v>2242</v>
      </c>
      <c r="E3359">
        <v>10903</v>
      </c>
      <c r="F3359" t="s">
        <v>312</v>
      </c>
      <c r="G3359">
        <v>109</v>
      </c>
      <c r="H3359" t="s">
        <v>38</v>
      </c>
      <c r="I3359">
        <v>1</v>
      </c>
      <c r="J3359" t="s">
        <v>30</v>
      </c>
    </row>
    <row r="3360" spans="1:10" x14ac:dyDescent="0.25">
      <c r="A3360" t="s">
        <v>144</v>
      </c>
      <c r="B3360">
        <f>37452.3087399984*(1/100/100)</f>
        <v>3.7452308739998403</v>
      </c>
      <c r="C3360">
        <v>34018</v>
      </c>
      <c r="D3360" t="s">
        <v>2287</v>
      </c>
      <c r="E3360">
        <v>10925</v>
      </c>
      <c r="F3360" t="s">
        <v>333</v>
      </c>
      <c r="G3360">
        <v>109</v>
      </c>
      <c r="H3360" t="s">
        <v>38</v>
      </c>
      <c r="I3360">
        <v>1</v>
      </c>
      <c r="J3360" t="s">
        <v>30</v>
      </c>
    </row>
    <row r="3361" spans="1:10" x14ac:dyDescent="0.25">
      <c r="A3361" t="s">
        <v>144</v>
      </c>
      <c r="B3361">
        <f>16291.7801398334*(1/100/100)</f>
        <v>1.6291780139833401</v>
      </c>
      <c r="C3361">
        <v>34019</v>
      </c>
      <c r="D3361" t="s">
        <v>2283</v>
      </c>
      <c r="E3361">
        <v>10924</v>
      </c>
      <c r="F3361" t="s">
        <v>332</v>
      </c>
      <c r="G3361">
        <v>109</v>
      </c>
      <c r="H3361" t="s">
        <v>38</v>
      </c>
      <c r="I3361">
        <v>1</v>
      </c>
      <c r="J3361" t="s">
        <v>30</v>
      </c>
    </row>
    <row r="3362" spans="1:10" x14ac:dyDescent="0.25">
      <c r="A3362" t="s">
        <v>144</v>
      </c>
      <c r="B3362">
        <f>48038.9368709963*(1/100/100)</f>
        <v>4.80389368709963</v>
      </c>
      <c r="C3362">
        <v>34020</v>
      </c>
      <c r="D3362" t="s">
        <v>2281</v>
      </c>
      <c r="E3362">
        <v>10923</v>
      </c>
      <c r="F3362" t="s">
        <v>331</v>
      </c>
      <c r="G3362">
        <v>109</v>
      </c>
      <c r="H3362" t="s">
        <v>38</v>
      </c>
      <c r="I3362">
        <v>1</v>
      </c>
      <c r="J3362" t="s">
        <v>30</v>
      </c>
    </row>
    <row r="3363" spans="1:10" x14ac:dyDescent="0.25">
      <c r="A3363" t="s">
        <v>144</v>
      </c>
      <c r="B3363">
        <f>123011.989847498*(1/100/100)</f>
        <v>12.301198984749801</v>
      </c>
      <c r="C3363">
        <v>34021</v>
      </c>
      <c r="D3363" t="s">
        <v>313</v>
      </c>
      <c r="E3363">
        <v>10904</v>
      </c>
      <c r="F3363" t="s">
        <v>313</v>
      </c>
      <c r="G3363">
        <v>109</v>
      </c>
      <c r="H3363" t="s">
        <v>38</v>
      </c>
      <c r="I3363">
        <v>1</v>
      </c>
      <c r="J3363" t="s">
        <v>30</v>
      </c>
    </row>
    <row r="3364" spans="1:10" x14ac:dyDescent="0.25">
      <c r="A3364" t="s">
        <v>144</v>
      </c>
      <c r="B3364">
        <f>34790.4365629879*(1/100/100)</f>
        <v>3.4790436562987903</v>
      </c>
      <c r="C3364">
        <v>34022</v>
      </c>
      <c r="D3364" t="s">
        <v>2257</v>
      </c>
      <c r="E3364">
        <v>10911</v>
      </c>
      <c r="F3364" t="s">
        <v>320</v>
      </c>
      <c r="G3364">
        <v>109</v>
      </c>
      <c r="H3364" t="s">
        <v>38</v>
      </c>
      <c r="I3364">
        <v>1</v>
      </c>
      <c r="J3364" t="s">
        <v>30</v>
      </c>
    </row>
    <row r="3365" spans="1:10" x14ac:dyDescent="0.25">
      <c r="A3365" t="s">
        <v>144</v>
      </c>
      <c r="B3365">
        <f>20325.8395661843*(1/100/100)</f>
        <v>2.0325839566184301</v>
      </c>
      <c r="C3365">
        <v>34023</v>
      </c>
      <c r="D3365" t="s">
        <v>2264</v>
      </c>
      <c r="E3365">
        <v>10914</v>
      </c>
      <c r="F3365" t="s">
        <v>323</v>
      </c>
      <c r="G3365">
        <v>109</v>
      </c>
      <c r="H3365" t="s">
        <v>38</v>
      </c>
      <c r="I3365">
        <v>1</v>
      </c>
      <c r="J3365" t="s">
        <v>30</v>
      </c>
    </row>
    <row r="3366" spans="1:10" x14ac:dyDescent="0.25">
      <c r="A3366" t="s">
        <v>144</v>
      </c>
      <c r="B3366">
        <f>338594.944387335*(1/100/100)</f>
        <v>33.859494438733499</v>
      </c>
      <c r="C3366">
        <v>34024</v>
      </c>
      <c r="D3366" t="s">
        <v>314</v>
      </c>
      <c r="E3366">
        <v>10905</v>
      </c>
      <c r="F3366" t="s">
        <v>314</v>
      </c>
      <c r="G3366">
        <v>109</v>
      </c>
      <c r="H3366" t="s">
        <v>38</v>
      </c>
      <c r="I3366">
        <v>1</v>
      </c>
      <c r="J3366" t="s">
        <v>30</v>
      </c>
    </row>
    <row r="3367" spans="1:10" x14ac:dyDescent="0.25">
      <c r="A3367" t="s">
        <v>144</v>
      </c>
      <c r="B3367">
        <f>20425.452429866*(1/100/100)</f>
        <v>2.0425452429866002</v>
      </c>
      <c r="C3367">
        <v>34025</v>
      </c>
      <c r="D3367" t="s">
        <v>2284</v>
      </c>
      <c r="E3367">
        <v>10924</v>
      </c>
      <c r="F3367" t="s">
        <v>332</v>
      </c>
      <c r="G3367">
        <v>109</v>
      </c>
      <c r="H3367" t="s">
        <v>38</v>
      </c>
      <c r="I3367">
        <v>1</v>
      </c>
      <c r="J3367" t="s">
        <v>30</v>
      </c>
    </row>
    <row r="3368" spans="1:10" x14ac:dyDescent="0.25">
      <c r="A3368" t="s">
        <v>144</v>
      </c>
      <c r="B3368">
        <f>59665.8009223867*(1/100/100)</f>
        <v>5.9665800922386705</v>
      </c>
      <c r="C3368">
        <v>34026</v>
      </c>
      <c r="D3368" t="s">
        <v>315</v>
      </c>
      <c r="E3368">
        <v>10906</v>
      </c>
      <c r="F3368" t="s">
        <v>315</v>
      </c>
      <c r="G3368">
        <v>109</v>
      </c>
      <c r="H3368" t="s">
        <v>38</v>
      </c>
      <c r="I3368">
        <v>1</v>
      </c>
      <c r="J3368" t="s">
        <v>30</v>
      </c>
    </row>
    <row r="3369" spans="1:10" x14ac:dyDescent="0.25">
      <c r="A3369" t="s">
        <v>144</v>
      </c>
      <c r="B3369">
        <f>19154.430690939*(1/100/100)</f>
        <v>1.9154430690939002</v>
      </c>
      <c r="C3369">
        <v>34027</v>
      </c>
      <c r="D3369" t="s">
        <v>2252</v>
      </c>
      <c r="E3369">
        <v>10908</v>
      </c>
      <c r="F3369" t="s">
        <v>317</v>
      </c>
      <c r="G3369">
        <v>109</v>
      </c>
      <c r="H3369" t="s">
        <v>38</v>
      </c>
      <c r="I3369">
        <v>1</v>
      </c>
      <c r="J3369" t="s">
        <v>30</v>
      </c>
    </row>
    <row r="3370" spans="1:10" x14ac:dyDescent="0.25">
      <c r="A3370" t="s">
        <v>144</v>
      </c>
      <c r="B3370">
        <f>34288.4104325718*(1/100/100)</f>
        <v>3.4288410432571803</v>
      </c>
      <c r="C3370">
        <v>34028</v>
      </c>
      <c r="D3370" t="s">
        <v>2275</v>
      </c>
      <c r="E3370">
        <v>10918</v>
      </c>
      <c r="F3370" t="s">
        <v>326</v>
      </c>
      <c r="G3370">
        <v>109</v>
      </c>
      <c r="H3370" t="s">
        <v>38</v>
      </c>
      <c r="I3370">
        <v>1</v>
      </c>
      <c r="J3370" t="s">
        <v>30</v>
      </c>
    </row>
    <row r="3371" spans="1:10" x14ac:dyDescent="0.25">
      <c r="A3371" t="s">
        <v>144</v>
      </c>
      <c r="B3371">
        <f>16817.5143933885*(1/100/100)</f>
        <v>1.6817514393388502</v>
      </c>
      <c r="C3371">
        <v>34029</v>
      </c>
      <c r="D3371" t="s">
        <v>2243</v>
      </c>
      <c r="E3371">
        <v>10903</v>
      </c>
      <c r="F3371" t="s">
        <v>312</v>
      </c>
      <c r="G3371">
        <v>109</v>
      </c>
      <c r="H3371" t="s">
        <v>38</v>
      </c>
      <c r="I3371">
        <v>1</v>
      </c>
      <c r="J3371" t="s">
        <v>30</v>
      </c>
    </row>
    <row r="3372" spans="1:10" x14ac:dyDescent="0.25">
      <c r="A3372" t="s">
        <v>144</v>
      </c>
      <c r="B3372">
        <f>42991.0249772858*(1/100/100)</f>
        <v>4.2991024977285806</v>
      </c>
      <c r="C3372">
        <v>34030</v>
      </c>
      <c r="D3372" t="s">
        <v>2285</v>
      </c>
      <c r="E3372">
        <v>10924</v>
      </c>
      <c r="F3372" t="s">
        <v>332</v>
      </c>
      <c r="G3372">
        <v>109</v>
      </c>
      <c r="H3372" t="s">
        <v>38</v>
      </c>
      <c r="I3372">
        <v>1</v>
      </c>
      <c r="J3372" t="s">
        <v>30</v>
      </c>
    </row>
    <row r="3373" spans="1:10" x14ac:dyDescent="0.25">
      <c r="A3373" t="s">
        <v>144</v>
      </c>
      <c r="B3373">
        <f>81760.1770138085*(1/100/100)</f>
        <v>8.1760177013808502</v>
      </c>
      <c r="C3373">
        <v>34031</v>
      </c>
      <c r="D3373" t="s">
        <v>338</v>
      </c>
      <c r="E3373">
        <v>10930</v>
      </c>
      <c r="F3373" t="s">
        <v>338</v>
      </c>
      <c r="G3373">
        <v>109</v>
      </c>
      <c r="H3373" t="s">
        <v>38</v>
      </c>
      <c r="I3373">
        <v>1</v>
      </c>
      <c r="J3373" t="s">
        <v>30</v>
      </c>
    </row>
    <row r="3374" spans="1:10" x14ac:dyDescent="0.25">
      <c r="A3374" t="s">
        <v>144</v>
      </c>
      <c r="B3374">
        <f>91770.7332149446*(1/100/100)</f>
        <v>9.1770733214944613</v>
      </c>
      <c r="C3374">
        <v>34032</v>
      </c>
      <c r="D3374" t="s">
        <v>2235</v>
      </c>
      <c r="E3374">
        <v>10901</v>
      </c>
      <c r="F3374" t="s">
        <v>310</v>
      </c>
      <c r="G3374">
        <v>109</v>
      </c>
      <c r="H3374" t="s">
        <v>38</v>
      </c>
      <c r="I3374">
        <v>1</v>
      </c>
      <c r="J3374" t="s">
        <v>30</v>
      </c>
    </row>
    <row r="3375" spans="1:10" x14ac:dyDescent="0.25">
      <c r="A3375" t="s">
        <v>144</v>
      </c>
      <c r="B3375">
        <f>190649.021047857*(1/100/100)</f>
        <v>19.064902104785702</v>
      </c>
      <c r="C3375">
        <v>34033</v>
      </c>
      <c r="D3375" t="s">
        <v>316</v>
      </c>
      <c r="E3375">
        <v>10907</v>
      </c>
      <c r="F3375" t="s">
        <v>316</v>
      </c>
      <c r="G3375">
        <v>109</v>
      </c>
      <c r="H3375" t="s">
        <v>38</v>
      </c>
      <c r="I3375">
        <v>1</v>
      </c>
      <c r="J3375" t="s">
        <v>30</v>
      </c>
    </row>
    <row r="3376" spans="1:10" x14ac:dyDescent="0.25">
      <c r="A3376" t="s">
        <v>144</v>
      </c>
      <c r="B3376">
        <f>67539.2227059667*(1/100/100)</f>
        <v>6.7539222705966706</v>
      </c>
      <c r="C3376">
        <v>34034</v>
      </c>
      <c r="D3376" t="s">
        <v>2253</v>
      </c>
      <c r="E3376">
        <v>10908</v>
      </c>
      <c r="F3376" t="s">
        <v>317</v>
      </c>
      <c r="G3376">
        <v>109</v>
      </c>
      <c r="H3376" t="s">
        <v>38</v>
      </c>
      <c r="I3376">
        <v>1</v>
      </c>
      <c r="J3376" t="s">
        <v>30</v>
      </c>
    </row>
    <row r="3377" spans="1:10" x14ac:dyDescent="0.25">
      <c r="A3377" t="s">
        <v>144</v>
      </c>
      <c r="B3377">
        <f>55519.123490086*(1/100/100)</f>
        <v>5.5519123490086004</v>
      </c>
      <c r="C3377">
        <v>34035</v>
      </c>
      <c r="D3377" t="s">
        <v>2254</v>
      </c>
      <c r="E3377">
        <v>10910</v>
      </c>
      <c r="F3377" t="s">
        <v>319</v>
      </c>
      <c r="G3377">
        <v>109</v>
      </c>
      <c r="H3377" t="s">
        <v>38</v>
      </c>
      <c r="I3377">
        <v>1</v>
      </c>
      <c r="J3377" t="s">
        <v>30</v>
      </c>
    </row>
    <row r="3378" spans="1:10" x14ac:dyDescent="0.25">
      <c r="A3378" t="s">
        <v>144</v>
      </c>
      <c r="B3378">
        <f>16525.6331340085*(1/100/100)</f>
        <v>1.6525633134008502</v>
      </c>
      <c r="C3378">
        <v>34036</v>
      </c>
      <c r="D3378" t="s">
        <v>2265</v>
      </c>
      <c r="E3378">
        <v>10914</v>
      </c>
      <c r="F3378" t="s">
        <v>323</v>
      </c>
      <c r="G3378">
        <v>109</v>
      </c>
      <c r="H3378" t="s">
        <v>38</v>
      </c>
      <c r="I3378">
        <v>1</v>
      </c>
      <c r="J3378" t="s">
        <v>30</v>
      </c>
    </row>
    <row r="3379" spans="1:10" x14ac:dyDescent="0.25">
      <c r="A3379" t="s">
        <v>144</v>
      </c>
      <c r="B3379">
        <f>34611.7822533756*(1/100/100)</f>
        <v>3.46117822533756</v>
      </c>
      <c r="C3379">
        <v>34037</v>
      </c>
      <c r="D3379" t="s">
        <v>2246</v>
      </c>
      <c r="E3379">
        <v>10905</v>
      </c>
      <c r="F3379" t="s">
        <v>314</v>
      </c>
      <c r="G3379">
        <v>109</v>
      </c>
      <c r="H3379" t="s">
        <v>38</v>
      </c>
      <c r="I3379">
        <v>1</v>
      </c>
      <c r="J3379" t="s">
        <v>30</v>
      </c>
    </row>
    <row r="3380" spans="1:10" x14ac:dyDescent="0.25">
      <c r="A3380" t="s">
        <v>144</v>
      </c>
      <c r="B3380">
        <f>18029.7273438258*(1/100/100)</f>
        <v>1.8029727343825803</v>
      </c>
      <c r="C3380">
        <v>34038</v>
      </c>
      <c r="D3380" t="s">
        <v>2247</v>
      </c>
      <c r="E3380">
        <v>10905</v>
      </c>
      <c r="F3380" t="s">
        <v>314</v>
      </c>
      <c r="G3380">
        <v>109</v>
      </c>
      <c r="H3380" t="s">
        <v>38</v>
      </c>
      <c r="I3380">
        <v>1</v>
      </c>
      <c r="J3380" t="s">
        <v>30</v>
      </c>
    </row>
    <row r="3381" spans="1:10" x14ac:dyDescent="0.25">
      <c r="A3381" t="s">
        <v>144</v>
      </c>
      <c r="B3381">
        <f>126514.518089379*(1/100/100)</f>
        <v>12.6514518089379</v>
      </c>
      <c r="C3381">
        <v>34039</v>
      </c>
      <c r="D3381" t="s">
        <v>317</v>
      </c>
      <c r="E3381">
        <v>10908</v>
      </c>
      <c r="F3381" t="s">
        <v>317</v>
      </c>
      <c r="G3381">
        <v>109</v>
      </c>
      <c r="H3381" t="s">
        <v>38</v>
      </c>
      <c r="I3381">
        <v>1</v>
      </c>
      <c r="J3381" t="s">
        <v>30</v>
      </c>
    </row>
    <row r="3382" spans="1:10" x14ac:dyDescent="0.25">
      <c r="A3382" t="s">
        <v>144</v>
      </c>
      <c r="B3382">
        <f>41361.608918706*(1/100/100)</f>
        <v>4.1361608918705999</v>
      </c>
      <c r="C3382">
        <v>34040</v>
      </c>
      <c r="D3382" t="s">
        <v>2266</v>
      </c>
      <c r="E3382">
        <v>10914</v>
      </c>
      <c r="F3382" t="s">
        <v>323</v>
      </c>
      <c r="G3382">
        <v>109</v>
      </c>
      <c r="H3382" t="s">
        <v>38</v>
      </c>
      <c r="I3382">
        <v>1</v>
      </c>
      <c r="J3382" t="s">
        <v>30</v>
      </c>
    </row>
    <row r="3383" spans="1:10" x14ac:dyDescent="0.25">
      <c r="A3383" t="s">
        <v>144</v>
      </c>
      <c r="B3383">
        <f>26731.3409672065*(1/100/100)</f>
        <v>2.6731340967206498</v>
      </c>
      <c r="C3383">
        <v>34041</v>
      </c>
      <c r="D3383" t="s">
        <v>2245</v>
      </c>
      <c r="E3383">
        <v>10904</v>
      </c>
      <c r="F3383" t="s">
        <v>313</v>
      </c>
      <c r="G3383">
        <v>109</v>
      </c>
      <c r="H3383" t="s">
        <v>38</v>
      </c>
      <c r="I3383">
        <v>1</v>
      </c>
      <c r="J3383" t="s">
        <v>30</v>
      </c>
    </row>
    <row r="3384" spans="1:10" x14ac:dyDescent="0.25">
      <c r="A3384" t="s">
        <v>144</v>
      </c>
      <c r="B3384">
        <f>155708.609549089*(1/100/100)</f>
        <v>15.5708609549089</v>
      </c>
      <c r="C3384">
        <v>34042</v>
      </c>
      <c r="D3384" t="s">
        <v>318</v>
      </c>
      <c r="E3384">
        <v>10909</v>
      </c>
      <c r="F3384" t="s">
        <v>318</v>
      </c>
      <c r="G3384">
        <v>109</v>
      </c>
      <c r="H3384" t="s">
        <v>38</v>
      </c>
      <c r="I3384">
        <v>1</v>
      </c>
      <c r="J3384" t="s">
        <v>30</v>
      </c>
    </row>
    <row r="3385" spans="1:10" x14ac:dyDescent="0.25">
      <c r="A3385" t="s">
        <v>144</v>
      </c>
      <c r="B3385">
        <f>134013.292439486*(1/100/100)</f>
        <v>13.401329243948599</v>
      </c>
      <c r="C3385">
        <v>34043</v>
      </c>
      <c r="D3385" t="s">
        <v>2255</v>
      </c>
      <c r="E3385">
        <v>10910</v>
      </c>
      <c r="F3385" t="s">
        <v>319</v>
      </c>
      <c r="G3385">
        <v>109</v>
      </c>
      <c r="H3385" t="s">
        <v>38</v>
      </c>
      <c r="I3385">
        <v>1</v>
      </c>
      <c r="J3385" t="s">
        <v>30</v>
      </c>
    </row>
    <row r="3386" spans="1:10" x14ac:dyDescent="0.25">
      <c r="A3386" t="s">
        <v>144</v>
      </c>
      <c r="B3386">
        <f>64988.6476403024*(1/100/100)</f>
        <v>6.4988647640302402</v>
      </c>
      <c r="C3386">
        <v>34044</v>
      </c>
      <c r="D3386" t="s">
        <v>320</v>
      </c>
      <c r="E3386">
        <v>10911</v>
      </c>
      <c r="F3386" t="s">
        <v>320</v>
      </c>
      <c r="G3386">
        <v>109</v>
      </c>
      <c r="H3386" t="s">
        <v>38</v>
      </c>
      <c r="I3386">
        <v>1</v>
      </c>
      <c r="J3386" t="s">
        <v>30</v>
      </c>
    </row>
    <row r="3387" spans="1:10" x14ac:dyDescent="0.25">
      <c r="A3387" t="s">
        <v>144</v>
      </c>
      <c r="B3387">
        <f>256373.600494948*(1/100/100)</f>
        <v>25.637360049494802</v>
      </c>
      <c r="C3387">
        <v>34045</v>
      </c>
      <c r="D3387" t="s">
        <v>2261</v>
      </c>
      <c r="E3387">
        <v>10912</v>
      </c>
      <c r="F3387" t="s">
        <v>321</v>
      </c>
      <c r="G3387">
        <v>109</v>
      </c>
      <c r="H3387" t="s">
        <v>38</v>
      </c>
      <c r="I3387">
        <v>1</v>
      </c>
      <c r="J3387" t="s">
        <v>30</v>
      </c>
    </row>
    <row r="3388" spans="1:10" x14ac:dyDescent="0.25">
      <c r="A3388" t="s">
        <v>144</v>
      </c>
      <c r="B3388">
        <f>83019.0921327204*(1/100/100)</f>
        <v>8.3019092132720402</v>
      </c>
      <c r="C3388">
        <v>34046</v>
      </c>
      <c r="D3388" t="s">
        <v>2263</v>
      </c>
      <c r="E3388">
        <v>10913</v>
      </c>
      <c r="F3388" t="s">
        <v>322</v>
      </c>
      <c r="G3388">
        <v>109</v>
      </c>
      <c r="H3388" t="s">
        <v>38</v>
      </c>
      <c r="I3388">
        <v>1</v>
      </c>
      <c r="J3388" t="s">
        <v>30</v>
      </c>
    </row>
    <row r="3389" spans="1:10" x14ac:dyDescent="0.25">
      <c r="A3389" t="s">
        <v>144</v>
      </c>
      <c r="B3389">
        <f>28172.5838677009*(1/100/100)</f>
        <v>2.8172583867700904</v>
      </c>
      <c r="C3389">
        <v>34047</v>
      </c>
      <c r="D3389" t="s">
        <v>2248</v>
      </c>
      <c r="E3389">
        <v>10905</v>
      </c>
      <c r="F3389" t="s">
        <v>314</v>
      </c>
      <c r="G3389">
        <v>109</v>
      </c>
      <c r="H3389" t="s">
        <v>38</v>
      </c>
      <c r="I3389">
        <v>1</v>
      </c>
      <c r="J3389" t="s">
        <v>30</v>
      </c>
    </row>
    <row r="3390" spans="1:10" x14ac:dyDescent="0.25">
      <c r="A3390" t="s">
        <v>144</v>
      </c>
      <c r="B3390">
        <f>80993.4572626623*(1/100/100)</f>
        <v>8.0993457262662307</v>
      </c>
      <c r="C3390">
        <v>34048</v>
      </c>
      <c r="D3390" t="s">
        <v>323</v>
      </c>
      <c r="E3390">
        <v>10914</v>
      </c>
      <c r="F3390" t="s">
        <v>323</v>
      </c>
      <c r="G3390">
        <v>109</v>
      </c>
      <c r="H3390" t="s">
        <v>38</v>
      </c>
      <c r="I3390">
        <v>1</v>
      </c>
      <c r="J3390" t="s">
        <v>30</v>
      </c>
    </row>
    <row r="3391" spans="1:10" x14ac:dyDescent="0.25">
      <c r="A3391" t="s">
        <v>144</v>
      </c>
      <c r="B3391">
        <f>18861.0290009885*(1/100/100)</f>
        <v>1.8861029000988501</v>
      </c>
      <c r="C3391">
        <v>34049</v>
      </c>
      <c r="D3391" t="s">
        <v>2290</v>
      </c>
      <c r="E3391">
        <v>10926</v>
      </c>
      <c r="F3391" t="s">
        <v>334</v>
      </c>
      <c r="G3391">
        <v>109</v>
      </c>
      <c r="H3391" t="s">
        <v>38</v>
      </c>
      <c r="I3391">
        <v>1</v>
      </c>
      <c r="J3391" t="s">
        <v>30</v>
      </c>
    </row>
    <row r="3392" spans="1:10" x14ac:dyDescent="0.25">
      <c r="A3392" t="s">
        <v>144</v>
      </c>
      <c r="B3392">
        <f>36560.6811562281*(1/100/100)</f>
        <v>3.6560681156228103</v>
      </c>
      <c r="C3392">
        <v>34050</v>
      </c>
      <c r="D3392" t="s">
        <v>2267</v>
      </c>
      <c r="E3392">
        <v>10914</v>
      </c>
      <c r="F3392" t="s">
        <v>323</v>
      </c>
      <c r="G3392">
        <v>109</v>
      </c>
      <c r="H3392" t="s">
        <v>38</v>
      </c>
      <c r="I3392">
        <v>1</v>
      </c>
      <c r="J3392" t="s">
        <v>30</v>
      </c>
    </row>
    <row r="3393" spans="1:10" x14ac:dyDescent="0.25">
      <c r="A3393" t="s">
        <v>144</v>
      </c>
      <c r="B3393">
        <f>51893.813465985*(1/100/100)</f>
        <v>5.1893813465985001</v>
      </c>
      <c r="C3393">
        <v>34051</v>
      </c>
      <c r="D3393" t="s">
        <v>2282</v>
      </c>
      <c r="E3393">
        <v>10923</v>
      </c>
      <c r="F3393" t="s">
        <v>331</v>
      </c>
      <c r="G3393">
        <v>109</v>
      </c>
      <c r="H3393" t="s">
        <v>38</v>
      </c>
      <c r="I3393">
        <v>1</v>
      </c>
      <c r="J3393" t="s">
        <v>30</v>
      </c>
    </row>
    <row r="3394" spans="1:10" x14ac:dyDescent="0.25">
      <c r="A3394" t="s">
        <v>144</v>
      </c>
      <c r="B3394">
        <f>72695.0199129356*(1/100/100)</f>
        <v>7.269501991293561</v>
      </c>
      <c r="C3394">
        <v>34052</v>
      </c>
      <c r="D3394" t="s">
        <v>337</v>
      </c>
      <c r="E3394">
        <v>10929</v>
      </c>
      <c r="F3394" t="s">
        <v>337</v>
      </c>
      <c r="G3394">
        <v>109</v>
      </c>
      <c r="H3394" t="s">
        <v>38</v>
      </c>
      <c r="I3394">
        <v>1</v>
      </c>
      <c r="J3394" t="s">
        <v>30</v>
      </c>
    </row>
    <row r="3395" spans="1:10" x14ac:dyDescent="0.25">
      <c r="A3395" t="s">
        <v>144</v>
      </c>
      <c r="B3395">
        <f>19731.4937246293*(1/100/100)</f>
        <v>1.9731493724629303</v>
      </c>
      <c r="C3395">
        <v>34053</v>
      </c>
      <c r="D3395" t="s">
        <v>2258</v>
      </c>
      <c r="E3395">
        <v>10911</v>
      </c>
      <c r="F3395" t="s">
        <v>320</v>
      </c>
      <c r="G3395">
        <v>109</v>
      </c>
      <c r="H3395" t="s">
        <v>38</v>
      </c>
      <c r="I3395">
        <v>1</v>
      </c>
      <c r="J3395" t="s">
        <v>30</v>
      </c>
    </row>
    <row r="3396" spans="1:10" x14ac:dyDescent="0.25">
      <c r="A3396" t="s">
        <v>144</v>
      </c>
      <c r="B3396">
        <f>122167.771983686*(1/100/100)</f>
        <v>12.2167771983686</v>
      </c>
      <c r="C3396">
        <v>34054</v>
      </c>
      <c r="D3396" t="s">
        <v>2269</v>
      </c>
      <c r="E3396">
        <v>10915</v>
      </c>
      <c r="F3396" t="s">
        <v>324</v>
      </c>
      <c r="G3396">
        <v>109</v>
      </c>
      <c r="H3396" t="s">
        <v>38</v>
      </c>
      <c r="I3396">
        <v>1</v>
      </c>
      <c r="J3396" t="s">
        <v>30</v>
      </c>
    </row>
    <row r="3397" spans="1:10" x14ac:dyDescent="0.25">
      <c r="A3397" t="s">
        <v>144</v>
      </c>
      <c r="B3397">
        <f>26240.1976259103*(1/100/100)</f>
        <v>2.62401976259103</v>
      </c>
      <c r="C3397">
        <v>34055</v>
      </c>
      <c r="D3397" t="s">
        <v>2286</v>
      </c>
      <c r="E3397">
        <v>10924</v>
      </c>
      <c r="F3397" t="s">
        <v>332</v>
      </c>
      <c r="G3397">
        <v>109</v>
      </c>
      <c r="H3397" t="s">
        <v>38</v>
      </c>
      <c r="I3397">
        <v>1</v>
      </c>
      <c r="J3397" t="s">
        <v>30</v>
      </c>
    </row>
    <row r="3398" spans="1:10" x14ac:dyDescent="0.25">
      <c r="A3398" t="s">
        <v>144</v>
      </c>
      <c r="B3398">
        <f>164824.77261117*(1/100/100)</f>
        <v>16.482477261117001</v>
      </c>
      <c r="C3398">
        <v>34056</v>
      </c>
      <c r="D3398" t="s">
        <v>325</v>
      </c>
      <c r="E3398">
        <v>10916</v>
      </c>
      <c r="F3398" t="s">
        <v>325</v>
      </c>
      <c r="G3398">
        <v>109</v>
      </c>
      <c r="H3398" t="s">
        <v>38</v>
      </c>
      <c r="I3398">
        <v>1</v>
      </c>
      <c r="J3398" t="s">
        <v>30</v>
      </c>
    </row>
    <row r="3399" spans="1:10" x14ac:dyDescent="0.25">
      <c r="A3399" t="s">
        <v>144</v>
      </c>
      <c r="B3399">
        <f>755220.77348049*(1/100/100)</f>
        <v>75.522077348048995</v>
      </c>
      <c r="C3399">
        <v>34057</v>
      </c>
      <c r="D3399" t="s">
        <v>38</v>
      </c>
      <c r="E3399">
        <v>10917</v>
      </c>
      <c r="F3399" t="s">
        <v>38</v>
      </c>
      <c r="G3399">
        <v>109</v>
      </c>
      <c r="H3399" t="s">
        <v>38</v>
      </c>
      <c r="I3399">
        <v>1</v>
      </c>
      <c r="J3399" t="s">
        <v>30</v>
      </c>
    </row>
    <row r="3400" spans="1:10" x14ac:dyDescent="0.25">
      <c r="A3400" t="s">
        <v>144</v>
      </c>
      <c r="B3400">
        <f>553496.115641032*(1/100/100)</f>
        <v>55.349611564103199</v>
      </c>
      <c r="C3400">
        <v>34058</v>
      </c>
      <c r="D3400" t="s">
        <v>326</v>
      </c>
      <c r="E3400">
        <v>10918</v>
      </c>
      <c r="F3400" t="s">
        <v>326</v>
      </c>
      <c r="G3400">
        <v>109</v>
      </c>
      <c r="H3400" t="s">
        <v>38</v>
      </c>
      <c r="I3400">
        <v>1</v>
      </c>
      <c r="J3400" t="s">
        <v>30</v>
      </c>
    </row>
    <row r="3401" spans="1:10" x14ac:dyDescent="0.25">
      <c r="A3401" t="s">
        <v>144</v>
      </c>
      <c r="B3401">
        <f>23263.3501257643*(1/100/100)</f>
        <v>2.3263350125764299</v>
      </c>
      <c r="C3401">
        <v>34059</v>
      </c>
      <c r="D3401" t="s">
        <v>2291</v>
      </c>
      <c r="E3401">
        <v>10926</v>
      </c>
      <c r="F3401" t="s">
        <v>334</v>
      </c>
      <c r="G3401">
        <v>109</v>
      </c>
      <c r="H3401" t="s">
        <v>38</v>
      </c>
      <c r="I3401">
        <v>1</v>
      </c>
      <c r="J3401" t="s">
        <v>30</v>
      </c>
    </row>
    <row r="3402" spans="1:10" x14ac:dyDescent="0.25">
      <c r="A3402" t="s">
        <v>144</v>
      </c>
      <c r="B3402">
        <f>15123.8730567004*(1/100/100)</f>
        <v>1.5123873056700401</v>
      </c>
      <c r="C3402">
        <v>34060</v>
      </c>
      <c r="D3402" t="s">
        <v>2292</v>
      </c>
      <c r="E3402">
        <v>10926</v>
      </c>
      <c r="F3402" t="s">
        <v>334</v>
      </c>
      <c r="G3402">
        <v>109</v>
      </c>
      <c r="H3402" t="s">
        <v>38</v>
      </c>
      <c r="I3402">
        <v>1</v>
      </c>
      <c r="J3402" t="s">
        <v>30</v>
      </c>
    </row>
    <row r="3403" spans="1:10" x14ac:dyDescent="0.25">
      <c r="A3403" t="s">
        <v>144</v>
      </c>
      <c r="B3403">
        <f>5269.75656891292*(1/100/100)</f>
        <v>0.526975656891292</v>
      </c>
      <c r="C3403">
        <v>34061</v>
      </c>
      <c r="D3403" t="s">
        <v>2293</v>
      </c>
      <c r="E3403">
        <v>10926</v>
      </c>
      <c r="F3403" t="s">
        <v>334</v>
      </c>
      <c r="G3403">
        <v>109</v>
      </c>
      <c r="H3403" t="s">
        <v>38</v>
      </c>
      <c r="I3403">
        <v>1</v>
      </c>
      <c r="J3403" t="s">
        <v>30</v>
      </c>
    </row>
    <row r="3404" spans="1:10" x14ac:dyDescent="0.25">
      <c r="A3404" t="s">
        <v>144</v>
      </c>
      <c r="B3404">
        <f>386138.651106812*(1/100/100)</f>
        <v>38.613865110681203</v>
      </c>
      <c r="C3404">
        <v>34062</v>
      </c>
      <c r="D3404" t="s">
        <v>327</v>
      </c>
      <c r="E3404">
        <v>10919</v>
      </c>
      <c r="F3404" t="s">
        <v>327</v>
      </c>
      <c r="G3404">
        <v>109</v>
      </c>
      <c r="H3404" t="s">
        <v>38</v>
      </c>
      <c r="I3404">
        <v>1</v>
      </c>
      <c r="J3404" t="s">
        <v>30</v>
      </c>
    </row>
    <row r="3405" spans="1:10" x14ac:dyDescent="0.25">
      <c r="A3405" t="s">
        <v>144</v>
      </c>
      <c r="B3405">
        <f>42764.3980465566*(1/100/100)</f>
        <v>4.2764398046556602</v>
      </c>
      <c r="C3405">
        <v>34063</v>
      </c>
      <c r="D3405" t="s">
        <v>2238</v>
      </c>
      <c r="E3405">
        <v>10902</v>
      </c>
      <c r="F3405" t="s">
        <v>311</v>
      </c>
      <c r="G3405">
        <v>109</v>
      </c>
      <c r="H3405" t="s">
        <v>38</v>
      </c>
      <c r="I3405">
        <v>1</v>
      </c>
      <c r="J3405" t="s">
        <v>30</v>
      </c>
    </row>
    <row r="3406" spans="1:10" x14ac:dyDescent="0.25">
      <c r="A3406" t="s">
        <v>144</v>
      </c>
      <c r="B3406">
        <f>39159.8366587001*(1/100/100)</f>
        <v>3.91598366587001</v>
      </c>
      <c r="C3406">
        <v>34064</v>
      </c>
      <c r="D3406" t="s">
        <v>2239</v>
      </c>
      <c r="E3406">
        <v>10902</v>
      </c>
      <c r="F3406" t="s">
        <v>311</v>
      </c>
      <c r="G3406">
        <v>109</v>
      </c>
      <c r="H3406" t="s">
        <v>38</v>
      </c>
      <c r="I3406">
        <v>1</v>
      </c>
      <c r="J3406" t="s">
        <v>30</v>
      </c>
    </row>
    <row r="3407" spans="1:10" x14ac:dyDescent="0.25">
      <c r="A3407" t="s">
        <v>144</v>
      </c>
      <c r="B3407">
        <f>186753.071845988*(1/100/100)</f>
        <v>18.6753071845988</v>
      </c>
      <c r="C3407">
        <v>34065</v>
      </c>
      <c r="D3407" t="s">
        <v>328</v>
      </c>
      <c r="E3407">
        <v>10920</v>
      </c>
      <c r="F3407" t="s">
        <v>328</v>
      </c>
      <c r="G3407">
        <v>109</v>
      </c>
      <c r="H3407" t="s">
        <v>38</v>
      </c>
      <c r="I3407">
        <v>1</v>
      </c>
      <c r="J3407" t="s">
        <v>30</v>
      </c>
    </row>
    <row r="3408" spans="1:10" x14ac:dyDescent="0.25">
      <c r="A3408" t="s">
        <v>144</v>
      </c>
      <c r="B3408">
        <f>49549.4020829823*(1/100/100)</f>
        <v>4.9549402082982299</v>
      </c>
      <c r="C3408">
        <v>34066</v>
      </c>
      <c r="D3408" t="s">
        <v>2268</v>
      </c>
      <c r="E3408">
        <v>10914</v>
      </c>
      <c r="F3408" t="s">
        <v>323</v>
      </c>
      <c r="G3408">
        <v>109</v>
      </c>
      <c r="H3408" t="s">
        <v>38</v>
      </c>
      <c r="I3408">
        <v>1</v>
      </c>
      <c r="J3408" t="s">
        <v>30</v>
      </c>
    </row>
    <row r="3409" spans="1:10" x14ac:dyDescent="0.25">
      <c r="A3409" t="s">
        <v>144</v>
      </c>
      <c r="B3409">
        <f>129757.047932434*(1/100/100)</f>
        <v>12.9757047932434</v>
      </c>
      <c r="C3409">
        <v>34067</v>
      </c>
      <c r="D3409" t="s">
        <v>329</v>
      </c>
      <c r="E3409">
        <v>10921</v>
      </c>
      <c r="F3409" t="s">
        <v>329</v>
      </c>
      <c r="G3409">
        <v>109</v>
      </c>
      <c r="H3409" t="s">
        <v>38</v>
      </c>
      <c r="I3409">
        <v>1</v>
      </c>
      <c r="J3409" t="s">
        <v>30</v>
      </c>
    </row>
    <row r="3410" spans="1:10" x14ac:dyDescent="0.25">
      <c r="A3410" t="s">
        <v>144</v>
      </c>
      <c r="B3410">
        <f>20508.1688257125*(1/100/100)</f>
        <v>2.0508168825712501</v>
      </c>
      <c r="C3410">
        <v>34068</v>
      </c>
      <c r="D3410" t="s">
        <v>2294</v>
      </c>
      <c r="E3410">
        <v>10926</v>
      </c>
      <c r="F3410" t="s">
        <v>334</v>
      </c>
      <c r="G3410">
        <v>109</v>
      </c>
      <c r="H3410" t="s">
        <v>38</v>
      </c>
      <c r="I3410">
        <v>1</v>
      </c>
      <c r="J3410" t="s">
        <v>30</v>
      </c>
    </row>
    <row r="3411" spans="1:10" x14ac:dyDescent="0.25">
      <c r="A3411" t="s">
        <v>144</v>
      </c>
      <c r="B3411">
        <f>25193.0779385768*(1/100/100)</f>
        <v>2.51930779385768</v>
      </c>
      <c r="C3411">
        <v>34069</v>
      </c>
      <c r="D3411" t="s">
        <v>2244</v>
      </c>
      <c r="E3411">
        <v>10903</v>
      </c>
      <c r="F3411" t="s">
        <v>312</v>
      </c>
      <c r="G3411">
        <v>109</v>
      </c>
      <c r="H3411" t="s">
        <v>38</v>
      </c>
      <c r="I3411">
        <v>1</v>
      </c>
      <c r="J3411" t="s">
        <v>30</v>
      </c>
    </row>
    <row r="3412" spans="1:10" x14ac:dyDescent="0.25">
      <c r="A3412" t="s">
        <v>144</v>
      </c>
      <c r="B3412">
        <f>37427.9348037532*(1/100/100)</f>
        <v>3.7427934803753207</v>
      </c>
      <c r="C3412">
        <v>34070</v>
      </c>
      <c r="D3412" t="s">
        <v>2274</v>
      </c>
      <c r="E3412">
        <v>10917</v>
      </c>
      <c r="F3412" t="s">
        <v>38</v>
      </c>
      <c r="G3412">
        <v>109</v>
      </c>
      <c r="H3412" t="s">
        <v>38</v>
      </c>
      <c r="I3412">
        <v>1</v>
      </c>
      <c r="J3412" t="s">
        <v>30</v>
      </c>
    </row>
    <row r="3413" spans="1:10" x14ac:dyDescent="0.25">
      <c r="A3413" t="s">
        <v>144</v>
      </c>
      <c r="B3413">
        <f>74851.3933966048*(1/100/100)</f>
        <v>7.4851393396604813</v>
      </c>
      <c r="C3413">
        <v>34071</v>
      </c>
      <c r="D3413" t="s">
        <v>330</v>
      </c>
      <c r="E3413">
        <v>10922</v>
      </c>
      <c r="F3413" t="s">
        <v>330</v>
      </c>
      <c r="G3413">
        <v>109</v>
      </c>
      <c r="H3413" t="s">
        <v>38</v>
      </c>
      <c r="I3413">
        <v>1</v>
      </c>
      <c r="J3413" t="s">
        <v>30</v>
      </c>
    </row>
    <row r="3414" spans="1:10" x14ac:dyDescent="0.25">
      <c r="A3414" t="s">
        <v>144</v>
      </c>
      <c r="B3414">
        <f>57096.1679285736*(1/100/100)</f>
        <v>5.7096167928573607</v>
      </c>
      <c r="C3414">
        <v>34072</v>
      </c>
      <c r="D3414" t="s">
        <v>340</v>
      </c>
      <c r="E3414">
        <v>10932</v>
      </c>
      <c r="F3414" t="s">
        <v>340</v>
      </c>
      <c r="G3414">
        <v>109</v>
      </c>
      <c r="H3414" t="s">
        <v>38</v>
      </c>
      <c r="I3414">
        <v>1</v>
      </c>
      <c r="J3414" t="s">
        <v>30</v>
      </c>
    </row>
    <row r="3415" spans="1:10" x14ac:dyDescent="0.25">
      <c r="A3415" t="s">
        <v>144</v>
      </c>
      <c r="B3415">
        <f>23487.1746179753*(1/100/100)</f>
        <v>2.3487174617975302</v>
      </c>
      <c r="C3415">
        <v>34073</v>
      </c>
      <c r="D3415" t="s">
        <v>2271</v>
      </c>
      <c r="E3415">
        <v>10916</v>
      </c>
      <c r="F3415" t="s">
        <v>325</v>
      </c>
      <c r="G3415">
        <v>109</v>
      </c>
      <c r="H3415" t="s">
        <v>38</v>
      </c>
      <c r="I3415">
        <v>1</v>
      </c>
      <c r="J3415" t="s">
        <v>30</v>
      </c>
    </row>
    <row r="3416" spans="1:10" x14ac:dyDescent="0.25">
      <c r="A3416" t="s">
        <v>144</v>
      </c>
      <c r="B3416">
        <f>12100.3820113838*(1/100/100)</f>
        <v>1.2100382011383799</v>
      </c>
      <c r="C3416">
        <v>34074</v>
      </c>
      <c r="D3416" t="s">
        <v>2296</v>
      </c>
      <c r="E3416">
        <v>10927</v>
      </c>
      <c r="F3416" t="s">
        <v>335</v>
      </c>
      <c r="G3416">
        <v>109</v>
      </c>
      <c r="H3416" t="s">
        <v>38</v>
      </c>
      <c r="I3416">
        <v>1</v>
      </c>
      <c r="J3416" t="s">
        <v>30</v>
      </c>
    </row>
    <row r="3417" spans="1:10" x14ac:dyDescent="0.25">
      <c r="A3417" t="s">
        <v>144</v>
      </c>
      <c r="B3417">
        <f>32414.1767410436*(1/100/100)</f>
        <v>3.2414176741043601</v>
      </c>
      <c r="C3417">
        <v>34075</v>
      </c>
      <c r="D3417" t="s">
        <v>2297</v>
      </c>
      <c r="E3417">
        <v>10927</v>
      </c>
      <c r="F3417" t="s">
        <v>335</v>
      </c>
      <c r="G3417">
        <v>109</v>
      </c>
      <c r="H3417" t="s">
        <v>38</v>
      </c>
      <c r="I3417">
        <v>1</v>
      </c>
      <c r="J3417" t="s">
        <v>30</v>
      </c>
    </row>
    <row r="3418" spans="1:10" x14ac:dyDescent="0.25">
      <c r="A3418" t="s">
        <v>144</v>
      </c>
      <c r="B3418">
        <f>58191.6948024621*(1/100/100)</f>
        <v>5.8191694802462104</v>
      </c>
      <c r="C3418">
        <v>34076</v>
      </c>
      <c r="D3418" t="s">
        <v>2276</v>
      </c>
      <c r="E3418">
        <v>10921</v>
      </c>
      <c r="F3418" t="s">
        <v>329</v>
      </c>
      <c r="G3418">
        <v>109</v>
      </c>
      <c r="H3418" t="s">
        <v>38</v>
      </c>
      <c r="I3418">
        <v>1</v>
      </c>
      <c r="J3418" t="s">
        <v>30</v>
      </c>
    </row>
    <row r="3419" spans="1:10" x14ac:dyDescent="0.25">
      <c r="A3419" t="s">
        <v>144</v>
      </c>
      <c r="B3419">
        <f>30702.4210317769*(1/100/100)</f>
        <v>3.0702421031776899</v>
      </c>
      <c r="C3419">
        <v>34077</v>
      </c>
      <c r="D3419" t="s">
        <v>2277</v>
      </c>
      <c r="E3419">
        <v>10921</v>
      </c>
      <c r="F3419" t="s">
        <v>329</v>
      </c>
      <c r="G3419">
        <v>109</v>
      </c>
      <c r="H3419" t="s">
        <v>38</v>
      </c>
      <c r="I3419">
        <v>1</v>
      </c>
      <c r="J3419" t="s">
        <v>30</v>
      </c>
    </row>
    <row r="3420" spans="1:10" x14ac:dyDescent="0.25">
      <c r="A3420" t="s">
        <v>144</v>
      </c>
      <c r="B3420">
        <f>93988.754450765*(1/100/100)</f>
        <v>9.3988754450765004</v>
      </c>
      <c r="C3420">
        <v>34078</v>
      </c>
      <c r="D3420" t="s">
        <v>331</v>
      </c>
      <c r="E3420">
        <v>10923</v>
      </c>
      <c r="F3420" t="s">
        <v>331</v>
      </c>
      <c r="G3420">
        <v>109</v>
      </c>
      <c r="H3420" t="s">
        <v>38</v>
      </c>
      <c r="I3420">
        <v>1</v>
      </c>
      <c r="J3420" t="s">
        <v>30</v>
      </c>
    </row>
    <row r="3421" spans="1:10" x14ac:dyDescent="0.25">
      <c r="A3421" t="s">
        <v>144</v>
      </c>
      <c r="B3421">
        <f>48750.5706515378*(1/100/100)</f>
        <v>4.8750570651537801</v>
      </c>
      <c r="C3421">
        <v>34079</v>
      </c>
      <c r="D3421" t="s">
        <v>2240</v>
      </c>
      <c r="E3421">
        <v>10902</v>
      </c>
      <c r="F3421" t="s">
        <v>311</v>
      </c>
      <c r="G3421">
        <v>109</v>
      </c>
      <c r="H3421" t="s">
        <v>38</v>
      </c>
      <c r="I3421">
        <v>1</v>
      </c>
      <c r="J3421" t="s">
        <v>30</v>
      </c>
    </row>
    <row r="3422" spans="1:10" x14ac:dyDescent="0.25">
      <c r="A3422" t="s">
        <v>144</v>
      </c>
      <c r="B3422">
        <f>20043.1204507653*(1/100/100)</f>
        <v>2.0043120450765297</v>
      </c>
      <c r="C3422">
        <v>34080</v>
      </c>
      <c r="D3422" t="s">
        <v>2236</v>
      </c>
      <c r="E3422">
        <v>10901</v>
      </c>
      <c r="F3422" t="s">
        <v>310</v>
      </c>
      <c r="G3422">
        <v>109</v>
      </c>
      <c r="H3422" t="s">
        <v>38</v>
      </c>
      <c r="I3422">
        <v>1</v>
      </c>
      <c r="J3422" t="s">
        <v>30</v>
      </c>
    </row>
    <row r="3423" spans="1:10" x14ac:dyDescent="0.25">
      <c r="A3423" t="s">
        <v>144</v>
      </c>
      <c r="B3423">
        <f>23406.1092485451*(1/100/100)</f>
        <v>2.3406109248545102</v>
      </c>
      <c r="C3423">
        <v>34081</v>
      </c>
      <c r="D3423" t="s">
        <v>2259</v>
      </c>
      <c r="E3423">
        <v>10911</v>
      </c>
      <c r="F3423" t="s">
        <v>320</v>
      </c>
      <c r="G3423">
        <v>109</v>
      </c>
      <c r="H3423" t="s">
        <v>38</v>
      </c>
      <c r="I3423">
        <v>1</v>
      </c>
      <c r="J3423" t="s">
        <v>30</v>
      </c>
    </row>
    <row r="3424" spans="1:10" x14ac:dyDescent="0.25">
      <c r="A3424" t="s">
        <v>144</v>
      </c>
      <c r="B3424">
        <f>30873.7293175231*(1/100/100)</f>
        <v>3.0873729317523102</v>
      </c>
      <c r="C3424">
        <v>34082</v>
      </c>
      <c r="D3424" t="s">
        <v>332</v>
      </c>
      <c r="E3424">
        <v>10924</v>
      </c>
      <c r="F3424" t="s">
        <v>332</v>
      </c>
      <c r="G3424">
        <v>109</v>
      </c>
      <c r="H3424" t="s">
        <v>38</v>
      </c>
      <c r="I3424">
        <v>1</v>
      </c>
      <c r="J3424" t="s">
        <v>30</v>
      </c>
    </row>
    <row r="3425" spans="1:10" x14ac:dyDescent="0.25">
      <c r="A3425" t="s">
        <v>144</v>
      </c>
      <c r="B3425">
        <f>78408.7715430776*(1/100/100)</f>
        <v>7.8408771543077602</v>
      </c>
      <c r="C3425">
        <v>34083</v>
      </c>
      <c r="D3425" t="s">
        <v>2272</v>
      </c>
      <c r="E3425">
        <v>10916</v>
      </c>
      <c r="F3425" t="s">
        <v>325</v>
      </c>
      <c r="G3425">
        <v>109</v>
      </c>
      <c r="H3425" t="s">
        <v>38</v>
      </c>
      <c r="I3425">
        <v>1</v>
      </c>
      <c r="J3425" t="s">
        <v>30</v>
      </c>
    </row>
    <row r="3426" spans="1:10" x14ac:dyDescent="0.25">
      <c r="A3426" t="s">
        <v>144</v>
      </c>
      <c r="B3426">
        <f>155781.814614657*(1/100/100)</f>
        <v>15.5781814614657</v>
      </c>
      <c r="C3426">
        <v>34084</v>
      </c>
      <c r="D3426" t="s">
        <v>333</v>
      </c>
      <c r="E3426">
        <v>10925</v>
      </c>
      <c r="F3426" t="s">
        <v>333</v>
      </c>
      <c r="G3426">
        <v>109</v>
      </c>
      <c r="H3426" t="s">
        <v>38</v>
      </c>
      <c r="I3426">
        <v>1</v>
      </c>
      <c r="J3426" t="s">
        <v>30</v>
      </c>
    </row>
    <row r="3427" spans="1:10" x14ac:dyDescent="0.25">
      <c r="A3427" t="s">
        <v>144</v>
      </c>
      <c r="B3427">
        <f>32873.6064352442*(1/100/100)</f>
        <v>3.28736064352442</v>
      </c>
      <c r="C3427">
        <v>34085</v>
      </c>
      <c r="D3427" t="s">
        <v>334</v>
      </c>
      <c r="E3427">
        <v>10926</v>
      </c>
      <c r="F3427" t="s">
        <v>334</v>
      </c>
      <c r="G3427">
        <v>109</v>
      </c>
      <c r="H3427" t="s">
        <v>38</v>
      </c>
      <c r="I3427">
        <v>1</v>
      </c>
      <c r="J3427" t="s">
        <v>30</v>
      </c>
    </row>
    <row r="3428" spans="1:10" x14ac:dyDescent="0.25">
      <c r="A3428" t="s">
        <v>144</v>
      </c>
      <c r="B3428">
        <f>14928.620829049*(1/100/100)</f>
        <v>1.4928620829049</v>
      </c>
      <c r="C3428">
        <v>34086</v>
      </c>
      <c r="D3428" t="s">
        <v>2298</v>
      </c>
      <c r="E3428">
        <v>10927</v>
      </c>
      <c r="F3428" t="s">
        <v>335</v>
      </c>
      <c r="G3428">
        <v>109</v>
      </c>
      <c r="H3428" t="s">
        <v>38</v>
      </c>
      <c r="I3428">
        <v>1</v>
      </c>
      <c r="J3428" t="s">
        <v>30</v>
      </c>
    </row>
    <row r="3429" spans="1:10" x14ac:dyDescent="0.25">
      <c r="A3429" t="s">
        <v>144</v>
      </c>
      <c r="B3429">
        <f>57590.4434453803*(1/100/100)</f>
        <v>5.7590443445380304</v>
      </c>
      <c r="C3429">
        <v>34087</v>
      </c>
      <c r="D3429" t="s">
        <v>2249</v>
      </c>
      <c r="E3429">
        <v>10905</v>
      </c>
      <c r="F3429" t="s">
        <v>314</v>
      </c>
      <c r="G3429">
        <v>109</v>
      </c>
      <c r="H3429" t="s">
        <v>38</v>
      </c>
      <c r="I3429">
        <v>1</v>
      </c>
      <c r="J3429" t="s">
        <v>30</v>
      </c>
    </row>
    <row r="3430" spans="1:10" x14ac:dyDescent="0.25">
      <c r="A3430" t="s">
        <v>144</v>
      </c>
      <c r="B3430">
        <f>129277.936413204*(1/100/100)</f>
        <v>12.927793641320401</v>
      </c>
      <c r="C3430">
        <v>34088</v>
      </c>
      <c r="D3430" t="s">
        <v>335</v>
      </c>
      <c r="E3430">
        <v>10927</v>
      </c>
      <c r="F3430" t="s">
        <v>335</v>
      </c>
      <c r="G3430">
        <v>109</v>
      </c>
      <c r="H3430" t="s">
        <v>38</v>
      </c>
      <c r="I3430">
        <v>1</v>
      </c>
      <c r="J3430" t="s">
        <v>30</v>
      </c>
    </row>
    <row r="3431" spans="1:10" x14ac:dyDescent="0.25">
      <c r="A3431" t="s">
        <v>144</v>
      </c>
      <c r="B3431">
        <f>54717.4029183438*(1/100/100)</f>
        <v>5.4717402918343803</v>
      </c>
      <c r="C3431">
        <v>34089</v>
      </c>
      <c r="D3431" t="s">
        <v>2273</v>
      </c>
      <c r="E3431">
        <v>10916</v>
      </c>
      <c r="F3431" t="s">
        <v>325</v>
      </c>
      <c r="G3431">
        <v>109</v>
      </c>
      <c r="H3431" t="s">
        <v>38</v>
      </c>
      <c r="I3431">
        <v>1</v>
      </c>
      <c r="J3431" t="s">
        <v>30</v>
      </c>
    </row>
    <row r="3432" spans="1:10" x14ac:dyDescent="0.25">
      <c r="A3432" t="s">
        <v>144</v>
      </c>
      <c r="B3432">
        <f>190027.880872662*(1/100/100)</f>
        <v>19.0027880872662</v>
      </c>
      <c r="C3432">
        <v>34090</v>
      </c>
      <c r="D3432" t="s">
        <v>336</v>
      </c>
      <c r="E3432">
        <v>10928</v>
      </c>
      <c r="F3432" t="s">
        <v>336</v>
      </c>
      <c r="G3432">
        <v>109</v>
      </c>
      <c r="H3432" t="s">
        <v>38</v>
      </c>
      <c r="I3432">
        <v>1</v>
      </c>
      <c r="J3432" t="s">
        <v>30</v>
      </c>
    </row>
    <row r="3433" spans="1:10" x14ac:dyDescent="0.25">
      <c r="A3433" t="s">
        <v>144</v>
      </c>
      <c r="B3433">
        <f>22208.0598842161*(1/100/100)</f>
        <v>2.2208059884216103</v>
      </c>
      <c r="C3433">
        <v>34091</v>
      </c>
      <c r="D3433" t="s">
        <v>2251</v>
      </c>
      <c r="E3433">
        <v>10906</v>
      </c>
      <c r="F3433" t="s">
        <v>315</v>
      </c>
      <c r="G3433">
        <v>109</v>
      </c>
      <c r="H3433" t="s">
        <v>38</v>
      </c>
      <c r="I3433">
        <v>1</v>
      </c>
      <c r="J3433" t="s">
        <v>30</v>
      </c>
    </row>
    <row r="3434" spans="1:10" x14ac:dyDescent="0.25">
      <c r="A3434" t="s">
        <v>144</v>
      </c>
      <c r="B3434">
        <f>35692.0804481137*(1/100/100)</f>
        <v>3.5692080448113703</v>
      </c>
      <c r="C3434">
        <v>34092</v>
      </c>
      <c r="D3434" t="s">
        <v>2295</v>
      </c>
      <c r="E3434">
        <v>10926</v>
      </c>
      <c r="F3434" t="s">
        <v>334</v>
      </c>
      <c r="G3434">
        <v>109</v>
      </c>
      <c r="H3434" t="s">
        <v>38</v>
      </c>
      <c r="I3434">
        <v>1</v>
      </c>
      <c r="J3434" t="s">
        <v>30</v>
      </c>
    </row>
    <row r="3435" spans="1:10" x14ac:dyDescent="0.25">
      <c r="A3435" t="s">
        <v>7354</v>
      </c>
      <c r="B3435">
        <f>167010.92499107*(1/100/100)</f>
        <v>16.701092499107002</v>
      </c>
      <c r="C3435">
        <v>40001</v>
      </c>
      <c r="D3435" t="s">
        <v>5184</v>
      </c>
      <c r="E3435">
        <v>40412</v>
      </c>
      <c r="F3435" t="s">
        <v>1003</v>
      </c>
      <c r="G3435">
        <v>404</v>
      </c>
      <c r="H3435" t="s">
        <v>78</v>
      </c>
      <c r="I3435">
        <v>4</v>
      </c>
      <c r="J3435" t="s">
        <v>75</v>
      </c>
    </row>
    <row r="3436" spans="1:10" x14ac:dyDescent="0.25">
      <c r="A3436" t="s">
        <v>7354</v>
      </c>
      <c r="B3436">
        <f>52618.1697060557*(1/100/100)</f>
        <v>5.2618169706055697</v>
      </c>
      <c r="C3436">
        <v>40002</v>
      </c>
      <c r="D3436" t="s">
        <v>5209</v>
      </c>
      <c r="E3436">
        <v>40423</v>
      </c>
      <c r="F3436" t="s">
        <v>1014</v>
      </c>
      <c r="G3436">
        <v>404</v>
      </c>
      <c r="H3436" t="s">
        <v>78</v>
      </c>
      <c r="I3436">
        <v>4</v>
      </c>
      <c r="J3436" t="s">
        <v>75</v>
      </c>
    </row>
    <row r="3437" spans="1:10" x14ac:dyDescent="0.25">
      <c r="A3437" t="s">
        <v>7354</v>
      </c>
      <c r="B3437">
        <f>51257.822550853*(1/100/100)</f>
        <v>5.1257822550853005</v>
      </c>
      <c r="C3437">
        <v>40003</v>
      </c>
      <c r="D3437" t="s">
        <v>4708</v>
      </c>
      <c r="E3437">
        <v>40438</v>
      </c>
      <c r="F3437" t="s">
        <v>5230</v>
      </c>
      <c r="G3437">
        <v>404</v>
      </c>
      <c r="H3437" t="s">
        <v>78</v>
      </c>
      <c r="I3437">
        <v>4</v>
      </c>
      <c r="J3437" t="s">
        <v>75</v>
      </c>
    </row>
    <row r="3438" spans="1:10" x14ac:dyDescent="0.25">
      <c r="A3438" t="s">
        <v>7354</v>
      </c>
      <c r="B3438">
        <f>70225.7913429175*(1/100/100)</f>
        <v>7.0225791342917496</v>
      </c>
      <c r="C3438">
        <v>40004</v>
      </c>
      <c r="D3438" t="s">
        <v>5214</v>
      </c>
      <c r="E3438">
        <v>40427</v>
      </c>
      <c r="F3438" t="s">
        <v>1018</v>
      </c>
      <c r="G3438">
        <v>404</v>
      </c>
      <c r="H3438" t="s">
        <v>78</v>
      </c>
      <c r="I3438">
        <v>4</v>
      </c>
      <c r="J3438" t="s">
        <v>75</v>
      </c>
    </row>
    <row r="3439" spans="1:10" x14ac:dyDescent="0.25">
      <c r="A3439" t="s">
        <v>7354</v>
      </c>
      <c r="B3439">
        <f>494983.174445216*(1/100/100)</f>
        <v>49.498317444521604</v>
      </c>
      <c r="C3439">
        <v>40005</v>
      </c>
      <c r="D3439" t="s">
        <v>995</v>
      </c>
      <c r="E3439">
        <v>40404</v>
      </c>
      <c r="F3439" t="s">
        <v>995</v>
      </c>
      <c r="G3439">
        <v>404</v>
      </c>
      <c r="H3439" t="s">
        <v>78</v>
      </c>
      <c r="I3439">
        <v>4</v>
      </c>
      <c r="J3439" t="s">
        <v>75</v>
      </c>
    </row>
    <row r="3440" spans="1:10" x14ac:dyDescent="0.25">
      <c r="A3440" t="s">
        <v>7354</v>
      </c>
      <c r="B3440">
        <f>121627.137992478*(1/100/100)</f>
        <v>12.1627137992478</v>
      </c>
      <c r="C3440">
        <v>40006</v>
      </c>
      <c r="D3440" t="s">
        <v>4853</v>
      </c>
      <c r="E3440">
        <v>40410</v>
      </c>
      <c r="F3440" t="s">
        <v>1001</v>
      </c>
      <c r="G3440">
        <v>404</v>
      </c>
      <c r="H3440" t="s">
        <v>78</v>
      </c>
      <c r="I3440">
        <v>4</v>
      </c>
      <c r="J3440" t="s">
        <v>75</v>
      </c>
    </row>
    <row r="3441" spans="1:10" x14ac:dyDescent="0.25">
      <c r="A3441" t="s">
        <v>7354</v>
      </c>
      <c r="B3441">
        <f>48590.131801968*(1/100/100)</f>
        <v>4.8590131801967997</v>
      </c>
      <c r="C3441">
        <v>40007</v>
      </c>
      <c r="D3441" t="s">
        <v>5210</v>
      </c>
      <c r="E3441">
        <v>40423</v>
      </c>
      <c r="F3441" t="s">
        <v>1014</v>
      </c>
      <c r="G3441">
        <v>404</v>
      </c>
      <c r="H3441" t="s">
        <v>78</v>
      </c>
      <c r="I3441">
        <v>4</v>
      </c>
      <c r="J3441" t="s">
        <v>75</v>
      </c>
    </row>
    <row r="3442" spans="1:10" x14ac:dyDescent="0.25">
      <c r="A3442" t="s">
        <v>7354</v>
      </c>
      <c r="B3442">
        <f>111176.213965396*(1/100/100)</f>
        <v>11.117621396539601</v>
      </c>
      <c r="C3442">
        <v>40008</v>
      </c>
      <c r="D3442" t="s">
        <v>4322</v>
      </c>
      <c r="E3442">
        <v>40438</v>
      </c>
      <c r="F3442" t="s">
        <v>5230</v>
      </c>
      <c r="G3442">
        <v>404</v>
      </c>
      <c r="H3442" t="s">
        <v>78</v>
      </c>
      <c r="I3442">
        <v>4</v>
      </c>
      <c r="J3442" t="s">
        <v>75</v>
      </c>
    </row>
    <row r="3443" spans="1:10" x14ac:dyDescent="0.25">
      <c r="A3443" t="s">
        <v>7354</v>
      </c>
      <c r="B3443">
        <f>67803.9870737896*(1/100/100)</f>
        <v>6.7803987073789598</v>
      </c>
      <c r="C3443">
        <v>40009</v>
      </c>
      <c r="D3443" t="s">
        <v>5182</v>
      </c>
      <c r="E3443">
        <v>40410</v>
      </c>
      <c r="F3443" t="s">
        <v>1001</v>
      </c>
      <c r="G3443">
        <v>404</v>
      </c>
      <c r="H3443" t="s">
        <v>78</v>
      </c>
      <c r="I3443">
        <v>4</v>
      </c>
      <c r="J3443" t="s">
        <v>75</v>
      </c>
    </row>
    <row r="3444" spans="1:10" x14ac:dyDescent="0.25">
      <c r="A3444" t="s">
        <v>7354</v>
      </c>
      <c r="B3444">
        <f>79880.4208995984*(1/100/100)</f>
        <v>7.9880420899598397</v>
      </c>
      <c r="C3444">
        <v>40010</v>
      </c>
      <c r="D3444" t="s">
        <v>1014</v>
      </c>
      <c r="E3444">
        <v>40423</v>
      </c>
      <c r="F3444" t="s">
        <v>1014</v>
      </c>
      <c r="G3444">
        <v>404</v>
      </c>
      <c r="H3444" t="s">
        <v>78</v>
      </c>
      <c r="I3444">
        <v>4</v>
      </c>
      <c r="J3444" t="s">
        <v>75</v>
      </c>
    </row>
    <row r="3445" spans="1:10" x14ac:dyDescent="0.25">
      <c r="A3445" t="s">
        <v>7354</v>
      </c>
      <c r="B3445">
        <f>288140.602720418*(1/100/100)</f>
        <v>28.814060272041804</v>
      </c>
      <c r="C3445">
        <v>40011</v>
      </c>
      <c r="D3445" t="s">
        <v>5215</v>
      </c>
      <c r="E3445">
        <v>40427</v>
      </c>
      <c r="F3445" t="s">
        <v>1018</v>
      </c>
      <c r="G3445">
        <v>404</v>
      </c>
      <c r="H3445" t="s">
        <v>78</v>
      </c>
      <c r="I3445">
        <v>4</v>
      </c>
      <c r="J3445" t="s">
        <v>75</v>
      </c>
    </row>
    <row r="3446" spans="1:10" x14ac:dyDescent="0.25">
      <c r="A3446" t="s">
        <v>7354</v>
      </c>
      <c r="B3446">
        <f>179100.919694228*(1/100/100)</f>
        <v>17.910091969422801</v>
      </c>
      <c r="C3446">
        <v>40012</v>
      </c>
      <c r="D3446" t="s">
        <v>1018</v>
      </c>
      <c r="E3446">
        <v>40427</v>
      </c>
      <c r="F3446" t="s">
        <v>1018</v>
      </c>
      <c r="G3446">
        <v>404</v>
      </c>
      <c r="H3446" t="s">
        <v>78</v>
      </c>
      <c r="I3446">
        <v>4</v>
      </c>
      <c r="J3446" t="s">
        <v>75</v>
      </c>
    </row>
    <row r="3447" spans="1:10" x14ac:dyDescent="0.25">
      <c r="A3447" t="s">
        <v>7354</v>
      </c>
      <c r="B3447">
        <f>217410.521737142*(1/100/100)</f>
        <v>21.741052173714202</v>
      </c>
      <c r="C3447">
        <v>40013</v>
      </c>
      <c r="D3447" t="s">
        <v>5166</v>
      </c>
      <c r="E3447">
        <v>40404</v>
      </c>
      <c r="F3447" t="s">
        <v>995</v>
      </c>
      <c r="G3447">
        <v>404</v>
      </c>
      <c r="H3447" t="s">
        <v>78</v>
      </c>
      <c r="I3447">
        <v>4</v>
      </c>
      <c r="J3447" t="s">
        <v>75</v>
      </c>
    </row>
    <row r="3448" spans="1:10" x14ac:dyDescent="0.25">
      <c r="A3448" t="s">
        <v>7354</v>
      </c>
      <c r="B3448">
        <f>829530.005528158*(1/100/100)</f>
        <v>82.953000552815809</v>
      </c>
      <c r="C3448">
        <v>40014</v>
      </c>
      <c r="D3448" t="s">
        <v>5167</v>
      </c>
      <c r="E3448">
        <v>40404</v>
      </c>
      <c r="F3448" t="s">
        <v>995</v>
      </c>
      <c r="G3448">
        <v>404</v>
      </c>
      <c r="H3448" t="s">
        <v>78</v>
      </c>
      <c r="I3448">
        <v>4</v>
      </c>
      <c r="J3448" t="s">
        <v>75</v>
      </c>
    </row>
    <row r="3449" spans="1:10" x14ac:dyDescent="0.25">
      <c r="A3449" t="s">
        <v>7354</v>
      </c>
      <c r="B3449">
        <f>76363.5107411872*(1/100/100)</f>
        <v>7.6363510741187204</v>
      </c>
      <c r="C3449">
        <v>40015</v>
      </c>
      <c r="D3449" t="s">
        <v>5183</v>
      </c>
      <c r="E3449">
        <v>40410</v>
      </c>
      <c r="F3449" t="s">
        <v>1001</v>
      </c>
      <c r="G3449">
        <v>404</v>
      </c>
      <c r="H3449" t="s">
        <v>78</v>
      </c>
      <c r="I3449">
        <v>4</v>
      </c>
      <c r="J3449" t="s">
        <v>75</v>
      </c>
    </row>
    <row r="3450" spans="1:10" x14ac:dyDescent="0.25">
      <c r="A3450" t="s">
        <v>7354</v>
      </c>
      <c r="B3450">
        <f>135260.984367232*(1/100/100)</f>
        <v>13.526098436723203</v>
      </c>
      <c r="C3450">
        <v>40016</v>
      </c>
      <c r="D3450" t="s">
        <v>5185</v>
      </c>
      <c r="E3450">
        <v>40412</v>
      </c>
      <c r="F3450" t="s">
        <v>1003</v>
      </c>
      <c r="G3450">
        <v>404</v>
      </c>
      <c r="H3450" t="s">
        <v>78</v>
      </c>
      <c r="I3450">
        <v>4</v>
      </c>
      <c r="J3450" t="s">
        <v>75</v>
      </c>
    </row>
    <row r="3451" spans="1:10" x14ac:dyDescent="0.25">
      <c r="A3451" t="s">
        <v>7354</v>
      </c>
      <c r="B3451">
        <f>112814.528535545*(1/100/100)</f>
        <v>11.281452853554502</v>
      </c>
      <c r="C3451">
        <v>40017</v>
      </c>
      <c r="D3451" t="s">
        <v>2122</v>
      </c>
      <c r="E3451">
        <v>40435</v>
      </c>
      <c r="F3451" t="s">
        <v>5226</v>
      </c>
      <c r="G3451">
        <v>404</v>
      </c>
      <c r="H3451" t="s">
        <v>78</v>
      </c>
      <c r="I3451">
        <v>4</v>
      </c>
      <c r="J3451" t="s">
        <v>75</v>
      </c>
    </row>
    <row r="3452" spans="1:10" x14ac:dyDescent="0.25">
      <c r="A3452" t="s">
        <v>7354</v>
      </c>
      <c r="B3452">
        <f>133935.711230967*(1/100/100)</f>
        <v>13.393571123096701</v>
      </c>
      <c r="C3452">
        <v>40018</v>
      </c>
      <c r="D3452" t="s">
        <v>2595</v>
      </c>
      <c r="E3452">
        <v>40438</v>
      </c>
      <c r="F3452" t="s">
        <v>5230</v>
      </c>
      <c r="G3452">
        <v>404</v>
      </c>
      <c r="H3452" t="s">
        <v>78</v>
      </c>
      <c r="I3452">
        <v>4</v>
      </c>
      <c r="J3452" t="s">
        <v>75</v>
      </c>
    </row>
    <row r="3453" spans="1:10" x14ac:dyDescent="0.25">
      <c r="A3453" t="s">
        <v>7354</v>
      </c>
      <c r="B3453">
        <f>203440.625090688*(1/100/100)</f>
        <v>20.344062509068802</v>
      </c>
      <c r="C3453">
        <v>40019</v>
      </c>
      <c r="D3453" t="s">
        <v>1027</v>
      </c>
      <c r="E3453">
        <v>40442</v>
      </c>
      <c r="F3453" t="s">
        <v>1027</v>
      </c>
      <c r="G3453">
        <v>404</v>
      </c>
      <c r="H3453" t="s">
        <v>78</v>
      </c>
      <c r="I3453">
        <v>4</v>
      </c>
      <c r="J3453" t="s">
        <v>75</v>
      </c>
    </row>
    <row r="3454" spans="1:10" x14ac:dyDescent="0.25">
      <c r="A3454" t="s">
        <v>7354</v>
      </c>
      <c r="B3454">
        <f>112416.65594067*(1/100/100)</f>
        <v>11.241665594066999</v>
      </c>
      <c r="C3454">
        <v>40020</v>
      </c>
      <c r="D3454" t="s">
        <v>5239</v>
      </c>
      <c r="E3454">
        <v>40445</v>
      </c>
      <c r="F3454" t="s">
        <v>1030</v>
      </c>
      <c r="G3454">
        <v>404</v>
      </c>
      <c r="H3454" t="s">
        <v>78</v>
      </c>
      <c r="I3454">
        <v>4</v>
      </c>
      <c r="J3454" t="s">
        <v>75</v>
      </c>
    </row>
    <row r="3455" spans="1:10" x14ac:dyDescent="0.25">
      <c r="A3455" t="s">
        <v>7354</v>
      </c>
      <c r="B3455">
        <f>95420.0447483046*(1/100/100)</f>
        <v>9.5420044748304598</v>
      </c>
      <c r="C3455">
        <v>40101</v>
      </c>
      <c r="D3455" t="s">
        <v>5213</v>
      </c>
      <c r="E3455">
        <v>40426</v>
      </c>
      <c r="F3455" t="s">
        <v>1017</v>
      </c>
      <c r="G3455">
        <v>404</v>
      </c>
      <c r="H3455" t="s">
        <v>78</v>
      </c>
      <c r="I3455">
        <v>4</v>
      </c>
      <c r="J3455" t="s">
        <v>75</v>
      </c>
    </row>
    <row r="3456" spans="1:10" x14ac:dyDescent="0.25">
      <c r="A3456" t="s">
        <v>7354</v>
      </c>
      <c r="B3456">
        <f>80205.159053844*(1/100/100)</f>
        <v>8.0205159053844017</v>
      </c>
      <c r="C3456">
        <v>40102</v>
      </c>
      <c r="D3456" t="s">
        <v>2270</v>
      </c>
      <c r="E3456">
        <v>40407</v>
      </c>
      <c r="F3456" t="s">
        <v>998</v>
      </c>
      <c r="G3456">
        <v>404</v>
      </c>
      <c r="H3456" t="s">
        <v>78</v>
      </c>
      <c r="I3456">
        <v>4</v>
      </c>
      <c r="J3456" t="s">
        <v>75</v>
      </c>
    </row>
    <row r="3457" spans="1:10" x14ac:dyDescent="0.25">
      <c r="A3457" t="s">
        <v>7354</v>
      </c>
      <c r="B3457">
        <f>47177.5899546512*(1/100/100)</f>
        <v>4.71775899546512</v>
      </c>
      <c r="C3457">
        <v>40103</v>
      </c>
      <c r="D3457" t="s">
        <v>994</v>
      </c>
      <c r="E3457">
        <v>40403</v>
      </c>
      <c r="F3457" t="s">
        <v>994</v>
      </c>
      <c r="G3457">
        <v>404</v>
      </c>
      <c r="H3457" t="s">
        <v>78</v>
      </c>
      <c r="I3457">
        <v>4</v>
      </c>
      <c r="J3457" t="s">
        <v>75</v>
      </c>
    </row>
    <row r="3458" spans="1:10" x14ac:dyDescent="0.25">
      <c r="A3458" t="s">
        <v>7354</v>
      </c>
      <c r="B3458">
        <f>47585.425673702*(1/100/100)</f>
        <v>4.7585425673702</v>
      </c>
      <c r="C3458">
        <v>40104</v>
      </c>
      <c r="D3458" t="s">
        <v>5221</v>
      </c>
      <c r="E3458">
        <v>40432</v>
      </c>
      <c r="F3458" t="s">
        <v>1023</v>
      </c>
      <c r="G3458">
        <v>404</v>
      </c>
      <c r="H3458" t="s">
        <v>78</v>
      </c>
      <c r="I3458">
        <v>4</v>
      </c>
      <c r="J3458" t="s">
        <v>75</v>
      </c>
    </row>
    <row r="3459" spans="1:10" x14ac:dyDescent="0.25">
      <c r="A3459" t="s">
        <v>7354</v>
      </c>
      <c r="B3459">
        <f>110796.153720821*(1/100/100)</f>
        <v>11.079615372082101</v>
      </c>
      <c r="C3459">
        <v>40105</v>
      </c>
      <c r="D3459" t="s">
        <v>998</v>
      </c>
      <c r="E3459">
        <v>40407</v>
      </c>
      <c r="F3459" t="s">
        <v>998</v>
      </c>
      <c r="G3459">
        <v>404</v>
      </c>
      <c r="H3459" t="s">
        <v>78</v>
      </c>
      <c r="I3459">
        <v>4</v>
      </c>
      <c r="J3459" t="s">
        <v>75</v>
      </c>
    </row>
    <row r="3460" spans="1:10" x14ac:dyDescent="0.25">
      <c r="A3460" t="s">
        <v>7354</v>
      </c>
      <c r="B3460">
        <f>107601.37256943*(1/100/100)</f>
        <v>10.760137256943</v>
      </c>
      <c r="C3460">
        <v>40106</v>
      </c>
      <c r="D3460" t="s">
        <v>5197</v>
      </c>
      <c r="E3460">
        <v>40418</v>
      </c>
      <c r="F3460" t="s">
        <v>1009</v>
      </c>
      <c r="G3460">
        <v>404</v>
      </c>
      <c r="H3460" t="s">
        <v>78</v>
      </c>
      <c r="I3460">
        <v>4</v>
      </c>
      <c r="J3460" t="s">
        <v>75</v>
      </c>
    </row>
    <row r="3461" spans="1:10" x14ac:dyDescent="0.25">
      <c r="A3461" t="s">
        <v>7354</v>
      </c>
      <c r="B3461">
        <f>55056.9009857522*(1/100/100)</f>
        <v>5.5056900985752204</v>
      </c>
      <c r="C3461">
        <v>40107</v>
      </c>
      <c r="D3461" t="s">
        <v>3112</v>
      </c>
      <c r="E3461">
        <v>40441</v>
      </c>
      <c r="F3461" t="s">
        <v>1026</v>
      </c>
      <c r="G3461">
        <v>404</v>
      </c>
      <c r="H3461" t="s">
        <v>78</v>
      </c>
      <c r="I3461">
        <v>4</v>
      </c>
      <c r="J3461" t="s">
        <v>75</v>
      </c>
    </row>
    <row r="3462" spans="1:10" x14ac:dyDescent="0.25">
      <c r="A3462" t="s">
        <v>7354</v>
      </c>
      <c r="B3462">
        <f>55874.5670766763*(1/100/100)</f>
        <v>5.5874567076676298</v>
      </c>
      <c r="C3462">
        <v>40108</v>
      </c>
      <c r="D3462" t="s">
        <v>4994</v>
      </c>
      <c r="E3462">
        <v>40432</v>
      </c>
      <c r="F3462" t="s">
        <v>1023</v>
      </c>
      <c r="G3462">
        <v>404</v>
      </c>
      <c r="H3462" t="s">
        <v>78</v>
      </c>
      <c r="I3462">
        <v>4</v>
      </c>
      <c r="J3462" t="s">
        <v>75</v>
      </c>
    </row>
    <row r="3463" spans="1:10" x14ac:dyDescent="0.25">
      <c r="A3463" t="s">
        <v>7354</v>
      </c>
      <c r="B3463">
        <f>40233.0206570884*(1/100/100)</f>
        <v>4.0233020657088394</v>
      </c>
      <c r="C3463">
        <v>40109</v>
      </c>
      <c r="D3463" t="s">
        <v>5176</v>
      </c>
      <c r="E3463">
        <v>40407</v>
      </c>
      <c r="F3463" t="s">
        <v>998</v>
      </c>
      <c r="G3463">
        <v>404</v>
      </c>
      <c r="H3463" t="s">
        <v>78</v>
      </c>
      <c r="I3463">
        <v>4</v>
      </c>
      <c r="J3463" t="s">
        <v>75</v>
      </c>
    </row>
    <row r="3464" spans="1:10" x14ac:dyDescent="0.25">
      <c r="A3464" t="s">
        <v>7354</v>
      </c>
      <c r="B3464">
        <f>70809.7491617226*(1/100/100)</f>
        <v>7.080974916172261</v>
      </c>
      <c r="C3464">
        <v>40110</v>
      </c>
      <c r="D3464" t="s">
        <v>2734</v>
      </c>
      <c r="E3464">
        <v>40418</v>
      </c>
      <c r="F3464" t="s">
        <v>1009</v>
      </c>
      <c r="G3464">
        <v>404</v>
      </c>
      <c r="H3464" t="s">
        <v>78</v>
      </c>
      <c r="I3464">
        <v>4</v>
      </c>
      <c r="J3464" t="s">
        <v>75</v>
      </c>
    </row>
    <row r="3465" spans="1:10" x14ac:dyDescent="0.25">
      <c r="A3465" t="s">
        <v>7354</v>
      </c>
      <c r="B3465">
        <f>83710.3049041819*(1/100/100)</f>
        <v>8.3710304904181907</v>
      </c>
      <c r="C3465">
        <v>40111</v>
      </c>
      <c r="D3465" t="s">
        <v>5222</v>
      </c>
      <c r="E3465">
        <v>40432</v>
      </c>
      <c r="F3465" t="s">
        <v>1023</v>
      </c>
      <c r="G3465">
        <v>404</v>
      </c>
      <c r="H3465" t="s">
        <v>78</v>
      </c>
      <c r="I3465">
        <v>4</v>
      </c>
      <c r="J3465" t="s">
        <v>75</v>
      </c>
    </row>
    <row r="3466" spans="1:10" x14ac:dyDescent="0.25">
      <c r="A3466" t="s">
        <v>7354</v>
      </c>
      <c r="B3466">
        <f>48433.0127600882*(1/100/100)</f>
        <v>4.8433012760088197</v>
      </c>
      <c r="C3466">
        <v>40112</v>
      </c>
      <c r="D3466" t="s">
        <v>5165</v>
      </c>
      <c r="E3466">
        <v>40403</v>
      </c>
      <c r="F3466" t="s">
        <v>994</v>
      </c>
      <c r="G3466">
        <v>404</v>
      </c>
      <c r="H3466" t="s">
        <v>78</v>
      </c>
      <c r="I3466">
        <v>4</v>
      </c>
      <c r="J3466" t="s">
        <v>75</v>
      </c>
    </row>
    <row r="3467" spans="1:10" x14ac:dyDescent="0.25">
      <c r="A3467" t="s">
        <v>7354</v>
      </c>
      <c r="B3467">
        <f>88021.217352298*(1/100/100)</f>
        <v>8.8021217352298002</v>
      </c>
      <c r="C3467">
        <v>40113</v>
      </c>
      <c r="D3467" t="s">
        <v>1007</v>
      </c>
      <c r="E3467">
        <v>40416</v>
      </c>
      <c r="F3467" t="s">
        <v>1007</v>
      </c>
      <c r="G3467">
        <v>404</v>
      </c>
      <c r="H3467" t="s">
        <v>78</v>
      </c>
      <c r="I3467">
        <v>4</v>
      </c>
      <c r="J3467" t="s">
        <v>75</v>
      </c>
    </row>
    <row r="3468" spans="1:10" x14ac:dyDescent="0.25">
      <c r="A3468" t="s">
        <v>7354</v>
      </c>
      <c r="B3468">
        <f>164441.941130715*(1/100/100)</f>
        <v>16.4441941130715</v>
      </c>
      <c r="C3468">
        <v>40114</v>
      </c>
      <c r="D3468" t="s">
        <v>5198</v>
      </c>
      <c r="E3468">
        <v>40418</v>
      </c>
      <c r="F3468" t="s">
        <v>1009</v>
      </c>
      <c r="G3468">
        <v>404</v>
      </c>
      <c r="H3468" t="s">
        <v>78</v>
      </c>
      <c r="I3468">
        <v>4</v>
      </c>
      <c r="J3468" t="s">
        <v>75</v>
      </c>
    </row>
    <row r="3469" spans="1:10" x14ac:dyDescent="0.25">
      <c r="A3469" t="s">
        <v>7354</v>
      </c>
      <c r="B3469">
        <f>225618.992855228*(1/100/100)</f>
        <v>22.561899285522799</v>
      </c>
      <c r="C3469">
        <v>40115</v>
      </c>
      <c r="D3469" t="s">
        <v>1009</v>
      </c>
      <c r="E3469">
        <v>40418</v>
      </c>
      <c r="F3469" t="s">
        <v>1009</v>
      </c>
      <c r="G3469">
        <v>404</v>
      </c>
      <c r="H3469" t="s">
        <v>78</v>
      </c>
      <c r="I3469">
        <v>4</v>
      </c>
      <c r="J3469" t="s">
        <v>75</v>
      </c>
    </row>
    <row r="3470" spans="1:10" x14ac:dyDescent="0.25">
      <c r="A3470" t="s">
        <v>7354</v>
      </c>
      <c r="B3470">
        <f>140501.154054989*(1/100/100)</f>
        <v>14.0501154054989</v>
      </c>
      <c r="C3470">
        <v>40116</v>
      </c>
      <c r="D3470" t="s">
        <v>1010</v>
      </c>
      <c r="E3470">
        <v>40419</v>
      </c>
      <c r="F3470" t="s">
        <v>5201</v>
      </c>
      <c r="G3470">
        <v>404</v>
      </c>
      <c r="H3470" t="s">
        <v>78</v>
      </c>
      <c r="I3470">
        <v>4</v>
      </c>
      <c r="J3470" t="s">
        <v>75</v>
      </c>
    </row>
    <row r="3471" spans="1:10" x14ac:dyDescent="0.25">
      <c r="A3471" t="s">
        <v>7354</v>
      </c>
      <c r="B3471">
        <f>599153.716206977*(1/100/100)</f>
        <v>59.915371620697705</v>
      </c>
      <c r="C3471">
        <v>40117</v>
      </c>
      <c r="D3471" t="s">
        <v>1012</v>
      </c>
      <c r="E3471">
        <v>40421</v>
      </c>
      <c r="F3471" t="s">
        <v>1012</v>
      </c>
      <c r="G3471">
        <v>404</v>
      </c>
      <c r="H3471" t="s">
        <v>78</v>
      </c>
      <c r="I3471">
        <v>4</v>
      </c>
      <c r="J3471" t="s">
        <v>75</v>
      </c>
    </row>
    <row r="3472" spans="1:10" x14ac:dyDescent="0.25">
      <c r="A3472" t="s">
        <v>7354</v>
      </c>
      <c r="B3472">
        <f>74559.5543393837*(1/100/100)</f>
        <v>7.45595543393837</v>
      </c>
      <c r="C3472">
        <v>40118</v>
      </c>
      <c r="D3472" t="s">
        <v>5218</v>
      </c>
      <c r="E3472">
        <v>40429</v>
      </c>
      <c r="F3472" t="s">
        <v>1020</v>
      </c>
      <c r="G3472">
        <v>404</v>
      </c>
      <c r="H3472" t="s">
        <v>78</v>
      </c>
      <c r="I3472">
        <v>4</v>
      </c>
      <c r="J3472" t="s">
        <v>75</v>
      </c>
    </row>
    <row r="3473" spans="1:10" x14ac:dyDescent="0.25">
      <c r="A3473" t="s">
        <v>7354</v>
      </c>
      <c r="B3473">
        <f>295631.329155879*(1/100/100)</f>
        <v>29.5631329155879</v>
      </c>
      <c r="C3473">
        <v>40119</v>
      </c>
      <c r="D3473" t="s">
        <v>1017</v>
      </c>
      <c r="E3473">
        <v>40426</v>
      </c>
      <c r="F3473" t="s">
        <v>1017</v>
      </c>
      <c r="G3473">
        <v>404</v>
      </c>
      <c r="H3473" t="s">
        <v>78</v>
      </c>
      <c r="I3473">
        <v>4</v>
      </c>
      <c r="J3473" t="s">
        <v>75</v>
      </c>
    </row>
    <row r="3474" spans="1:10" x14ac:dyDescent="0.25">
      <c r="A3474" t="s">
        <v>7354</v>
      </c>
      <c r="B3474">
        <f>37740.6013173334*(1/100/100)</f>
        <v>3.7740601317333402</v>
      </c>
      <c r="C3474">
        <v>40120</v>
      </c>
      <c r="D3474" t="s">
        <v>5199</v>
      </c>
      <c r="E3474">
        <v>40418</v>
      </c>
      <c r="F3474" t="s">
        <v>1009</v>
      </c>
      <c r="G3474">
        <v>404</v>
      </c>
      <c r="H3474" t="s">
        <v>78</v>
      </c>
      <c r="I3474">
        <v>4</v>
      </c>
      <c r="J3474" t="s">
        <v>75</v>
      </c>
    </row>
    <row r="3475" spans="1:10" x14ac:dyDescent="0.25">
      <c r="A3475" t="s">
        <v>7354</v>
      </c>
      <c r="B3475">
        <f>72335.8860263954*(1/100/100)</f>
        <v>7.2335886026395402</v>
      </c>
      <c r="C3475">
        <v>40121</v>
      </c>
      <c r="D3475" t="s">
        <v>5205</v>
      </c>
      <c r="E3475">
        <v>40420</v>
      </c>
      <c r="F3475" t="s">
        <v>1011</v>
      </c>
      <c r="G3475">
        <v>404</v>
      </c>
      <c r="H3475" t="s">
        <v>78</v>
      </c>
      <c r="I3475">
        <v>4</v>
      </c>
      <c r="J3475" t="s">
        <v>75</v>
      </c>
    </row>
    <row r="3476" spans="1:10" x14ac:dyDescent="0.25">
      <c r="A3476" t="s">
        <v>7354</v>
      </c>
      <c r="B3476">
        <f>102449.201414865*(1/100/100)</f>
        <v>10.244920141486501</v>
      </c>
      <c r="C3476">
        <v>40122</v>
      </c>
      <c r="D3476" t="s">
        <v>5202</v>
      </c>
      <c r="E3476">
        <v>40419</v>
      </c>
      <c r="F3476" t="s">
        <v>5201</v>
      </c>
      <c r="G3476">
        <v>404</v>
      </c>
      <c r="H3476" t="s">
        <v>78</v>
      </c>
      <c r="I3476">
        <v>4</v>
      </c>
      <c r="J3476" t="s">
        <v>75</v>
      </c>
    </row>
    <row r="3477" spans="1:10" x14ac:dyDescent="0.25">
      <c r="A3477" t="s">
        <v>7354</v>
      </c>
      <c r="B3477">
        <f>66814.6434848491*(1/100/100)</f>
        <v>6.6814643484849103</v>
      </c>
      <c r="C3477">
        <v>40123</v>
      </c>
      <c r="D3477" t="s">
        <v>1020</v>
      </c>
      <c r="E3477">
        <v>40429</v>
      </c>
      <c r="F3477" t="s">
        <v>1020</v>
      </c>
      <c r="G3477">
        <v>404</v>
      </c>
      <c r="H3477" t="s">
        <v>78</v>
      </c>
      <c r="I3477">
        <v>4</v>
      </c>
      <c r="J3477" t="s">
        <v>75</v>
      </c>
    </row>
    <row r="3478" spans="1:10" x14ac:dyDescent="0.25">
      <c r="A3478" t="s">
        <v>7354</v>
      </c>
      <c r="B3478">
        <f>69395.4199537079*(1/100/100)</f>
        <v>6.9395419953707904</v>
      </c>
      <c r="C3478">
        <v>40124</v>
      </c>
      <c r="D3478" t="s">
        <v>5219</v>
      </c>
      <c r="E3478">
        <v>40430</v>
      </c>
      <c r="F3478" t="s">
        <v>1021</v>
      </c>
      <c r="G3478">
        <v>404</v>
      </c>
      <c r="H3478" t="s">
        <v>78</v>
      </c>
      <c r="I3478">
        <v>4</v>
      </c>
      <c r="J3478" t="s">
        <v>75</v>
      </c>
    </row>
    <row r="3479" spans="1:10" x14ac:dyDescent="0.25">
      <c r="A3479" t="s">
        <v>7354</v>
      </c>
      <c r="B3479">
        <f>136493.38645053*(1/100/100)</f>
        <v>13.649338645053001</v>
      </c>
      <c r="C3479">
        <v>40125</v>
      </c>
      <c r="D3479" t="s">
        <v>1022</v>
      </c>
      <c r="E3479">
        <v>40431</v>
      </c>
      <c r="F3479" t="s">
        <v>1022</v>
      </c>
      <c r="G3479">
        <v>404</v>
      </c>
      <c r="H3479" t="s">
        <v>78</v>
      </c>
      <c r="I3479">
        <v>4</v>
      </c>
      <c r="J3479" t="s">
        <v>75</v>
      </c>
    </row>
    <row r="3480" spans="1:10" x14ac:dyDescent="0.25">
      <c r="A3480" t="s">
        <v>7354</v>
      </c>
      <c r="B3480">
        <f>127623.209221042*(1/100/100)</f>
        <v>12.7623209221042</v>
      </c>
      <c r="C3480">
        <v>40126</v>
      </c>
      <c r="D3480" t="s">
        <v>3143</v>
      </c>
      <c r="E3480">
        <v>40432</v>
      </c>
      <c r="F3480" t="s">
        <v>1023</v>
      </c>
      <c r="G3480">
        <v>404</v>
      </c>
      <c r="H3480" t="s">
        <v>78</v>
      </c>
      <c r="I3480">
        <v>4</v>
      </c>
      <c r="J3480" t="s">
        <v>75</v>
      </c>
    </row>
    <row r="3481" spans="1:10" x14ac:dyDescent="0.25">
      <c r="A3481" t="s">
        <v>7354</v>
      </c>
      <c r="B3481">
        <f>35442.5860252698*(1/100/100)</f>
        <v>3.54425860252698</v>
      </c>
      <c r="C3481">
        <v>40127</v>
      </c>
      <c r="D3481" t="s">
        <v>5220</v>
      </c>
      <c r="E3481">
        <v>40430</v>
      </c>
      <c r="F3481" t="s">
        <v>1021</v>
      </c>
      <c r="G3481">
        <v>404</v>
      </c>
      <c r="H3481" t="s">
        <v>78</v>
      </c>
      <c r="I3481">
        <v>4</v>
      </c>
      <c r="J3481" t="s">
        <v>75</v>
      </c>
    </row>
    <row r="3482" spans="1:10" x14ac:dyDescent="0.25">
      <c r="A3482" t="s">
        <v>7354</v>
      </c>
      <c r="B3482">
        <f>250042.674178891*(1/100/100)</f>
        <v>25.0042674178891</v>
      </c>
      <c r="C3482">
        <v>40128</v>
      </c>
      <c r="D3482" t="s">
        <v>2862</v>
      </c>
      <c r="E3482">
        <v>40436</v>
      </c>
      <c r="F3482" t="s">
        <v>5227</v>
      </c>
      <c r="G3482">
        <v>404</v>
      </c>
      <c r="H3482" t="s">
        <v>78</v>
      </c>
      <c r="I3482">
        <v>4</v>
      </c>
      <c r="J3482" t="s">
        <v>75</v>
      </c>
    </row>
    <row r="3483" spans="1:10" x14ac:dyDescent="0.25">
      <c r="A3483" t="s">
        <v>7354</v>
      </c>
      <c r="B3483">
        <f>85891.6917719248*(1/100/100)</f>
        <v>8.5891691771924812</v>
      </c>
      <c r="C3483">
        <v>40129</v>
      </c>
      <c r="D3483" t="s">
        <v>5195</v>
      </c>
      <c r="E3483">
        <v>40417</v>
      </c>
      <c r="F3483" t="s">
        <v>1008</v>
      </c>
      <c r="G3483">
        <v>404</v>
      </c>
      <c r="H3483" t="s">
        <v>78</v>
      </c>
      <c r="I3483">
        <v>4</v>
      </c>
      <c r="J3483" t="s">
        <v>75</v>
      </c>
    </row>
    <row r="3484" spans="1:10" x14ac:dyDescent="0.25">
      <c r="A3484" t="s">
        <v>7354</v>
      </c>
      <c r="B3484">
        <f>215408.469756795*(1/100/100)</f>
        <v>21.5408469756795</v>
      </c>
      <c r="C3484">
        <v>40130</v>
      </c>
      <c r="D3484" t="s">
        <v>1026</v>
      </c>
      <c r="E3484">
        <v>40441</v>
      </c>
      <c r="F3484" t="s">
        <v>1026</v>
      </c>
      <c r="G3484">
        <v>404</v>
      </c>
      <c r="H3484" t="s">
        <v>78</v>
      </c>
      <c r="I3484">
        <v>4</v>
      </c>
      <c r="J3484" t="s">
        <v>75</v>
      </c>
    </row>
    <row r="3485" spans="1:10" x14ac:dyDescent="0.25">
      <c r="A3485" t="s">
        <v>7354</v>
      </c>
      <c r="B3485">
        <f>36499.1189012934*(1/100/100)</f>
        <v>3.6499118901293399</v>
      </c>
      <c r="C3485">
        <v>40131</v>
      </c>
      <c r="D3485" t="s">
        <v>5206</v>
      </c>
      <c r="E3485">
        <v>40420</v>
      </c>
      <c r="F3485" t="s">
        <v>1011</v>
      </c>
      <c r="G3485">
        <v>404</v>
      </c>
      <c r="H3485" t="s">
        <v>78</v>
      </c>
      <c r="I3485">
        <v>4</v>
      </c>
      <c r="J3485" t="s">
        <v>75</v>
      </c>
    </row>
    <row r="3486" spans="1:10" x14ac:dyDescent="0.25">
      <c r="A3486" t="s">
        <v>7354</v>
      </c>
      <c r="B3486">
        <f>85306.8340899641*(1/100/100)</f>
        <v>8.5306834089964116</v>
      </c>
      <c r="C3486">
        <v>40132</v>
      </c>
      <c r="D3486" t="s">
        <v>5207</v>
      </c>
      <c r="E3486">
        <v>40420</v>
      </c>
      <c r="F3486" t="s">
        <v>1011</v>
      </c>
      <c r="G3486">
        <v>404</v>
      </c>
      <c r="H3486" t="s">
        <v>78</v>
      </c>
      <c r="I3486">
        <v>4</v>
      </c>
      <c r="J3486" t="s">
        <v>75</v>
      </c>
    </row>
    <row r="3487" spans="1:10" x14ac:dyDescent="0.25">
      <c r="A3487" t="s">
        <v>7354</v>
      </c>
      <c r="B3487">
        <f>69992.2567425818*(1/100/100)</f>
        <v>6.99922567425818</v>
      </c>
      <c r="C3487">
        <v>40133</v>
      </c>
      <c r="D3487" t="s">
        <v>5196</v>
      </c>
      <c r="E3487">
        <v>40417</v>
      </c>
      <c r="F3487" t="s">
        <v>1008</v>
      </c>
      <c r="G3487">
        <v>404</v>
      </c>
      <c r="H3487" t="s">
        <v>78</v>
      </c>
      <c r="I3487">
        <v>4</v>
      </c>
      <c r="J3487" t="s">
        <v>75</v>
      </c>
    </row>
    <row r="3488" spans="1:10" x14ac:dyDescent="0.25">
      <c r="A3488" t="s">
        <v>7354</v>
      </c>
      <c r="B3488">
        <f>78566.4606607885*(1/100/100)</f>
        <v>7.8566460660788513</v>
      </c>
      <c r="C3488">
        <v>40134</v>
      </c>
      <c r="D3488" t="s">
        <v>5203</v>
      </c>
      <c r="E3488">
        <v>40419</v>
      </c>
      <c r="F3488" t="s">
        <v>5201</v>
      </c>
      <c r="G3488">
        <v>404</v>
      </c>
      <c r="H3488" t="s">
        <v>78</v>
      </c>
      <c r="I3488">
        <v>4</v>
      </c>
      <c r="J3488" t="s">
        <v>75</v>
      </c>
    </row>
    <row r="3489" spans="1:10" x14ac:dyDescent="0.25">
      <c r="A3489" t="s">
        <v>7354</v>
      </c>
      <c r="B3489">
        <f>72970.2097705917*(1/100/100)</f>
        <v>7.2970209770591703</v>
      </c>
      <c r="C3489">
        <v>40135</v>
      </c>
      <c r="D3489" t="s">
        <v>5234</v>
      </c>
      <c r="E3489">
        <v>40441</v>
      </c>
      <c r="F3489" t="s">
        <v>1026</v>
      </c>
      <c r="G3489">
        <v>404</v>
      </c>
      <c r="H3489" t="s">
        <v>78</v>
      </c>
      <c r="I3489">
        <v>4</v>
      </c>
      <c r="J3489" t="s">
        <v>75</v>
      </c>
    </row>
    <row r="3490" spans="1:10" x14ac:dyDescent="0.25">
      <c r="A3490" t="s">
        <v>7354</v>
      </c>
      <c r="B3490">
        <f>22132.6609568787*(1/100/100)</f>
        <v>2.21326609568787</v>
      </c>
      <c r="C3490">
        <v>40136</v>
      </c>
      <c r="D3490" t="s">
        <v>5200</v>
      </c>
      <c r="E3490">
        <v>40418</v>
      </c>
      <c r="F3490" t="s">
        <v>1009</v>
      </c>
      <c r="G3490">
        <v>404</v>
      </c>
      <c r="H3490" t="s">
        <v>78</v>
      </c>
      <c r="I3490">
        <v>4</v>
      </c>
      <c r="J3490" t="s">
        <v>75</v>
      </c>
    </row>
    <row r="3491" spans="1:10" x14ac:dyDescent="0.25">
      <c r="A3491" t="s">
        <v>7354</v>
      </c>
      <c r="B3491">
        <f>44691.6024737302*(1/100/100)</f>
        <v>4.4691602473730203</v>
      </c>
      <c r="C3491">
        <v>40137</v>
      </c>
      <c r="D3491" t="s">
        <v>5177</v>
      </c>
      <c r="E3491">
        <v>40407</v>
      </c>
      <c r="F3491" t="s">
        <v>998</v>
      </c>
      <c r="G3491">
        <v>404</v>
      </c>
      <c r="H3491" t="s">
        <v>78</v>
      </c>
      <c r="I3491">
        <v>4</v>
      </c>
      <c r="J3491" t="s">
        <v>75</v>
      </c>
    </row>
    <row r="3492" spans="1:10" x14ac:dyDescent="0.25">
      <c r="A3492" t="s">
        <v>7354</v>
      </c>
      <c r="B3492">
        <f>108554.044034807*(1/100/100)</f>
        <v>10.8554044034807</v>
      </c>
      <c r="C3492">
        <v>40138</v>
      </c>
      <c r="D3492" t="s">
        <v>2771</v>
      </c>
      <c r="E3492">
        <v>40441</v>
      </c>
      <c r="F3492" t="s">
        <v>1026</v>
      </c>
      <c r="G3492">
        <v>404</v>
      </c>
      <c r="H3492" t="s">
        <v>78</v>
      </c>
      <c r="I3492">
        <v>4</v>
      </c>
      <c r="J3492" t="s">
        <v>75</v>
      </c>
    </row>
    <row r="3493" spans="1:10" x14ac:dyDescent="0.25">
      <c r="A3493" t="s">
        <v>7354</v>
      </c>
      <c r="B3493">
        <f>77195.4467374822*(1/100/100)</f>
        <v>7.7195446737482198</v>
      </c>
      <c r="C3493">
        <v>40139</v>
      </c>
      <c r="D3493" t="s">
        <v>5204</v>
      </c>
      <c r="E3493">
        <v>40419</v>
      </c>
      <c r="F3493" t="s">
        <v>5201</v>
      </c>
      <c r="G3493">
        <v>404</v>
      </c>
      <c r="H3493" t="s">
        <v>78</v>
      </c>
      <c r="I3493">
        <v>4</v>
      </c>
      <c r="J3493" t="s">
        <v>75</v>
      </c>
    </row>
    <row r="3494" spans="1:10" x14ac:dyDescent="0.25">
      <c r="A3494" t="s">
        <v>7354</v>
      </c>
      <c r="B3494">
        <f>52319.3618098668*(1/100/100)</f>
        <v>5.23193618098668</v>
      </c>
      <c r="C3494">
        <v>40140</v>
      </c>
      <c r="D3494" t="s">
        <v>2026</v>
      </c>
      <c r="E3494">
        <v>40407</v>
      </c>
      <c r="F3494" t="s">
        <v>998</v>
      </c>
      <c r="G3494">
        <v>404</v>
      </c>
      <c r="H3494" t="s">
        <v>78</v>
      </c>
      <c r="I3494">
        <v>4</v>
      </c>
      <c r="J3494" t="s">
        <v>75</v>
      </c>
    </row>
    <row r="3495" spans="1:10" x14ac:dyDescent="0.25">
      <c r="A3495" t="s">
        <v>7354</v>
      </c>
      <c r="B3495">
        <f>76266.7678035233*(1/100/100)</f>
        <v>7.6266767803523301</v>
      </c>
      <c r="C3495">
        <v>40201</v>
      </c>
      <c r="D3495" t="s">
        <v>992</v>
      </c>
      <c r="E3495">
        <v>40401</v>
      </c>
      <c r="F3495" t="s">
        <v>992</v>
      </c>
      <c r="G3495">
        <v>404</v>
      </c>
      <c r="H3495" t="s">
        <v>78</v>
      </c>
      <c r="I3495">
        <v>4</v>
      </c>
      <c r="J3495" t="s">
        <v>75</v>
      </c>
    </row>
    <row r="3496" spans="1:10" x14ac:dyDescent="0.25">
      <c r="A3496" t="s">
        <v>7354</v>
      </c>
      <c r="B3496">
        <f>161641.696275473*(1/100/100)</f>
        <v>16.164169627547299</v>
      </c>
      <c r="C3496">
        <v>40202</v>
      </c>
      <c r="D3496" t="s">
        <v>993</v>
      </c>
      <c r="E3496">
        <v>40402</v>
      </c>
      <c r="F3496" t="s">
        <v>993</v>
      </c>
      <c r="G3496">
        <v>404</v>
      </c>
      <c r="H3496" t="s">
        <v>78</v>
      </c>
      <c r="I3496">
        <v>4</v>
      </c>
      <c r="J3496" t="s">
        <v>75</v>
      </c>
    </row>
    <row r="3497" spans="1:10" x14ac:dyDescent="0.25">
      <c r="A3497" t="s">
        <v>7354</v>
      </c>
      <c r="B3497">
        <f>39201.5530824059*(1/100/100)</f>
        <v>3.9201553082405902</v>
      </c>
      <c r="C3497">
        <v>40203</v>
      </c>
      <c r="D3497" t="s">
        <v>5168</v>
      </c>
      <c r="E3497">
        <v>40405</v>
      </c>
      <c r="F3497" t="s">
        <v>996</v>
      </c>
      <c r="G3497">
        <v>404</v>
      </c>
      <c r="H3497" t="s">
        <v>78</v>
      </c>
      <c r="I3497">
        <v>4</v>
      </c>
      <c r="J3497" t="s">
        <v>75</v>
      </c>
    </row>
    <row r="3498" spans="1:10" x14ac:dyDescent="0.25">
      <c r="A3498" t="s">
        <v>7354</v>
      </c>
      <c r="B3498">
        <f>44997.9974101468*(1/100/100)</f>
        <v>4.4997997410146802</v>
      </c>
      <c r="C3498">
        <v>40204</v>
      </c>
      <c r="D3498" t="s">
        <v>5193</v>
      </c>
      <c r="E3498">
        <v>40415</v>
      </c>
      <c r="F3498" t="s">
        <v>1006</v>
      </c>
      <c r="G3498">
        <v>404</v>
      </c>
      <c r="H3498" t="s">
        <v>78</v>
      </c>
      <c r="I3498">
        <v>4</v>
      </c>
      <c r="J3498" t="s">
        <v>75</v>
      </c>
    </row>
    <row r="3499" spans="1:10" x14ac:dyDescent="0.25">
      <c r="A3499" t="s">
        <v>7354</v>
      </c>
      <c r="B3499">
        <f>71554.2138119574*(1/100/100)</f>
        <v>7.1554213811957394</v>
      </c>
      <c r="C3499">
        <v>40205</v>
      </c>
      <c r="D3499" t="s">
        <v>5169</v>
      </c>
      <c r="E3499">
        <v>40405</v>
      </c>
      <c r="F3499" t="s">
        <v>996</v>
      </c>
      <c r="G3499">
        <v>404</v>
      </c>
      <c r="H3499" t="s">
        <v>78</v>
      </c>
      <c r="I3499">
        <v>4</v>
      </c>
      <c r="J3499" t="s">
        <v>75</v>
      </c>
    </row>
    <row r="3500" spans="1:10" x14ac:dyDescent="0.25">
      <c r="A3500" t="s">
        <v>7354</v>
      </c>
      <c r="B3500">
        <f>58004.9582871222*(1/100/100)</f>
        <v>5.8004958287122204</v>
      </c>
      <c r="C3500">
        <v>40206</v>
      </c>
      <c r="D3500" t="s">
        <v>5211</v>
      </c>
      <c r="E3500">
        <v>40424</v>
      </c>
      <c r="F3500" t="s">
        <v>1015</v>
      </c>
      <c r="G3500">
        <v>404</v>
      </c>
      <c r="H3500" t="s">
        <v>78</v>
      </c>
      <c r="I3500">
        <v>4</v>
      </c>
      <c r="J3500" t="s">
        <v>75</v>
      </c>
    </row>
    <row r="3501" spans="1:10" x14ac:dyDescent="0.25">
      <c r="A3501" t="s">
        <v>7354</v>
      </c>
      <c r="B3501">
        <f>88427.9360969016*(1/100/100)</f>
        <v>8.84279360969016</v>
      </c>
      <c r="C3501">
        <v>40207</v>
      </c>
      <c r="D3501" t="s">
        <v>1715</v>
      </c>
      <c r="E3501">
        <v>40405</v>
      </c>
      <c r="F3501" t="s">
        <v>996</v>
      </c>
      <c r="G3501">
        <v>404</v>
      </c>
      <c r="H3501" t="s">
        <v>78</v>
      </c>
      <c r="I3501">
        <v>4</v>
      </c>
      <c r="J3501" t="s">
        <v>75</v>
      </c>
    </row>
    <row r="3502" spans="1:10" x14ac:dyDescent="0.25">
      <c r="A3502" t="s">
        <v>7354</v>
      </c>
      <c r="B3502">
        <f>286558.647052728*(1/100/100)</f>
        <v>28.655864705272801</v>
      </c>
      <c r="C3502">
        <v>40208</v>
      </c>
      <c r="D3502" t="s">
        <v>5186</v>
      </c>
      <c r="E3502">
        <v>40413</v>
      </c>
      <c r="F3502" t="s">
        <v>1004</v>
      </c>
      <c r="G3502">
        <v>404</v>
      </c>
      <c r="H3502" t="s">
        <v>78</v>
      </c>
      <c r="I3502">
        <v>4</v>
      </c>
      <c r="J3502" t="s">
        <v>75</v>
      </c>
    </row>
    <row r="3503" spans="1:10" x14ac:dyDescent="0.25">
      <c r="A3503" t="s">
        <v>7354</v>
      </c>
      <c r="B3503">
        <f>205842.254743433*(1/100/100)</f>
        <v>20.584225474343302</v>
      </c>
      <c r="C3503">
        <v>40209</v>
      </c>
      <c r="D3503" t="s">
        <v>5194</v>
      </c>
      <c r="E3503">
        <v>40415</v>
      </c>
      <c r="F3503" t="s">
        <v>1006</v>
      </c>
      <c r="G3503">
        <v>404</v>
      </c>
      <c r="H3503" t="s">
        <v>78</v>
      </c>
      <c r="I3503">
        <v>4</v>
      </c>
      <c r="J3503" t="s">
        <v>75</v>
      </c>
    </row>
    <row r="3504" spans="1:10" x14ac:dyDescent="0.25">
      <c r="A3504" t="s">
        <v>7354</v>
      </c>
      <c r="B3504">
        <f>93975.4987156363*(1/100/100)</f>
        <v>9.3975498715636316</v>
      </c>
      <c r="C3504">
        <v>40210</v>
      </c>
      <c r="D3504" t="s">
        <v>5187</v>
      </c>
      <c r="E3504">
        <v>40413</v>
      </c>
      <c r="F3504" t="s">
        <v>1004</v>
      </c>
      <c r="G3504">
        <v>404</v>
      </c>
      <c r="H3504" t="s">
        <v>78</v>
      </c>
      <c r="I3504">
        <v>4</v>
      </c>
      <c r="J3504" t="s">
        <v>75</v>
      </c>
    </row>
    <row r="3505" spans="1:10" x14ac:dyDescent="0.25">
      <c r="A3505" t="s">
        <v>7354</v>
      </c>
      <c r="B3505">
        <f>82246.6402714313*(1/100/100)</f>
        <v>8.2246640271431311</v>
      </c>
      <c r="C3505">
        <v>40211</v>
      </c>
      <c r="D3505" t="s">
        <v>5240</v>
      </c>
      <c r="E3505">
        <v>40446</v>
      </c>
      <c r="F3505" t="s">
        <v>1031</v>
      </c>
      <c r="G3505">
        <v>404</v>
      </c>
      <c r="H3505" t="s">
        <v>78</v>
      </c>
      <c r="I3505">
        <v>4</v>
      </c>
      <c r="J3505" t="s">
        <v>75</v>
      </c>
    </row>
    <row r="3506" spans="1:10" x14ac:dyDescent="0.25">
      <c r="A3506" t="s">
        <v>7354</v>
      </c>
      <c r="B3506">
        <f>212697.418730567*(1/100/100)</f>
        <v>21.269741873056702</v>
      </c>
      <c r="C3506">
        <v>40212</v>
      </c>
      <c r="D3506" t="s">
        <v>1013</v>
      </c>
      <c r="E3506">
        <v>40422</v>
      </c>
      <c r="F3506" t="s">
        <v>1013</v>
      </c>
      <c r="G3506">
        <v>404</v>
      </c>
      <c r="H3506" t="s">
        <v>78</v>
      </c>
      <c r="I3506">
        <v>4</v>
      </c>
      <c r="J3506" t="s">
        <v>75</v>
      </c>
    </row>
    <row r="3507" spans="1:10" x14ac:dyDescent="0.25">
      <c r="A3507" t="s">
        <v>7354</v>
      </c>
      <c r="B3507">
        <f>75721.8093936307*(1/100/100)</f>
        <v>7.5721809393630704</v>
      </c>
      <c r="C3507">
        <v>40213</v>
      </c>
      <c r="D3507" t="s">
        <v>5163</v>
      </c>
      <c r="E3507">
        <v>40402</v>
      </c>
      <c r="F3507" t="s">
        <v>993</v>
      </c>
      <c r="G3507">
        <v>404</v>
      </c>
      <c r="H3507" t="s">
        <v>78</v>
      </c>
      <c r="I3507">
        <v>4</v>
      </c>
      <c r="J3507" t="s">
        <v>75</v>
      </c>
    </row>
    <row r="3508" spans="1:10" x14ac:dyDescent="0.25">
      <c r="A3508" t="s">
        <v>7354</v>
      </c>
      <c r="B3508">
        <f>79972.0840044353*(1/100/100)</f>
        <v>7.9972084004435295</v>
      </c>
      <c r="C3508">
        <v>40214</v>
      </c>
      <c r="D3508" t="s">
        <v>5170</v>
      </c>
      <c r="E3508">
        <v>40405</v>
      </c>
      <c r="F3508" t="s">
        <v>996</v>
      </c>
      <c r="G3508">
        <v>404</v>
      </c>
      <c r="H3508" t="s">
        <v>78</v>
      </c>
      <c r="I3508">
        <v>4</v>
      </c>
      <c r="J3508" t="s">
        <v>75</v>
      </c>
    </row>
    <row r="3509" spans="1:10" x14ac:dyDescent="0.25">
      <c r="A3509" t="s">
        <v>7354</v>
      </c>
      <c r="B3509">
        <f>53134.128370066*(1/100/100)</f>
        <v>5.3134128370066005</v>
      </c>
      <c r="C3509">
        <v>40215</v>
      </c>
      <c r="D3509" t="s">
        <v>5238</v>
      </c>
      <c r="E3509">
        <v>40444</v>
      </c>
      <c r="F3509" t="s">
        <v>1029</v>
      </c>
      <c r="G3509">
        <v>404</v>
      </c>
      <c r="H3509" t="s">
        <v>78</v>
      </c>
      <c r="I3509">
        <v>4</v>
      </c>
      <c r="J3509" t="s">
        <v>75</v>
      </c>
    </row>
    <row r="3510" spans="1:10" x14ac:dyDescent="0.25">
      <c r="A3510" t="s">
        <v>7354</v>
      </c>
      <c r="B3510">
        <f>169219.745827001*(1/100/100)</f>
        <v>16.921974582700102</v>
      </c>
      <c r="C3510">
        <v>40216</v>
      </c>
      <c r="D3510" t="s">
        <v>5223</v>
      </c>
      <c r="E3510">
        <v>40433</v>
      </c>
      <c r="F3510" t="s">
        <v>1024</v>
      </c>
      <c r="G3510">
        <v>404</v>
      </c>
      <c r="H3510" t="s">
        <v>78</v>
      </c>
      <c r="I3510">
        <v>4</v>
      </c>
      <c r="J3510" t="s">
        <v>75</v>
      </c>
    </row>
    <row r="3511" spans="1:10" x14ac:dyDescent="0.25">
      <c r="A3511" t="s">
        <v>7354</v>
      </c>
      <c r="B3511">
        <f>119184.31423004*(1/100/100)</f>
        <v>11.918431423004002</v>
      </c>
      <c r="C3511">
        <v>40217</v>
      </c>
      <c r="D3511" t="s">
        <v>5224</v>
      </c>
      <c r="E3511">
        <v>40434</v>
      </c>
      <c r="F3511" t="s">
        <v>1025</v>
      </c>
      <c r="G3511">
        <v>404</v>
      </c>
      <c r="H3511" t="s">
        <v>78</v>
      </c>
      <c r="I3511">
        <v>4</v>
      </c>
      <c r="J3511" t="s">
        <v>75</v>
      </c>
    </row>
    <row r="3512" spans="1:10" x14ac:dyDescent="0.25">
      <c r="A3512" t="s">
        <v>7354</v>
      </c>
      <c r="B3512">
        <f>33140.5206133761*(1/100/100)</f>
        <v>3.3140520613376103</v>
      </c>
      <c r="C3512">
        <v>40218</v>
      </c>
      <c r="D3512" t="s">
        <v>5225</v>
      </c>
      <c r="E3512">
        <v>40434</v>
      </c>
      <c r="F3512" t="s">
        <v>1025</v>
      </c>
      <c r="G3512">
        <v>404</v>
      </c>
      <c r="H3512" t="s">
        <v>78</v>
      </c>
      <c r="I3512">
        <v>4</v>
      </c>
      <c r="J3512" t="s">
        <v>75</v>
      </c>
    </row>
    <row r="3513" spans="1:10" x14ac:dyDescent="0.25">
      <c r="A3513" t="s">
        <v>7354</v>
      </c>
      <c r="B3513">
        <f>70335.141794002*(1/100/100)</f>
        <v>7.0335141794002007</v>
      </c>
      <c r="C3513">
        <v>40219</v>
      </c>
      <c r="D3513" t="s">
        <v>5188</v>
      </c>
      <c r="E3513">
        <v>40413</v>
      </c>
      <c r="F3513" t="s">
        <v>1004</v>
      </c>
      <c r="G3513">
        <v>404</v>
      </c>
      <c r="H3513" t="s">
        <v>78</v>
      </c>
      <c r="I3513">
        <v>4</v>
      </c>
      <c r="J3513" t="s">
        <v>75</v>
      </c>
    </row>
    <row r="3514" spans="1:10" x14ac:dyDescent="0.25">
      <c r="A3514" t="s">
        <v>7354</v>
      </c>
      <c r="B3514">
        <f>210719.324751278*(1/100/100)</f>
        <v>21.071932475127802</v>
      </c>
      <c r="C3514">
        <v>40220</v>
      </c>
      <c r="D3514" t="s">
        <v>5171</v>
      </c>
      <c r="E3514">
        <v>40405</v>
      </c>
      <c r="F3514" t="s">
        <v>996</v>
      </c>
      <c r="G3514">
        <v>404</v>
      </c>
      <c r="H3514" t="s">
        <v>78</v>
      </c>
      <c r="I3514">
        <v>4</v>
      </c>
      <c r="J3514" t="s">
        <v>75</v>
      </c>
    </row>
    <row r="3515" spans="1:10" x14ac:dyDescent="0.25">
      <c r="A3515" t="s">
        <v>7354</v>
      </c>
      <c r="B3515">
        <f>61703.6572848203*(1/100/100)</f>
        <v>6.1703657284820306</v>
      </c>
      <c r="C3515">
        <v>40221</v>
      </c>
      <c r="D3515" t="s">
        <v>5233</v>
      </c>
      <c r="E3515">
        <v>40440</v>
      </c>
      <c r="F3515" t="s">
        <v>5233</v>
      </c>
      <c r="G3515">
        <v>404</v>
      </c>
      <c r="H3515" t="s">
        <v>78</v>
      </c>
      <c r="I3515">
        <v>4</v>
      </c>
      <c r="J3515" t="s">
        <v>75</v>
      </c>
    </row>
    <row r="3516" spans="1:10" x14ac:dyDescent="0.25">
      <c r="A3516" t="s">
        <v>7354</v>
      </c>
      <c r="B3516">
        <f>76964.6431517508*(1/100/100)</f>
        <v>7.6964643151750805</v>
      </c>
      <c r="C3516">
        <v>40222</v>
      </c>
      <c r="D3516" t="s">
        <v>1026</v>
      </c>
      <c r="E3516">
        <v>40444</v>
      </c>
      <c r="F3516" t="s">
        <v>1029</v>
      </c>
      <c r="G3516">
        <v>404</v>
      </c>
      <c r="H3516" t="s">
        <v>78</v>
      </c>
      <c r="I3516">
        <v>4</v>
      </c>
      <c r="J3516" t="s">
        <v>75</v>
      </c>
    </row>
    <row r="3517" spans="1:10" x14ac:dyDescent="0.25">
      <c r="A3517" t="s">
        <v>7354</v>
      </c>
      <c r="B3517">
        <f>28353.1974072132*(1/100/100)</f>
        <v>2.83531974072132</v>
      </c>
      <c r="C3517">
        <v>40223</v>
      </c>
      <c r="D3517" t="s">
        <v>5208</v>
      </c>
      <c r="E3517">
        <v>40422</v>
      </c>
      <c r="F3517" t="s">
        <v>1013</v>
      </c>
      <c r="G3517">
        <v>404</v>
      </c>
      <c r="H3517" t="s">
        <v>78</v>
      </c>
      <c r="I3517">
        <v>4</v>
      </c>
      <c r="J3517" t="s">
        <v>75</v>
      </c>
    </row>
    <row r="3518" spans="1:10" x14ac:dyDescent="0.25">
      <c r="A3518" t="s">
        <v>7354</v>
      </c>
      <c r="B3518">
        <f>185836.098838473*(1/100/100)</f>
        <v>18.583609883847302</v>
      </c>
      <c r="C3518">
        <v>40224</v>
      </c>
      <c r="D3518" t="s">
        <v>5161</v>
      </c>
      <c r="E3518">
        <v>40401</v>
      </c>
      <c r="F3518" t="s">
        <v>992</v>
      </c>
      <c r="G3518">
        <v>404</v>
      </c>
      <c r="H3518" t="s">
        <v>78</v>
      </c>
      <c r="I3518">
        <v>4</v>
      </c>
      <c r="J3518" t="s">
        <v>75</v>
      </c>
    </row>
    <row r="3519" spans="1:10" x14ac:dyDescent="0.25">
      <c r="A3519" t="s">
        <v>7354</v>
      </c>
      <c r="B3519">
        <f>36716.3950596165*(1/100/100)</f>
        <v>3.6716395059616502</v>
      </c>
      <c r="C3519">
        <v>40225</v>
      </c>
      <c r="D3519" t="s">
        <v>1490</v>
      </c>
      <c r="E3519">
        <v>40413</v>
      </c>
      <c r="F3519" t="s">
        <v>1004</v>
      </c>
      <c r="G3519">
        <v>404</v>
      </c>
      <c r="H3519" t="s">
        <v>78</v>
      </c>
      <c r="I3519">
        <v>4</v>
      </c>
      <c r="J3519" t="s">
        <v>75</v>
      </c>
    </row>
    <row r="3520" spans="1:10" x14ac:dyDescent="0.25">
      <c r="A3520" t="s">
        <v>7354</v>
      </c>
      <c r="B3520">
        <f>113994.738757883*(1/100/100)</f>
        <v>11.399473875788299</v>
      </c>
      <c r="C3520">
        <v>40226</v>
      </c>
      <c r="D3520" t="s">
        <v>4431</v>
      </c>
      <c r="E3520">
        <v>40424</v>
      </c>
      <c r="F3520" t="s">
        <v>1015</v>
      </c>
      <c r="G3520">
        <v>404</v>
      </c>
      <c r="H3520" t="s">
        <v>78</v>
      </c>
      <c r="I3520">
        <v>4</v>
      </c>
      <c r="J3520" t="s">
        <v>75</v>
      </c>
    </row>
    <row r="3521" spans="1:10" x14ac:dyDescent="0.25">
      <c r="A3521" t="s">
        <v>7354</v>
      </c>
      <c r="B3521">
        <f>214090.667239713*(1/100/100)</f>
        <v>21.4090667239713</v>
      </c>
      <c r="C3521">
        <v>40227</v>
      </c>
      <c r="D3521" t="s">
        <v>5241</v>
      </c>
      <c r="E3521">
        <v>40446</v>
      </c>
      <c r="F3521" t="s">
        <v>1031</v>
      </c>
      <c r="G3521">
        <v>404</v>
      </c>
      <c r="H3521" t="s">
        <v>78</v>
      </c>
      <c r="I3521">
        <v>4</v>
      </c>
      <c r="J3521" t="s">
        <v>75</v>
      </c>
    </row>
    <row r="3522" spans="1:10" x14ac:dyDescent="0.25">
      <c r="A3522" t="s">
        <v>7354</v>
      </c>
      <c r="B3522">
        <f>330297.435026601*(1/100/100)</f>
        <v>33.029743502660104</v>
      </c>
      <c r="C3522">
        <v>40228</v>
      </c>
      <c r="D3522" t="s">
        <v>5162</v>
      </c>
      <c r="E3522">
        <v>40401</v>
      </c>
      <c r="F3522" t="s">
        <v>992</v>
      </c>
      <c r="G3522">
        <v>404</v>
      </c>
      <c r="H3522" t="s">
        <v>78</v>
      </c>
      <c r="I3522">
        <v>4</v>
      </c>
      <c r="J3522" t="s">
        <v>75</v>
      </c>
    </row>
    <row r="3523" spans="1:10" x14ac:dyDescent="0.25">
      <c r="A3523" t="s">
        <v>7354</v>
      </c>
      <c r="B3523">
        <f>164369.241047385*(1/100/100)</f>
        <v>16.436924104738502</v>
      </c>
      <c r="C3523">
        <v>40229</v>
      </c>
      <c r="D3523" t="s">
        <v>5164</v>
      </c>
      <c r="E3523">
        <v>40402</v>
      </c>
      <c r="F3523" t="s">
        <v>993</v>
      </c>
      <c r="G3523">
        <v>404</v>
      </c>
      <c r="H3523" t="s">
        <v>78</v>
      </c>
      <c r="I3523">
        <v>4</v>
      </c>
      <c r="J3523" t="s">
        <v>75</v>
      </c>
    </row>
    <row r="3524" spans="1:10" x14ac:dyDescent="0.25">
      <c r="A3524" t="s">
        <v>7354</v>
      </c>
      <c r="B3524">
        <f>63405.4694569904*(1/100/100)</f>
        <v>6.3405469456990406</v>
      </c>
      <c r="C3524">
        <v>40301</v>
      </c>
      <c r="D3524" t="s">
        <v>5189</v>
      </c>
      <c r="E3524">
        <v>40414</v>
      </c>
      <c r="F3524" t="s">
        <v>1005</v>
      </c>
      <c r="G3524">
        <v>404</v>
      </c>
      <c r="H3524" t="s">
        <v>78</v>
      </c>
      <c r="I3524">
        <v>4</v>
      </c>
      <c r="J3524" t="s">
        <v>75</v>
      </c>
    </row>
    <row r="3525" spans="1:10" x14ac:dyDescent="0.25">
      <c r="A3525" t="s">
        <v>7354</v>
      </c>
      <c r="B3525">
        <f>141871.862107195*(1/100/100)</f>
        <v>14.187186210719499</v>
      </c>
      <c r="C3525">
        <v>40302</v>
      </c>
      <c r="D3525" t="s">
        <v>997</v>
      </c>
      <c r="E3525">
        <v>40406</v>
      </c>
      <c r="F3525" t="s">
        <v>997</v>
      </c>
      <c r="G3525">
        <v>404</v>
      </c>
      <c r="H3525" t="s">
        <v>78</v>
      </c>
      <c r="I3525">
        <v>4</v>
      </c>
      <c r="J3525" t="s">
        <v>75</v>
      </c>
    </row>
    <row r="3526" spans="1:10" x14ac:dyDescent="0.25">
      <c r="A3526" t="s">
        <v>7354</v>
      </c>
      <c r="B3526">
        <f>52411.8432335944*(1/100/100)</f>
        <v>5.2411843233594402</v>
      </c>
      <c r="C3526">
        <v>40303</v>
      </c>
      <c r="D3526" t="s">
        <v>5178</v>
      </c>
      <c r="E3526">
        <v>40408</v>
      </c>
      <c r="F3526" t="s">
        <v>999</v>
      </c>
      <c r="G3526">
        <v>404</v>
      </c>
      <c r="H3526" t="s">
        <v>78</v>
      </c>
      <c r="I3526">
        <v>4</v>
      </c>
      <c r="J3526" t="s">
        <v>75</v>
      </c>
    </row>
    <row r="3527" spans="1:10" x14ac:dyDescent="0.25">
      <c r="A3527" t="s">
        <v>7354</v>
      </c>
      <c r="B3527">
        <f>64521.6293325409*(1/100/100)</f>
        <v>6.4521629332540904</v>
      </c>
      <c r="C3527">
        <v>40304</v>
      </c>
      <c r="D3527" t="s">
        <v>5235</v>
      </c>
      <c r="E3527">
        <v>40443</v>
      </c>
      <c r="F3527" t="s">
        <v>1028</v>
      </c>
      <c r="G3527">
        <v>404</v>
      </c>
      <c r="H3527" t="s">
        <v>78</v>
      </c>
      <c r="I3527">
        <v>4</v>
      </c>
      <c r="J3527" t="s">
        <v>75</v>
      </c>
    </row>
    <row r="3528" spans="1:10" x14ac:dyDescent="0.25">
      <c r="A3528" t="s">
        <v>7354</v>
      </c>
      <c r="B3528">
        <f>87789.3535541728*(1/100/100)</f>
        <v>8.7789353554172802</v>
      </c>
      <c r="C3528">
        <v>40305</v>
      </c>
      <c r="D3528" t="s">
        <v>5216</v>
      </c>
      <c r="E3528">
        <v>40428</v>
      </c>
      <c r="F3528" t="s">
        <v>1019</v>
      </c>
      <c r="G3528">
        <v>404</v>
      </c>
      <c r="H3528" t="s">
        <v>78</v>
      </c>
      <c r="I3528">
        <v>4</v>
      </c>
      <c r="J3528" t="s">
        <v>75</v>
      </c>
    </row>
    <row r="3529" spans="1:10" x14ac:dyDescent="0.25">
      <c r="A3529" t="s">
        <v>7354</v>
      </c>
      <c r="B3529">
        <f>46439.1582284464*(1/100/100)</f>
        <v>4.6439158228446402</v>
      </c>
      <c r="C3529">
        <v>40306</v>
      </c>
      <c r="D3529" t="s">
        <v>5217</v>
      </c>
      <c r="E3529">
        <v>40428</v>
      </c>
      <c r="F3529" t="s">
        <v>1019</v>
      </c>
      <c r="G3529">
        <v>404</v>
      </c>
      <c r="H3529" t="s">
        <v>78</v>
      </c>
      <c r="I3529">
        <v>4</v>
      </c>
      <c r="J3529" t="s">
        <v>75</v>
      </c>
    </row>
    <row r="3530" spans="1:10" x14ac:dyDescent="0.25">
      <c r="A3530" t="s">
        <v>7354</v>
      </c>
      <c r="B3530">
        <f>89457.4411973858*(1/100/100)</f>
        <v>8.9457441197385794</v>
      </c>
      <c r="C3530">
        <v>40307</v>
      </c>
      <c r="D3530" t="s">
        <v>1000</v>
      </c>
      <c r="E3530">
        <v>40409</v>
      </c>
      <c r="F3530" t="s">
        <v>1000</v>
      </c>
      <c r="G3530">
        <v>404</v>
      </c>
      <c r="H3530" t="s">
        <v>78</v>
      </c>
      <c r="I3530">
        <v>4</v>
      </c>
      <c r="J3530" t="s">
        <v>75</v>
      </c>
    </row>
    <row r="3531" spans="1:10" x14ac:dyDescent="0.25">
      <c r="A3531" t="s">
        <v>7354</v>
      </c>
      <c r="B3531">
        <f>93901.959271067*(1/100/100)</f>
        <v>9.3901959271066993</v>
      </c>
      <c r="C3531">
        <v>40308</v>
      </c>
      <c r="D3531" t="s">
        <v>5172</v>
      </c>
      <c r="E3531">
        <v>40406</v>
      </c>
      <c r="F3531" t="s">
        <v>997</v>
      </c>
      <c r="G3531">
        <v>404</v>
      </c>
      <c r="H3531" t="s">
        <v>78</v>
      </c>
      <c r="I3531">
        <v>4</v>
      </c>
      <c r="J3531" t="s">
        <v>75</v>
      </c>
    </row>
    <row r="3532" spans="1:10" x14ac:dyDescent="0.25">
      <c r="A3532" t="s">
        <v>7354</v>
      </c>
      <c r="B3532">
        <f>84207.5553383425*(1/100/100)</f>
        <v>8.4207555338342495</v>
      </c>
      <c r="C3532">
        <v>40309</v>
      </c>
      <c r="D3532" t="s">
        <v>5231</v>
      </c>
      <c r="E3532">
        <v>40439</v>
      </c>
      <c r="F3532" t="s">
        <v>5232</v>
      </c>
      <c r="G3532">
        <v>404</v>
      </c>
      <c r="H3532" t="s">
        <v>78</v>
      </c>
      <c r="I3532">
        <v>4</v>
      </c>
      <c r="J3532" t="s">
        <v>75</v>
      </c>
    </row>
    <row r="3533" spans="1:10" x14ac:dyDescent="0.25">
      <c r="A3533" t="s">
        <v>7354</v>
      </c>
      <c r="B3533">
        <f>92835.0400988494*(1/100/100)</f>
        <v>9.2835040098849397</v>
      </c>
      <c r="C3533">
        <v>40310</v>
      </c>
      <c r="D3533" t="s">
        <v>1002</v>
      </c>
      <c r="E3533">
        <v>40411</v>
      </c>
      <c r="F3533" t="s">
        <v>1002</v>
      </c>
      <c r="G3533">
        <v>404</v>
      </c>
      <c r="H3533" t="s">
        <v>78</v>
      </c>
      <c r="I3533">
        <v>4</v>
      </c>
      <c r="J3533" t="s">
        <v>75</v>
      </c>
    </row>
    <row r="3534" spans="1:10" x14ac:dyDescent="0.25">
      <c r="A3534" t="s">
        <v>7354</v>
      </c>
      <c r="B3534">
        <f>40036.92669093*(1/100/100)</f>
        <v>4.0036926690929997</v>
      </c>
      <c r="C3534">
        <v>40311</v>
      </c>
      <c r="D3534" t="s">
        <v>5173</v>
      </c>
      <c r="E3534">
        <v>40406</v>
      </c>
      <c r="F3534" t="s">
        <v>997</v>
      </c>
      <c r="G3534">
        <v>404</v>
      </c>
      <c r="H3534" t="s">
        <v>78</v>
      </c>
      <c r="I3534">
        <v>4</v>
      </c>
      <c r="J3534" t="s">
        <v>75</v>
      </c>
    </row>
    <row r="3535" spans="1:10" x14ac:dyDescent="0.25">
      <c r="A3535" t="s">
        <v>7354</v>
      </c>
      <c r="B3535">
        <f>38214.6624041184*(1/100/100)</f>
        <v>3.8214662404118398</v>
      </c>
      <c r="C3535">
        <v>40312</v>
      </c>
      <c r="D3535" t="s">
        <v>5174</v>
      </c>
      <c r="E3535">
        <v>40406</v>
      </c>
      <c r="F3535" t="s">
        <v>997</v>
      </c>
      <c r="G3535">
        <v>404</v>
      </c>
      <c r="H3535" t="s">
        <v>78</v>
      </c>
      <c r="I3535">
        <v>4</v>
      </c>
      <c r="J3535" t="s">
        <v>75</v>
      </c>
    </row>
    <row r="3536" spans="1:10" x14ac:dyDescent="0.25">
      <c r="A3536" t="s">
        <v>7354</v>
      </c>
      <c r="B3536">
        <f>118290.766378263*(1/100/100)</f>
        <v>11.829076637826301</v>
      </c>
      <c r="C3536">
        <v>40313</v>
      </c>
      <c r="D3536" t="s">
        <v>5190</v>
      </c>
      <c r="E3536">
        <v>40414</v>
      </c>
      <c r="F3536" t="s">
        <v>1005</v>
      </c>
      <c r="G3536">
        <v>404</v>
      </c>
      <c r="H3536" t="s">
        <v>78</v>
      </c>
      <c r="I3536">
        <v>4</v>
      </c>
      <c r="J3536" t="s">
        <v>75</v>
      </c>
    </row>
    <row r="3537" spans="1:10" x14ac:dyDescent="0.25">
      <c r="A3537" t="s">
        <v>7354</v>
      </c>
      <c r="B3537">
        <f>90469.9250676543*(1/100/100)</f>
        <v>9.0469925067654309</v>
      </c>
      <c r="C3537">
        <v>40314</v>
      </c>
      <c r="D3537" t="s">
        <v>5236</v>
      </c>
      <c r="E3537">
        <v>40443</v>
      </c>
      <c r="F3537" t="s">
        <v>1028</v>
      </c>
      <c r="G3537">
        <v>404</v>
      </c>
      <c r="H3537" t="s">
        <v>78</v>
      </c>
      <c r="I3537">
        <v>4</v>
      </c>
      <c r="J3537" t="s">
        <v>75</v>
      </c>
    </row>
    <row r="3538" spans="1:10" x14ac:dyDescent="0.25">
      <c r="A3538" t="s">
        <v>7354</v>
      </c>
      <c r="B3538">
        <f>76514.1491862004*(1/100/100)</f>
        <v>7.6514149186200404</v>
      </c>
      <c r="C3538">
        <v>40315</v>
      </c>
      <c r="D3538" t="s">
        <v>5179</v>
      </c>
      <c r="E3538">
        <v>40408</v>
      </c>
      <c r="F3538" t="s">
        <v>999</v>
      </c>
      <c r="G3538">
        <v>404</v>
      </c>
      <c r="H3538" t="s">
        <v>78</v>
      </c>
      <c r="I3538">
        <v>4</v>
      </c>
      <c r="J3538" t="s">
        <v>75</v>
      </c>
    </row>
    <row r="3539" spans="1:10" x14ac:dyDescent="0.25">
      <c r="A3539" t="s">
        <v>7354</v>
      </c>
      <c r="B3539">
        <f>167720.127716348*(1/100/100)</f>
        <v>16.772012771634802</v>
      </c>
      <c r="C3539">
        <v>40316</v>
      </c>
      <c r="D3539" t="s">
        <v>5237</v>
      </c>
      <c r="E3539">
        <v>40443</v>
      </c>
      <c r="F3539" t="s">
        <v>1028</v>
      </c>
      <c r="G3539">
        <v>404</v>
      </c>
      <c r="H3539" t="s">
        <v>78</v>
      </c>
      <c r="I3539">
        <v>4</v>
      </c>
      <c r="J3539" t="s">
        <v>75</v>
      </c>
    </row>
    <row r="3540" spans="1:10" x14ac:dyDescent="0.25">
      <c r="A3540" t="s">
        <v>7354</v>
      </c>
      <c r="B3540">
        <f>39163.4376262597*(1/100/100)</f>
        <v>3.9163437626259703</v>
      </c>
      <c r="C3540">
        <v>40317</v>
      </c>
      <c r="D3540" t="s">
        <v>5175</v>
      </c>
      <c r="E3540">
        <v>40406</v>
      </c>
      <c r="F3540" t="s">
        <v>997</v>
      </c>
      <c r="G3540">
        <v>404</v>
      </c>
      <c r="H3540" t="s">
        <v>78</v>
      </c>
      <c r="I3540">
        <v>4</v>
      </c>
      <c r="J3540" t="s">
        <v>75</v>
      </c>
    </row>
    <row r="3541" spans="1:10" x14ac:dyDescent="0.25">
      <c r="A3541" t="s">
        <v>7354</v>
      </c>
      <c r="B3541">
        <f>48342.4964272251*(1/100/100)</f>
        <v>4.8342496427225106</v>
      </c>
      <c r="C3541">
        <v>40318</v>
      </c>
      <c r="D3541" t="s">
        <v>5180</v>
      </c>
      <c r="E3541">
        <v>40409</v>
      </c>
      <c r="F3541" t="s">
        <v>1000</v>
      </c>
      <c r="G3541">
        <v>404</v>
      </c>
      <c r="H3541" t="s">
        <v>78</v>
      </c>
      <c r="I3541">
        <v>4</v>
      </c>
      <c r="J3541" t="s">
        <v>75</v>
      </c>
    </row>
    <row r="3542" spans="1:10" x14ac:dyDescent="0.25">
      <c r="A3542" t="s">
        <v>7354</v>
      </c>
      <c r="B3542">
        <f>153710.193159893*(1/100/100)</f>
        <v>15.371019315989301</v>
      </c>
      <c r="C3542">
        <v>40319</v>
      </c>
      <c r="D3542" t="s">
        <v>1016</v>
      </c>
      <c r="E3542">
        <v>40425</v>
      </c>
      <c r="F3542" t="s">
        <v>1016</v>
      </c>
      <c r="G3542">
        <v>404</v>
      </c>
      <c r="H3542" t="s">
        <v>78</v>
      </c>
      <c r="I3542">
        <v>4</v>
      </c>
      <c r="J3542" t="s">
        <v>75</v>
      </c>
    </row>
    <row r="3543" spans="1:10" x14ac:dyDescent="0.25">
      <c r="A3543" t="s">
        <v>7354</v>
      </c>
      <c r="B3543">
        <f>170790.185818803*(1/100/100)</f>
        <v>17.079018581880302</v>
      </c>
      <c r="C3543">
        <v>40320</v>
      </c>
      <c r="D3543" t="s">
        <v>5191</v>
      </c>
      <c r="E3543">
        <v>40414</v>
      </c>
      <c r="F3543" t="s">
        <v>1005</v>
      </c>
      <c r="G3543">
        <v>404</v>
      </c>
      <c r="H3543" t="s">
        <v>78</v>
      </c>
      <c r="I3543">
        <v>4</v>
      </c>
      <c r="J3543" t="s">
        <v>75</v>
      </c>
    </row>
    <row r="3544" spans="1:10" x14ac:dyDescent="0.25">
      <c r="A3544" t="s">
        <v>7354</v>
      </c>
      <c r="B3544">
        <f>182007.289240356*(1/100/100)</f>
        <v>18.200728924035602</v>
      </c>
      <c r="C3544">
        <v>40321</v>
      </c>
      <c r="D3544" t="s">
        <v>1019</v>
      </c>
      <c r="E3544">
        <v>40428</v>
      </c>
      <c r="F3544" t="s">
        <v>1019</v>
      </c>
      <c r="G3544">
        <v>404</v>
      </c>
      <c r="H3544" t="s">
        <v>78</v>
      </c>
      <c r="I3544">
        <v>4</v>
      </c>
      <c r="J3544" t="s">
        <v>75</v>
      </c>
    </row>
    <row r="3545" spans="1:10" x14ac:dyDescent="0.25">
      <c r="A3545" t="s">
        <v>7354</v>
      </c>
      <c r="B3545">
        <f>124491.321865855*(1/100/100)</f>
        <v>12.449132186585501</v>
      </c>
      <c r="C3545">
        <v>40322</v>
      </c>
      <c r="D3545" t="s">
        <v>3044</v>
      </c>
      <c r="E3545">
        <v>40437</v>
      </c>
      <c r="F3545" t="s">
        <v>3044</v>
      </c>
      <c r="G3545">
        <v>404</v>
      </c>
      <c r="H3545" t="s">
        <v>78</v>
      </c>
      <c r="I3545">
        <v>4</v>
      </c>
      <c r="J3545" t="s">
        <v>75</v>
      </c>
    </row>
    <row r="3546" spans="1:10" x14ac:dyDescent="0.25">
      <c r="A3546" t="s">
        <v>7354</v>
      </c>
      <c r="B3546">
        <f>52908.1770091966*(1/100/100)</f>
        <v>5.2908177009196606</v>
      </c>
      <c r="C3546">
        <v>40323</v>
      </c>
      <c r="D3546" t="s">
        <v>5212</v>
      </c>
      <c r="E3546">
        <v>40425</v>
      </c>
      <c r="F3546" t="s">
        <v>1016</v>
      </c>
      <c r="G3546">
        <v>404</v>
      </c>
      <c r="H3546" t="s">
        <v>78</v>
      </c>
      <c r="I3546">
        <v>4</v>
      </c>
      <c r="J3546" t="s">
        <v>75</v>
      </c>
    </row>
    <row r="3547" spans="1:10" x14ac:dyDescent="0.25">
      <c r="A3547" t="s">
        <v>7354</v>
      </c>
      <c r="B3547">
        <f>48638.169266461*(1/100/100)</f>
        <v>4.8638169266461002</v>
      </c>
      <c r="C3547">
        <v>40324</v>
      </c>
      <c r="D3547" t="s">
        <v>5228</v>
      </c>
      <c r="E3547">
        <v>40437</v>
      </c>
      <c r="F3547" t="s">
        <v>3044</v>
      </c>
      <c r="G3547">
        <v>404</v>
      </c>
      <c r="H3547" t="s">
        <v>78</v>
      </c>
      <c r="I3547">
        <v>4</v>
      </c>
      <c r="J3547" t="s">
        <v>75</v>
      </c>
    </row>
    <row r="3548" spans="1:10" x14ac:dyDescent="0.25">
      <c r="A3548" t="s">
        <v>7354</v>
      </c>
      <c r="B3548">
        <f>149337.996156766*(1/100/100)</f>
        <v>14.9337996156766</v>
      </c>
      <c r="C3548">
        <v>40325</v>
      </c>
      <c r="D3548" t="s">
        <v>5192</v>
      </c>
      <c r="E3548">
        <v>40414</v>
      </c>
      <c r="F3548" t="s">
        <v>1005</v>
      </c>
      <c r="G3548">
        <v>404</v>
      </c>
      <c r="H3548" t="s">
        <v>78</v>
      </c>
      <c r="I3548">
        <v>4</v>
      </c>
      <c r="J3548" t="s">
        <v>75</v>
      </c>
    </row>
    <row r="3549" spans="1:10" x14ac:dyDescent="0.25">
      <c r="A3549" t="s">
        <v>7354</v>
      </c>
      <c r="B3549">
        <f>40580.3711658671*(1/100/100)</f>
        <v>4.0580371165867106</v>
      </c>
      <c r="C3549">
        <v>40326</v>
      </c>
      <c r="D3549" t="s">
        <v>5181</v>
      </c>
      <c r="E3549">
        <v>40409</v>
      </c>
      <c r="F3549" t="s">
        <v>1000</v>
      </c>
      <c r="G3549">
        <v>404</v>
      </c>
      <c r="H3549" t="s">
        <v>78</v>
      </c>
      <c r="I3549">
        <v>4</v>
      </c>
      <c r="J3549" t="s">
        <v>75</v>
      </c>
    </row>
    <row r="3550" spans="1:10" x14ac:dyDescent="0.25">
      <c r="A3550" t="s">
        <v>7354</v>
      </c>
      <c r="B3550">
        <f>175803.416005989*(1/100/100)</f>
        <v>17.580341600598903</v>
      </c>
      <c r="C3550">
        <v>40327</v>
      </c>
      <c r="D3550" t="s">
        <v>5229</v>
      </c>
      <c r="E3550">
        <v>40437</v>
      </c>
      <c r="F3550" t="s">
        <v>3044</v>
      </c>
      <c r="G3550">
        <v>404</v>
      </c>
      <c r="H3550" t="s">
        <v>78</v>
      </c>
      <c r="I3550">
        <v>4</v>
      </c>
      <c r="J3550" t="s">
        <v>75</v>
      </c>
    </row>
    <row r="3551" spans="1:10" x14ac:dyDescent="0.25">
      <c r="A3551" t="s">
        <v>7354</v>
      </c>
      <c r="B3551">
        <f>50441.3131514382*(1/100/100)</f>
        <v>5.0441313151438196</v>
      </c>
      <c r="C3551">
        <v>41001</v>
      </c>
      <c r="D3551" t="s">
        <v>5281</v>
      </c>
      <c r="E3551">
        <v>40618</v>
      </c>
      <c r="F3551" t="s">
        <v>5282</v>
      </c>
      <c r="G3551">
        <v>406</v>
      </c>
      <c r="H3551" t="s">
        <v>80</v>
      </c>
      <c r="I3551">
        <v>4</v>
      </c>
      <c r="J3551" t="s">
        <v>75</v>
      </c>
    </row>
    <row r="3552" spans="1:10" x14ac:dyDescent="0.25">
      <c r="A3552" t="s">
        <v>7354</v>
      </c>
      <c r="B3552">
        <f>680676.999089789*(1/100/100)</f>
        <v>68.067699908978909</v>
      </c>
      <c r="C3552">
        <v>41002</v>
      </c>
      <c r="D3552" t="s">
        <v>80</v>
      </c>
      <c r="E3552">
        <v>40601</v>
      </c>
      <c r="F3552" t="s">
        <v>80</v>
      </c>
      <c r="G3552">
        <v>406</v>
      </c>
      <c r="H3552" t="s">
        <v>80</v>
      </c>
      <c r="I3552">
        <v>4</v>
      </c>
      <c r="J3552" t="s">
        <v>75</v>
      </c>
    </row>
    <row r="3553" spans="1:10" x14ac:dyDescent="0.25">
      <c r="A3553" t="s">
        <v>7354</v>
      </c>
      <c r="B3553">
        <f>123761.336292472*(1/100/100)</f>
        <v>12.376133629247201</v>
      </c>
      <c r="C3553">
        <v>41003</v>
      </c>
      <c r="D3553" t="s">
        <v>1042</v>
      </c>
      <c r="E3553">
        <v>40602</v>
      </c>
      <c r="F3553" t="s">
        <v>1042</v>
      </c>
      <c r="G3553">
        <v>406</v>
      </c>
      <c r="H3553" t="s">
        <v>80</v>
      </c>
      <c r="I3553">
        <v>4</v>
      </c>
      <c r="J3553" t="s">
        <v>75</v>
      </c>
    </row>
    <row r="3554" spans="1:10" x14ac:dyDescent="0.25">
      <c r="A3554" t="s">
        <v>7354</v>
      </c>
      <c r="B3554">
        <f>105600.76208265*(1/100/100)</f>
        <v>10.560076208265</v>
      </c>
      <c r="C3554">
        <v>41004</v>
      </c>
      <c r="D3554" t="s">
        <v>3293</v>
      </c>
      <c r="E3554">
        <v>40605</v>
      </c>
      <c r="F3554" t="s">
        <v>1045</v>
      </c>
      <c r="G3554">
        <v>406</v>
      </c>
      <c r="H3554" t="s">
        <v>80</v>
      </c>
      <c r="I3554">
        <v>4</v>
      </c>
      <c r="J3554" t="s">
        <v>75</v>
      </c>
    </row>
    <row r="3555" spans="1:10" x14ac:dyDescent="0.25">
      <c r="A3555" t="s">
        <v>7354</v>
      </c>
      <c r="B3555">
        <f>22499.4322901835*(1/100/100)</f>
        <v>2.2499432290183501</v>
      </c>
      <c r="C3555">
        <v>41005</v>
      </c>
      <c r="D3555" t="s">
        <v>5275</v>
      </c>
      <c r="E3555">
        <v>40616</v>
      </c>
      <c r="F3555" t="s">
        <v>1056</v>
      </c>
      <c r="G3555">
        <v>406</v>
      </c>
      <c r="H3555" t="s">
        <v>80</v>
      </c>
      <c r="I3555">
        <v>4</v>
      </c>
      <c r="J3555" t="s">
        <v>75</v>
      </c>
    </row>
    <row r="3556" spans="1:10" x14ac:dyDescent="0.25">
      <c r="A3556" t="s">
        <v>7354</v>
      </c>
      <c r="B3556">
        <f>109345.98563803*(1/100/100)</f>
        <v>10.934598563803</v>
      </c>
      <c r="C3556">
        <v>41006</v>
      </c>
      <c r="D3556" t="s">
        <v>5267</v>
      </c>
      <c r="E3556">
        <v>40610</v>
      </c>
      <c r="F3556" t="s">
        <v>1050</v>
      </c>
      <c r="G3556">
        <v>406</v>
      </c>
      <c r="H3556" t="s">
        <v>80</v>
      </c>
      <c r="I3556">
        <v>4</v>
      </c>
      <c r="J3556" t="s">
        <v>75</v>
      </c>
    </row>
    <row r="3557" spans="1:10" x14ac:dyDescent="0.25">
      <c r="A3557" t="s">
        <v>7354</v>
      </c>
      <c r="B3557">
        <f>89646.8574054738*(1/100/100)</f>
        <v>8.964685740547381</v>
      </c>
      <c r="C3557">
        <v>41007</v>
      </c>
      <c r="D3557" t="s">
        <v>600</v>
      </c>
      <c r="E3557">
        <v>40605</v>
      </c>
      <c r="F3557" t="s">
        <v>1045</v>
      </c>
      <c r="G3557">
        <v>406</v>
      </c>
      <c r="H3557" t="s">
        <v>80</v>
      </c>
      <c r="I3557">
        <v>4</v>
      </c>
      <c r="J3557" t="s">
        <v>75</v>
      </c>
    </row>
    <row r="3558" spans="1:10" x14ac:dyDescent="0.25">
      <c r="A3558" t="s">
        <v>7354</v>
      </c>
      <c r="B3558">
        <f>111089.080549997*(1/100/100)</f>
        <v>11.1089080549997</v>
      </c>
      <c r="C3558">
        <v>41008</v>
      </c>
      <c r="D3558" t="s">
        <v>1047</v>
      </c>
      <c r="E3558">
        <v>40607</v>
      </c>
      <c r="F3558" t="s">
        <v>1047</v>
      </c>
      <c r="G3558">
        <v>406</v>
      </c>
      <c r="H3558" t="s">
        <v>80</v>
      </c>
      <c r="I3558">
        <v>4</v>
      </c>
      <c r="J3558" t="s">
        <v>75</v>
      </c>
    </row>
    <row r="3559" spans="1:10" x14ac:dyDescent="0.25">
      <c r="A3559" t="s">
        <v>7354</v>
      </c>
      <c r="B3559">
        <f>124898.432564492*(1/100/100)</f>
        <v>12.4898432564492</v>
      </c>
      <c r="C3559">
        <v>41009</v>
      </c>
      <c r="D3559" t="s">
        <v>2566</v>
      </c>
      <c r="E3559">
        <v>40615</v>
      </c>
      <c r="F3559" t="s">
        <v>1055</v>
      </c>
      <c r="G3559">
        <v>406</v>
      </c>
      <c r="H3559" t="s">
        <v>80</v>
      </c>
      <c r="I3559">
        <v>4</v>
      </c>
      <c r="J3559" t="s">
        <v>75</v>
      </c>
    </row>
    <row r="3560" spans="1:10" x14ac:dyDescent="0.25">
      <c r="A3560" t="s">
        <v>7354</v>
      </c>
      <c r="B3560">
        <f>46102.2648422649*(1/100/100)</f>
        <v>4.61022648422649</v>
      </c>
      <c r="C3560">
        <v>41010</v>
      </c>
      <c r="D3560" t="s">
        <v>5276</v>
      </c>
      <c r="E3560">
        <v>40616</v>
      </c>
      <c r="F3560" t="s">
        <v>1056</v>
      </c>
      <c r="G3560">
        <v>406</v>
      </c>
      <c r="H3560" t="s">
        <v>80</v>
      </c>
      <c r="I3560">
        <v>4</v>
      </c>
      <c r="J3560" t="s">
        <v>75</v>
      </c>
    </row>
    <row r="3561" spans="1:10" x14ac:dyDescent="0.25">
      <c r="A3561" t="s">
        <v>7354</v>
      </c>
      <c r="B3561">
        <f>163104.621122987*(1/100/100)</f>
        <v>16.310462112298701</v>
      </c>
      <c r="C3561">
        <v>41011</v>
      </c>
      <c r="D3561" t="s">
        <v>1049</v>
      </c>
      <c r="E3561">
        <v>40609</v>
      </c>
      <c r="F3561" t="s">
        <v>1049</v>
      </c>
      <c r="G3561">
        <v>406</v>
      </c>
      <c r="H3561" t="s">
        <v>80</v>
      </c>
      <c r="I3561">
        <v>4</v>
      </c>
      <c r="J3561" t="s">
        <v>75</v>
      </c>
    </row>
    <row r="3562" spans="1:10" x14ac:dyDescent="0.25">
      <c r="A3562" t="s">
        <v>7354</v>
      </c>
      <c r="B3562">
        <f>93272.9607549075*(1/100/100)</f>
        <v>9.3272960754907501</v>
      </c>
      <c r="C3562">
        <v>41012</v>
      </c>
      <c r="D3562" t="s">
        <v>1050</v>
      </c>
      <c r="E3562">
        <v>40610</v>
      </c>
      <c r="F3562" t="s">
        <v>1050</v>
      </c>
      <c r="G3562">
        <v>406</v>
      </c>
      <c r="H3562" t="s">
        <v>80</v>
      </c>
      <c r="I3562">
        <v>4</v>
      </c>
      <c r="J3562" t="s">
        <v>75</v>
      </c>
    </row>
    <row r="3563" spans="1:10" x14ac:dyDescent="0.25">
      <c r="A3563" t="s">
        <v>7354</v>
      </c>
      <c r="B3563">
        <f>88520.7357708014*(1/100/100)</f>
        <v>8.8520735770801409</v>
      </c>
      <c r="C3563">
        <v>41013</v>
      </c>
      <c r="D3563" t="s">
        <v>3751</v>
      </c>
      <c r="E3563">
        <v>40602</v>
      </c>
      <c r="F3563" t="s">
        <v>1042</v>
      </c>
      <c r="G3563">
        <v>406</v>
      </c>
      <c r="H3563" t="s">
        <v>80</v>
      </c>
      <c r="I3563">
        <v>4</v>
      </c>
      <c r="J3563" t="s">
        <v>75</v>
      </c>
    </row>
    <row r="3564" spans="1:10" x14ac:dyDescent="0.25">
      <c r="A3564" t="s">
        <v>7354</v>
      </c>
      <c r="B3564">
        <f>66666.6318689491*(1/100/100)</f>
        <v>6.6666631868949109</v>
      </c>
      <c r="C3564">
        <v>41014</v>
      </c>
      <c r="D3564" t="s">
        <v>5283</v>
      </c>
      <c r="E3564">
        <v>40618</v>
      </c>
      <c r="F3564" t="s">
        <v>5282</v>
      </c>
      <c r="G3564">
        <v>406</v>
      </c>
      <c r="H3564" t="s">
        <v>80</v>
      </c>
      <c r="I3564">
        <v>4</v>
      </c>
      <c r="J3564" t="s">
        <v>75</v>
      </c>
    </row>
    <row r="3565" spans="1:10" x14ac:dyDescent="0.25">
      <c r="A3565" t="s">
        <v>7354</v>
      </c>
      <c r="B3565">
        <f>134027.732419994*(1/100/100)</f>
        <v>13.4027732419994</v>
      </c>
      <c r="C3565">
        <v>41015</v>
      </c>
      <c r="D3565" t="s">
        <v>2580</v>
      </c>
      <c r="E3565">
        <v>40612</v>
      </c>
      <c r="F3565" t="s">
        <v>1052</v>
      </c>
      <c r="G3565">
        <v>406</v>
      </c>
      <c r="H3565" t="s">
        <v>80</v>
      </c>
      <c r="I3565">
        <v>4</v>
      </c>
      <c r="J3565" t="s">
        <v>75</v>
      </c>
    </row>
    <row r="3566" spans="1:10" x14ac:dyDescent="0.25">
      <c r="A3566" t="s">
        <v>7354</v>
      </c>
      <c r="B3566">
        <f>99390.3200947742*(1/100/100)</f>
        <v>9.9390320094774207</v>
      </c>
      <c r="C3566">
        <v>41016</v>
      </c>
      <c r="D3566" t="s">
        <v>1052</v>
      </c>
      <c r="E3566">
        <v>40612</v>
      </c>
      <c r="F3566" t="s">
        <v>1052</v>
      </c>
      <c r="G3566">
        <v>406</v>
      </c>
      <c r="H3566" t="s">
        <v>80</v>
      </c>
      <c r="I3566">
        <v>4</v>
      </c>
      <c r="J3566" t="s">
        <v>75</v>
      </c>
    </row>
    <row r="3567" spans="1:10" x14ac:dyDescent="0.25">
      <c r="A3567" t="s">
        <v>7354</v>
      </c>
      <c r="B3567">
        <f>170430.999360308*(1/100/100)</f>
        <v>17.043099936030799</v>
      </c>
      <c r="C3567">
        <v>41017</v>
      </c>
      <c r="D3567" t="s">
        <v>5158</v>
      </c>
      <c r="E3567">
        <v>40607</v>
      </c>
      <c r="F3567" t="s">
        <v>1047</v>
      </c>
      <c r="G3567">
        <v>406</v>
      </c>
      <c r="H3567" t="s">
        <v>80</v>
      </c>
      <c r="I3567">
        <v>4</v>
      </c>
      <c r="J3567" t="s">
        <v>75</v>
      </c>
    </row>
    <row r="3568" spans="1:10" x14ac:dyDescent="0.25">
      <c r="A3568" t="s">
        <v>7354</v>
      </c>
      <c r="B3568">
        <f>54716.5638537311*(1/100/100)</f>
        <v>5.4716563853731106</v>
      </c>
      <c r="C3568">
        <v>41018</v>
      </c>
      <c r="D3568" t="s">
        <v>5277</v>
      </c>
      <c r="E3568">
        <v>40616</v>
      </c>
      <c r="F3568" t="s">
        <v>1056</v>
      </c>
      <c r="G3568">
        <v>406</v>
      </c>
      <c r="H3568" t="s">
        <v>80</v>
      </c>
      <c r="I3568">
        <v>4</v>
      </c>
      <c r="J3568" t="s">
        <v>75</v>
      </c>
    </row>
    <row r="3569" spans="1:10" x14ac:dyDescent="0.25">
      <c r="A3569" t="s">
        <v>7354</v>
      </c>
      <c r="B3569">
        <f>206736.389619196*(1/100/100)</f>
        <v>20.6736389619196</v>
      </c>
      <c r="C3569">
        <v>41019</v>
      </c>
      <c r="D3569" t="s">
        <v>5273</v>
      </c>
      <c r="E3569">
        <v>40615</v>
      </c>
      <c r="F3569" t="s">
        <v>1055</v>
      </c>
      <c r="G3569">
        <v>406</v>
      </c>
      <c r="H3569" t="s">
        <v>80</v>
      </c>
      <c r="I3569">
        <v>4</v>
      </c>
      <c r="J3569" t="s">
        <v>75</v>
      </c>
    </row>
    <row r="3570" spans="1:10" x14ac:dyDescent="0.25">
      <c r="A3570" t="s">
        <v>7354</v>
      </c>
      <c r="B3570">
        <f>63300.7006885336*(1/100/100)</f>
        <v>6.3300700688533604</v>
      </c>
      <c r="C3570">
        <v>41020</v>
      </c>
      <c r="D3570" t="s">
        <v>5257</v>
      </c>
      <c r="E3570">
        <v>40602</v>
      </c>
      <c r="F3570" t="s">
        <v>1042</v>
      </c>
      <c r="G3570">
        <v>406</v>
      </c>
      <c r="H3570" t="s">
        <v>80</v>
      </c>
      <c r="I3570">
        <v>4</v>
      </c>
      <c r="J3570" t="s">
        <v>75</v>
      </c>
    </row>
    <row r="3571" spans="1:10" x14ac:dyDescent="0.25">
      <c r="A3571" t="s">
        <v>7354</v>
      </c>
      <c r="B3571">
        <f>57110.8739169658*(1/100/100)</f>
        <v>5.7110873916965801</v>
      </c>
      <c r="C3571">
        <v>41021</v>
      </c>
      <c r="D3571" t="s">
        <v>5293</v>
      </c>
      <c r="E3571">
        <v>40626</v>
      </c>
      <c r="F3571" t="s">
        <v>1064</v>
      </c>
      <c r="G3571">
        <v>406</v>
      </c>
      <c r="H3571" t="s">
        <v>80</v>
      </c>
      <c r="I3571">
        <v>4</v>
      </c>
      <c r="J3571" t="s">
        <v>75</v>
      </c>
    </row>
    <row r="3572" spans="1:10" x14ac:dyDescent="0.25">
      <c r="A3572" t="s">
        <v>7354</v>
      </c>
      <c r="B3572">
        <f>82140.3427198155*(1/100/100)</f>
        <v>8.21403427198155</v>
      </c>
      <c r="C3572">
        <v>41022</v>
      </c>
      <c r="D3572" t="s">
        <v>1056</v>
      </c>
      <c r="E3572">
        <v>40616</v>
      </c>
      <c r="F3572" t="s">
        <v>1056</v>
      </c>
      <c r="G3572">
        <v>406</v>
      </c>
      <c r="H3572" t="s">
        <v>80</v>
      </c>
      <c r="I3572">
        <v>4</v>
      </c>
      <c r="J3572" t="s">
        <v>75</v>
      </c>
    </row>
    <row r="3573" spans="1:10" x14ac:dyDescent="0.25">
      <c r="A3573" t="s">
        <v>7354</v>
      </c>
      <c r="B3573">
        <f>164704.276712304*(1/100/100)</f>
        <v>16.4704276712304</v>
      </c>
      <c r="C3573">
        <v>41023</v>
      </c>
      <c r="D3573" t="s">
        <v>2468</v>
      </c>
      <c r="E3573">
        <v>40618</v>
      </c>
      <c r="F3573" t="s">
        <v>5282</v>
      </c>
      <c r="G3573">
        <v>406</v>
      </c>
      <c r="H3573" t="s">
        <v>80</v>
      </c>
      <c r="I3573">
        <v>4</v>
      </c>
      <c r="J3573" t="s">
        <v>75</v>
      </c>
    </row>
    <row r="3574" spans="1:10" x14ac:dyDescent="0.25">
      <c r="A3574" t="s">
        <v>7354</v>
      </c>
      <c r="B3574">
        <f>77612.6033034364*(1/100/100)</f>
        <v>7.7612603303436396</v>
      </c>
      <c r="C3574">
        <v>41024</v>
      </c>
      <c r="D3574" t="s">
        <v>5290</v>
      </c>
      <c r="E3574">
        <v>40623</v>
      </c>
      <c r="F3574" t="s">
        <v>1061</v>
      </c>
      <c r="G3574">
        <v>406</v>
      </c>
      <c r="H3574" t="s">
        <v>80</v>
      </c>
      <c r="I3574">
        <v>4</v>
      </c>
      <c r="J3574" t="s">
        <v>75</v>
      </c>
    </row>
    <row r="3575" spans="1:10" x14ac:dyDescent="0.25">
      <c r="A3575" t="s">
        <v>7354</v>
      </c>
      <c r="B3575">
        <f>71079.5565322389*(1/100/100)</f>
        <v>7.1079556532238906</v>
      </c>
      <c r="C3575">
        <v>41025</v>
      </c>
      <c r="D3575" t="s">
        <v>5294</v>
      </c>
      <c r="E3575">
        <v>40626</v>
      </c>
      <c r="F3575" t="s">
        <v>1064</v>
      </c>
      <c r="G3575">
        <v>406</v>
      </c>
      <c r="H3575" t="s">
        <v>80</v>
      </c>
      <c r="I3575">
        <v>4</v>
      </c>
      <c r="J3575" t="s">
        <v>75</v>
      </c>
    </row>
    <row r="3576" spans="1:10" x14ac:dyDescent="0.25">
      <c r="A3576" t="s">
        <v>7354</v>
      </c>
      <c r="B3576">
        <f>152513.162373254*(1/100/100)</f>
        <v>15.251316237325399</v>
      </c>
      <c r="C3576">
        <v>41026</v>
      </c>
      <c r="D3576" t="s">
        <v>5266</v>
      </c>
      <c r="E3576">
        <v>40609</v>
      </c>
      <c r="F3576" t="s">
        <v>1049</v>
      </c>
      <c r="G3576">
        <v>406</v>
      </c>
      <c r="H3576" t="s">
        <v>80</v>
      </c>
      <c r="I3576">
        <v>4</v>
      </c>
      <c r="J3576" t="s">
        <v>75</v>
      </c>
    </row>
    <row r="3577" spans="1:10" x14ac:dyDescent="0.25">
      <c r="A3577" t="s">
        <v>7354</v>
      </c>
      <c r="B3577">
        <f>129435.963519004*(1/100/100)</f>
        <v>12.9435963519004</v>
      </c>
      <c r="C3577">
        <v>41027</v>
      </c>
      <c r="D3577" t="s">
        <v>5274</v>
      </c>
      <c r="E3577">
        <v>40615</v>
      </c>
      <c r="F3577" t="s">
        <v>1055</v>
      </c>
      <c r="G3577">
        <v>406</v>
      </c>
      <c r="H3577" t="s">
        <v>80</v>
      </c>
      <c r="I3577">
        <v>4</v>
      </c>
      <c r="J3577" t="s">
        <v>75</v>
      </c>
    </row>
    <row r="3578" spans="1:10" x14ac:dyDescent="0.25">
      <c r="A3578" t="s">
        <v>7354</v>
      </c>
      <c r="B3578">
        <f>108631.379977715*(1/100/100)</f>
        <v>10.863137997771501</v>
      </c>
      <c r="C3578">
        <v>41028</v>
      </c>
      <c r="D3578" t="s">
        <v>5269</v>
      </c>
      <c r="E3578">
        <v>40612</v>
      </c>
      <c r="F3578" t="s">
        <v>1052</v>
      </c>
      <c r="G3578">
        <v>406</v>
      </c>
      <c r="H3578" t="s">
        <v>80</v>
      </c>
      <c r="I3578">
        <v>4</v>
      </c>
      <c r="J3578" t="s">
        <v>75</v>
      </c>
    </row>
    <row r="3579" spans="1:10" x14ac:dyDescent="0.25">
      <c r="A3579" t="s">
        <v>7354</v>
      </c>
      <c r="B3579">
        <f>149712.811011055*(1/100/100)</f>
        <v>14.9712811011055</v>
      </c>
      <c r="C3579">
        <v>41029</v>
      </c>
      <c r="D3579" t="s">
        <v>1061</v>
      </c>
      <c r="E3579">
        <v>40623</v>
      </c>
      <c r="F3579" t="s">
        <v>1061</v>
      </c>
      <c r="G3579">
        <v>406</v>
      </c>
      <c r="H3579" t="s">
        <v>80</v>
      </c>
      <c r="I3579">
        <v>4</v>
      </c>
      <c r="J3579" t="s">
        <v>75</v>
      </c>
    </row>
    <row r="3580" spans="1:10" x14ac:dyDescent="0.25">
      <c r="A3580" t="s">
        <v>7354</v>
      </c>
      <c r="B3580">
        <f>62821.4538529011*(1/100/100)</f>
        <v>6.2821453852901099</v>
      </c>
      <c r="C3580">
        <v>41030</v>
      </c>
      <c r="D3580" t="s">
        <v>3605</v>
      </c>
      <c r="E3580">
        <v>40609</v>
      </c>
      <c r="F3580" t="s">
        <v>1049</v>
      </c>
      <c r="G3580">
        <v>406</v>
      </c>
      <c r="H3580" t="s">
        <v>80</v>
      </c>
      <c r="I3580">
        <v>4</v>
      </c>
      <c r="J3580" t="s">
        <v>75</v>
      </c>
    </row>
    <row r="3581" spans="1:10" x14ac:dyDescent="0.25">
      <c r="A3581" t="s">
        <v>7354</v>
      </c>
      <c r="B3581">
        <f>152333.852665096*(1/100/100)</f>
        <v>15.2333852665096</v>
      </c>
      <c r="C3581">
        <v>41031</v>
      </c>
      <c r="D3581" t="s">
        <v>1064</v>
      </c>
      <c r="E3581">
        <v>40626</v>
      </c>
      <c r="F3581" t="s">
        <v>1064</v>
      </c>
      <c r="G3581">
        <v>406</v>
      </c>
      <c r="H3581" t="s">
        <v>80</v>
      </c>
      <c r="I3581">
        <v>4</v>
      </c>
      <c r="J3581" t="s">
        <v>75</v>
      </c>
    </row>
    <row r="3582" spans="1:10" x14ac:dyDescent="0.25">
      <c r="A3582" t="s">
        <v>7354</v>
      </c>
      <c r="B3582">
        <f>73273.1926296871*(1/100/100)</f>
        <v>7.3273192629687101</v>
      </c>
      <c r="C3582">
        <v>41032</v>
      </c>
      <c r="D3582" t="s">
        <v>5284</v>
      </c>
      <c r="E3582">
        <v>40618</v>
      </c>
      <c r="F3582" t="s">
        <v>5282</v>
      </c>
      <c r="G3582">
        <v>406</v>
      </c>
      <c r="H3582" t="s">
        <v>80</v>
      </c>
      <c r="I3582">
        <v>4</v>
      </c>
      <c r="J3582" t="s">
        <v>75</v>
      </c>
    </row>
    <row r="3583" spans="1:10" x14ac:dyDescent="0.25">
      <c r="A3583" t="s">
        <v>7354</v>
      </c>
      <c r="B3583">
        <f>101751.774368033*(1/100/100)</f>
        <v>10.175177436803301</v>
      </c>
      <c r="C3583">
        <v>41033</v>
      </c>
      <c r="D3583" t="s">
        <v>5270</v>
      </c>
      <c r="E3583">
        <v>40612</v>
      </c>
      <c r="F3583" t="s">
        <v>1052</v>
      </c>
      <c r="G3583">
        <v>406</v>
      </c>
      <c r="H3583" t="s">
        <v>80</v>
      </c>
      <c r="I3583">
        <v>4</v>
      </c>
      <c r="J3583" t="s">
        <v>75</v>
      </c>
    </row>
    <row r="3584" spans="1:10" x14ac:dyDescent="0.25">
      <c r="A3584" t="s">
        <v>7354</v>
      </c>
      <c r="B3584">
        <f>51922.3409275811*(1/100/100)</f>
        <v>5.1922340927581105</v>
      </c>
      <c r="C3584">
        <v>41034</v>
      </c>
      <c r="D3584" t="s">
        <v>5262</v>
      </c>
      <c r="E3584">
        <v>40607</v>
      </c>
      <c r="F3584" t="s">
        <v>1047</v>
      </c>
      <c r="G3584">
        <v>406</v>
      </c>
      <c r="H3584" t="s">
        <v>80</v>
      </c>
      <c r="I3584">
        <v>4</v>
      </c>
      <c r="J3584" t="s">
        <v>75</v>
      </c>
    </row>
    <row r="3585" spans="1:10" x14ac:dyDescent="0.25">
      <c r="A3585" t="s">
        <v>7354</v>
      </c>
      <c r="B3585">
        <f>136517.629539378*(1/100/100)</f>
        <v>13.6517629539378</v>
      </c>
      <c r="C3585">
        <v>41101</v>
      </c>
      <c r="D3585" t="s">
        <v>1602</v>
      </c>
      <c r="E3585">
        <v>40627</v>
      </c>
      <c r="F3585" t="s">
        <v>1065</v>
      </c>
      <c r="G3585">
        <v>406</v>
      </c>
      <c r="H3585" t="s">
        <v>80</v>
      </c>
      <c r="I3585">
        <v>4</v>
      </c>
      <c r="J3585" t="s">
        <v>75</v>
      </c>
    </row>
    <row r="3586" spans="1:10" x14ac:dyDescent="0.25">
      <c r="A3586" t="s">
        <v>7354</v>
      </c>
      <c r="B3586">
        <f>97220.9753031377*(1/100/100)</f>
        <v>9.7220975303137713</v>
      </c>
      <c r="C3586">
        <v>41102</v>
      </c>
      <c r="D3586" t="s">
        <v>5295</v>
      </c>
      <c r="E3586">
        <v>40627</v>
      </c>
      <c r="F3586" t="s">
        <v>1065</v>
      </c>
      <c r="G3586">
        <v>406</v>
      </c>
      <c r="H3586" t="s">
        <v>80</v>
      </c>
      <c r="I3586">
        <v>4</v>
      </c>
      <c r="J3586" t="s">
        <v>75</v>
      </c>
    </row>
    <row r="3587" spans="1:10" x14ac:dyDescent="0.25">
      <c r="A3587" t="s">
        <v>7354</v>
      </c>
      <c r="B3587">
        <f>129305.340018972*(1/100/100)</f>
        <v>12.9305340018972</v>
      </c>
      <c r="C3587">
        <v>41103</v>
      </c>
      <c r="D3587" t="s">
        <v>5258</v>
      </c>
      <c r="E3587">
        <v>40603</v>
      </c>
      <c r="F3587" t="s">
        <v>1043</v>
      </c>
      <c r="G3587">
        <v>406</v>
      </c>
      <c r="H3587" t="s">
        <v>80</v>
      </c>
      <c r="I3587">
        <v>4</v>
      </c>
      <c r="J3587" t="s">
        <v>75</v>
      </c>
    </row>
    <row r="3588" spans="1:10" x14ac:dyDescent="0.25">
      <c r="A3588" t="s">
        <v>7354</v>
      </c>
      <c r="B3588">
        <f>134164.439358197*(1/100/100)</f>
        <v>13.416443935819702</v>
      </c>
      <c r="C3588">
        <v>41104</v>
      </c>
      <c r="D3588" t="s">
        <v>1043</v>
      </c>
      <c r="E3588">
        <v>40603</v>
      </c>
      <c r="F3588" t="s">
        <v>1043</v>
      </c>
      <c r="G3588">
        <v>406</v>
      </c>
      <c r="H3588" t="s">
        <v>80</v>
      </c>
      <c r="I3588">
        <v>4</v>
      </c>
      <c r="J3588" t="s">
        <v>75</v>
      </c>
    </row>
    <row r="3589" spans="1:10" x14ac:dyDescent="0.25">
      <c r="A3589" t="s">
        <v>7354</v>
      </c>
      <c r="B3589">
        <f>238986.496514335*(1/100/100)</f>
        <v>23.898649651433502</v>
      </c>
      <c r="C3589">
        <v>41105</v>
      </c>
      <c r="D3589" t="s">
        <v>4136</v>
      </c>
      <c r="E3589">
        <v>40604</v>
      </c>
      <c r="F3589" t="s">
        <v>1044</v>
      </c>
      <c r="G3589">
        <v>406</v>
      </c>
      <c r="H3589" t="s">
        <v>80</v>
      </c>
      <c r="I3589">
        <v>4</v>
      </c>
      <c r="J3589" t="s">
        <v>75</v>
      </c>
    </row>
    <row r="3590" spans="1:10" x14ac:dyDescent="0.25">
      <c r="A3590" t="s">
        <v>7354</v>
      </c>
      <c r="B3590">
        <f>79698.383105708*(1/100/100)</f>
        <v>7.9698383105707995</v>
      </c>
      <c r="C3590">
        <v>41106</v>
      </c>
      <c r="D3590" t="s">
        <v>2481</v>
      </c>
      <c r="E3590">
        <v>40620</v>
      </c>
      <c r="F3590" t="s">
        <v>1058</v>
      </c>
      <c r="G3590">
        <v>406</v>
      </c>
      <c r="H3590" t="s">
        <v>80</v>
      </c>
      <c r="I3590">
        <v>4</v>
      </c>
      <c r="J3590" t="s">
        <v>75</v>
      </c>
    </row>
    <row r="3591" spans="1:10" x14ac:dyDescent="0.25">
      <c r="A3591" t="s">
        <v>7354</v>
      </c>
      <c r="B3591">
        <f>84828.2688323192*(1/100/100)</f>
        <v>8.4828268832319207</v>
      </c>
      <c r="C3591">
        <v>41107</v>
      </c>
      <c r="D3591" t="s">
        <v>2376</v>
      </c>
      <c r="E3591">
        <v>40603</v>
      </c>
      <c r="F3591" t="s">
        <v>1043</v>
      </c>
      <c r="G3591">
        <v>406</v>
      </c>
      <c r="H3591" t="s">
        <v>80</v>
      </c>
      <c r="I3591">
        <v>4</v>
      </c>
      <c r="J3591" t="s">
        <v>75</v>
      </c>
    </row>
    <row r="3592" spans="1:10" x14ac:dyDescent="0.25">
      <c r="A3592" t="s">
        <v>7354</v>
      </c>
      <c r="B3592">
        <f>93950.880554729*(1/100/100)</f>
        <v>9.3950880554729004</v>
      </c>
      <c r="C3592">
        <v>41108</v>
      </c>
      <c r="D3592" t="s">
        <v>539</v>
      </c>
      <c r="E3592">
        <v>40627</v>
      </c>
      <c r="F3592" t="s">
        <v>1065</v>
      </c>
      <c r="G3592">
        <v>406</v>
      </c>
      <c r="H3592" t="s">
        <v>80</v>
      </c>
      <c r="I3592">
        <v>4</v>
      </c>
      <c r="J3592" t="s">
        <v>75</v>
      </c>
    </row>
    <row r="3593" spans="1:10" x14ac:dyDescent="0.25">
      <c r="A3593" t="s">
        <v>7354</v>
      </c>
      <c r="B3593">
        <f>144568.289958526*(1/100/100)</f>
        <v>14.4568289958526</v>
      </c>
      <c r="C3593">
        <v>41109</v>
      </c>
      <c r="D3593" t="s">
        <v>5287</v>
      </c>
      <c r="E3593">
        <v>40620</v>
      </c>
      <c r="F3593" t="s">
        <v>1058</v>
      </c>
      <c r="G3593">
        <v>406</v>
      </c>
      <c r="H3593" t="s">
        <v>80</v>
      </c>
      <c r="I3593">
        <v>4</v>
      </c>
      <c r="J3593" t="s">
        <v>75</v>
      </c>
    </row>
    <row r="3594" spans="1:10" x14ac:dyDescent="0.25">
      <c r="A3594" t="s">
        <v>7354</v>
      </c>
      <c r="B3594">
        <f>327596.62241693*(1/100/100)</f>
        <v>32.759662241693</v>
      </c>
      <c r="C3594">
        <v>41110</v>
      </c>
      <c r="D3594" t="s">
        <v>1054</v>
      </c>
      <c r="E3594">
        <v>40614</v>
      </c>
      <c r="F3594" t="s">
        <v>1054</v>
      </c>
      <c r="G3594">
        <v>406</v>
      </c>
      <c r="H3594" t="s">
        <v>80</v>
      </c>
      <c r="I3594">
        <v>4</v>
      </c>
      <c r="J3594" t="s">
        <v>75</v>
      </c>
    </row>
    <row r="3595" spans="1:10" x14ac:dyDescent="0.25">
      <c r="A3595" t="s">
        <v>7354</v>
      </c>
      <c r="B3595">
        <f>94567.3974387492*(1/100/100)</f>
        <v>9.4567397438749214</v>
      </c>
      <c r="C3595">
        <v>41111</v>
      </c>
      <c r="D3595" t="s">
        <v>5271</v>
      </c>
      <c r="E3595">
        <v>40614</v>
      </c>
      <c r="F3595" t="s">
        <v>1054</v>
      </c>
      <c r="G3595">
        <v>406</v>
      </c>
      <c r="H3595" t="s">
        <v>80</v>
      </c>
      <c r="I3595">
        <v>4</v>
      </c>
      <c r="J3595" t="s">
        <v>75</v>
      </c>
    </row>
    <row r="3596" spans="1:10" x14ac:dyDescent="0.25">
      <c r="A3596" t="s">
        <v>7354</v>
      </c>
      <c r="B3596">
        <f>64957.3968546912*(1/100/100)</f>
        <v>6.4957396854691201</v>
      </c>
      <c r="C3596">
        <v>41112</v>
      </c>
      <c r="D3596" t="s">
        <v>5272</v>
      </c>
      <c r="E3596">
        <v>40614</v>
      </c>
      <c r="F3596" t="s">
        <v>1054</v>
      </c>
      <c r="G3596">
        <v>406</v>
      </c>
      <c r="H3596" t="s">
        <v>80</v>
      </c>
      <c r="I3596">
        <v>4</v>
      </c>
      <c r="J3596" t="s">
        <v>75</v>
      </c>
    </row>
    <row r="3597" spans="1:10" x14ac:dyDescent="0.25">
      <c r="A3597" t="s">
        <v>7354</v>
      </c>
      <c r="B3597">
        <f>215324.221051988*(1/100/100)</f>
        <v>21.532422105198801</v>
      </c>
      <c r="C3597">
        <v>41113</v>
      </c>
      <c r="D3597" t="s">
        <v>1058</v>
      </c>
      <c r="E3597">
        <v>40620</v>
      </c>
      <c r="F3597" t="s">
        <v>1058</v>
      </c>
      <c r="G3597">
        <v>406</v>
      </c>
      <c r="H3597" t="s">
        <v>80</v>
      </c>
      <c r="I3597">
        <v>4</v>
      </c>
      <c r="J3597" t="s">
        <v>75</v>
      </c>
    </row>
    <row r="3598" spans="1:10" x14ac:dyDescent="0.25">
      <c r="A3598" t="s">
        <v>7354</v>
      </c>
      <c r="B3598">
        <f>173944.62349832*(1/100/100)</f>
        <v>17.394462349832001</v>
      </c>
      <c r="C3598">
        <v>41114</v>
      </c>
      <c r="D3598" t="s">
        <v>5291</v>
      </c>
      <c r="E3598">
        <v>40624</v>
      </c>
      <c r="F3598" t="s">
        <v>1062</v>
      </c>
      <c r="G3598">
        <v>406</v>
      </c>
      <c r="H3598" t="s">
        <v>80</v>
      </c>
      <c r="I3598">
        <v>4</v>
      </c>
      <c r="J3598" t="s">
        <v>75</v>
      </c>
    </row>
    <row r="3599" spans="1:10" x14ac:dyDescent="0.25">
      <c r="A3599" t="s">
        <v>7354</v>
      </c>
      <c r="B3599">
        <f>214028.833324176*(1/100/100)</f>
        <v>21.402883332417602</v>
      </c>
      <c r="C3599">
        <v>41115</v>
      </c>
      <c r="D3599" t="s">
        <v>1060</v>
      </c>
      <c r="E3599">
        <v>40622</v>
      </c>
      <c r="F3599" t="s">
        <v>1060</v>
      </c>
      <c r="G3599">
        <v>406</v>
      </c>
      <c r="H3599" t="s">
        <v>80</v>
      </c>
      <c r="I3599">
        <v>4</v>
      </c>
      <c r="J3599" t="s">
        <v>75</v>
      </c>
    </row>
    <row r="3600" spans="1:10" x14ac:dyDescent="0.25">
      <c r="A3600" t="s">
        <v>7354</v>
      </c>
      <c r="B3600">
        <f>217693.933370984*(1/100/100)</f>
        <v>21.769393337098403</v>
      </c>
      <c r="C3600">
        <v>41116</v>
      </c>
      <c r="D3600" t="s">
        <v>1062</v>
      </c>
      <c r="E3600">
        <v>40624</v>
      </c>
      <c r="F3600" t="s">
        <v>1062</v>
      </c>
      <c r="G3600">
        <v>406</v>
      </c>
      <c r="H3600" t="s">
        <v>80</v>
      </c>
      <c r="I3600">
        <v>4</v>
      </c>
      <c r="J3600" t="s">
        <v>75</v>
      </c>
    </row>
    <row r="3601" spans="1:10" x14ac:dyDescent="0.25">
      <c r="A3601" t="s">
        <v>7354</v>
      </c>
      <c r="B3601">
        <f>117994.123105329*(1/100/100)</f>
        <v>11.799412310532901</v>
      </c>
      <c r="C3601">
        <v>41117</v>
      </c>
      <c r="D3601" t="s">
        <v>5296</v>
      </c>
      <c r="E3601">
        <v>40627</v>
      </c>
      <c r="F3601" t="s">
        <v>1065</v>
      </c>
      <c r="G3601">
        <v>406</v>
      </c>
      <c r="H3601" t="s">
        <v>80</v>
      </c>
      <c r="I3601">
        <v>4</v>
      </c>
      <c r="J3601" t="s">
        <v>75</v>
      </c>
    </row>
    <row r="3602" spans="1:10" x14ac:dyDescent="0.25">
      <c r="A3602" t="s">
        <v>7354</v>
      </c>
      <c r="B3602">
        <f>39334.0034544743*(1/100/100)</f>
        <v>3.9334003454474304</v>
      </c>
      <c r="C3602">
        <v>41118</v>
      </c>
      <c r="D3602" t="s">
        <v>5259</v>
      </c>
      <c r="E3602">
        <v>40604</v>
      </c>
      <c r="F3602" t="s">
        <v>1044</v>
      </c>
      <c r="G3602">
        <v>406</v>
      </c>
      <c r="H3602" t="s">
        <v>80</v>
      </c>
      <c r="I3602">
        <v>4</v>
      </c>
      <c r="J3602" t="s">
        <v>75</v>
      </c>
    </row>
    <row r="3603" spans="1:10" x14ac:dyDescent="0.25">
      <c r="A3603" t="s">
        <v>7354</v>
      </c>
      <c r="B3603">
        <f>73550.0804119323*(1/100/100)</f>
        <v>7.3550080411932299</v>
      </c>
      <c r="C3603">
        <v>41201</v>
      </c>
      <c r="D3603" t="s">
        <v>4940</v>
      </c>
      <c r="E3603">
        <v>40608</v>
      </c>
      <c r="F3603" t="s">
        <v>1048</v>
      </c>
      <c r="G3603">
        <v>406</v>
      </c>
      <c r="H3603" t="s">
        <v>80</v>
      </c>
      <c r="I3603">
        <v>4</v>
      </c>
      <c r="J3603" t="s">
        <v>75</v>
      </c>
    </row>
    <row r="3604" spans="1:10" x14ac:dyDescent="0.25">
      <c r="A3604" t="s">
        <v>7354</v>
      </c>
      <c r="B3604">
        <f>51272.5998417083*(1/100/100)</f>
        <v>5.1272599841708306</v>
      </c>
      <c r="C3604">
        <v>41202</v>
      </c>
      <c r="D3604" t="s">
        <v>5292</v>
      </c>
      <c r="E3604">
        <v>40625</v>
      </c>
      <c r="F3604" t="s">
        <v>1063</v>
      </c>
      <c r="G3604">
        <v>406</v>
      </c>
      <c r="H3604" t="s">
        <v>80</v>
      </c>
      <c r="I3604">
        <v>4</v>
      </c>
      <c r="J3604" t="s">
        <v>75</v>
      </c>
    </row>
    <row r="3605" spans="1:10" x14ac:dyDescent="0.25">
      <c r="A3605" t="s">
        <v>7354</v>
      </c>
      <c r="B3605">
        <f>73921.0644279185*(1/100/100)</f>
        <v>7.3921064427918513</v>
      </c>
      <c r="C3605">
        <v>41203</v>
      </c>
      <c r="D3605" t="s">
        <v>5278</v>
      </c>
      <c r="E3605">
        <v>40617</v>
      </c>
      <c r="F3605" t="s">
        <v>5279</v>
      </c>
      <c r="G3605">
        <v>406</v>
      </c>
      <c r="H3605" t="s">
        <v>80</v>
      </c>
      <c r="I3605">
        <v>4</v>
      </c>
      <c r="J3605" t="s">
        <v>75</v>
      </c>
    </row>
    <row r="3606" spans="1:10" x14ac:dyDescent="0.25">
      <c r="A3606" t="s">
        <v>7354</v>
      </c>
      <c r="B3606">
        <f>38549.2986783861*(1/100/100)</f>
        <v>3.8549298678386101</v>
      </c>
      <c r="C3606">
        <v>41204</v>
      </c>
      <c r="D3606" t="s">
        <v>4363</v>
      </c>
      <c r="E3606">
        <v>40613</v>
      </c>
      <c r="F3606" t="s">
        <v>1053</v>
      </c>
      <c r="G3606">
        <v>406</v>
      </c>
      <c r="H3606" t="s">
        <v>80</v>
      </c>
      <c r="I3606">
        <v>4</v>
      </c>
      <c r="J3606" t="s">
        <v>75</v>
      </c>
    </row>
    <row r="3607" spans="1:10" x14ac:dyDescent="0.25">
      <c r="A3607" t="s">
        <v>7354</v>
      </c>
      <c r="B3607">
        <f>64837.5126798495*(1/100/100)</f>
        <v>6.4837512679849496</v>
      </c>
      <c r="C3607">
        <v>41205</v>
      </c>
      <c r="D3607" t="s">
        <v>5285</v>
      </c>
      <c r="E3607">
        <v>40619</v>
      </c>
      <c r="F3607" t="s">
        <v>1057</v>
      </c>
      <c r="G3607">
        <v>406</v>
      </c>
      <c r="H3607" t="s">
        <v>80</v>
      </c>
      <c r="I3607">
        <v>4</v>
      </c>
      <c r="J3607" t="s">
        <v>75</v>
      </c>
    </row>
    <row r="3608" spans="1:10" x14ac:dyDescent="0.25">
      <c r="A3608" t="s">
        <v>7354</v>
      </c>
      <c r="B3608">
        <f>122928.027768437*(1/100/100)</f>
        <v>12.2928027768437</v>
      </c>
      <c r="C3608">
        <v>41206</v>
      </c>
      <c r="D3608" t="s">
        <v>1048</v>
      </c>
      <c r="E3608">
        <v>40608</v>
      </c>
      <c r="F3608" t="s">
        <v>1048</v>
      </c>
      <c r="G3608">
        <v>406</v>
      </c>
      <c r="H3608" t="s">
        <v>80</v>
      </c>
      <c r="I3608">
        <v>4</v>
      </c>
      <c r="J3608" t="s">
        <v>75</v>
      </c>
    </row>
    <row r="3609" spans="1:10" x14ac:dyDescent="0.25">
      <c r="A3609" t="s">
        <v>7354</v>
      </c>
      <c r="B3609">
        <f>106711.470124445*(1/100/100)</f>
        <v>10.6711470124445</v>
      </c>
      <c r="C3609">
        <v>41207</v>
      </c>
      <c r="D3609" t="s">
        <v>5288</v>
      </c>
      <c r="E3609">
        <v>40621</v>
      </c>
      <c r="F3609" t="s">
        <v>1059</v>
      </c>
      <c r="G3609">
        <v>406</v>
      </c>
      <c r="H3609" t="s">
        <v>80</v>
      </c>
      <c r="I3609">
        <v>4</v>
      </c>
      <c r="J3609" t="s">
        <v>75</v>
      </c>
    </row>
    <row r="3610" spans="1:10" x14ac:dyDescent="0.25">
      <c r="A3610" t="s">
        <v>7354</v>
      </c>
      <c r="B3610">
        <f>120212.719882296*(1/100/100)</f>
        <v>12.021271988229602</v>
      </c>
      <c r="C3610">
        <v>41208</v>
      </c>
      <c r="D3610" t="s">
        <v>1051</v>
      </c>
      <c r="E3610">
        <v>40611</v>
      </c>
      <c r="F3610" t="s">
        <v>1051</v>
      </c>
      <c r="G3610">
        <v>406</v>
      </c>
      <c r="H3610" t="s">
        <v>80</v>
      </c>
      <c r="I3610">
        <v>4</v>
      </c>
      <c r="J3610" t="s">
        <v>75</v>
      </c>
    </row>
    <row r="3611" spans="1:10" x14ac:dyDescent="0.25">
      <c r="A3611" t="s">
        <v>7354</v>
      </c>
      <c r="B3611">
        <f>28397.983704317*(1/100/100)</f>
        <v>2.8397983704317</v>
      </c>
      <c r="C3611">
        <v>41209</v>
      </c>
      <c r="D3611" t="s">
        <v>5280</v>
      </c>
      <c r="E3611">
        <v>40617</v>
      </c>
      <c r="F3611" t="s">
        <v>5279</v>
      </c>
      <c r="G3611">
        <v>406</v>
      </c>
      <c r="H3611" t="s">
        <v>80</v>
      </c>
      <c r="I3611">
        <v>4</v>
      </c>
      <c r="J3611" t="s">
        <v>75</v>
      </c>
    </row>
    <row r="3612" spans="1:10" x14ac:dyDescent="0.25">
      <c r="A3612" t="s">
        <v>7354</v>
      </c>
      <c r="B3612">
        <f>42230.3200757852*(1/100/100)</f>
        <v>4.2230320075785208</v>
      </c>
      <c r="C3612">
        <v>41210</v>
      </c>
      <c r="D3612" t="s">
        <v>5260</v>
      </c>
      <c r="E3612">
        <v>40606</v>
      </c>
      <c r="F3612" t="s">
        <v>1046</v>
      </c>
      <c r="G3612">
        <v>406</v>
      </c>
      <c r="H3612" t="s">
        <v>80</v>
      </c>
      <c r="I3612">
        <v>4</v>
      </c>
      <c r="J3612" t="s">
        <v>75</v>
      </c>
    </row>
    <row r="3613" spans="1:10" x14ac:dyDescent="0.25">
      <c r="A3613" t="s">
        <v>7354</v>
      </c>
      <c r="B3613">
        <f>83276.0890870268*(1/100/100)</f>
        <v>8.3276089087026808</v>
      </c>
      <c r="C3613">
        <v>41211</v>
      </c>
      <c r="D3613" t="s">
        <v>5263</v>
      </c>
      <c r="E3613">
        <v>40608</v>
      </c>
      <c r="F3613" t="s">
        <v>1048</v>
      </c>
      <c r="G3613">
        <v>406</v>
      </c>
      <c r="H3613" t="s">
        <v>80</v>
      </c>
      <c r="I3613">
        <v>4</v>
      </c>
      <c r="J3613" t="s">
        <v>75</v>
      </c>
    </row>
    <row r="3614" spans="1:10" x14ac:dyDescent="0.25">
      <c r="A3614" t="s">
        <v>7354</v>
      </c>
      <c r="B3614">
        <f>54500.7441675238*(1/100/100)</f>
        <v>5.45007441675238</v>
      </c>
      <c r="C3614">
        <v>41212</v>
      </c>
      <c r="D3614" t="s">
        <v>5264</v>
      </c>
      <c r="E3614">
        <v>40608</v>
      </c>
      <c r="F3614" t="s">
        <v>1048</v>
      </c>
      <c r="G3614">
        <v>406</v>
      </c>
      <c r="H3614" t="s">
        <v>80</v>
      </c>
      <c r="I3614">
        <v>4</v>
      </c>
      <c r="J3614" t="s">
        <v>75</v>
      </c>
    </row>
    <row r="3615" spans="1:10" x14ac:dyDescent="0.25">
      <c r="A3615" t="s">
        <v>7354</v>
      </c>
      <c r="B3615">
        <f>90038.3468993889*(1/100/100)</f>
        <v>9.0038346899388895</v>
      </c>
      <c r="C3615">
        <v>41213</v>
      </c>
      <c r="D3615" t="s">
        <v>5044</v>
      </c>
      <c r="E3615">
        <v>40611</v>
      </c>
      <c r="F3615" t="s">
        <v>1051</v>
      </c>
      <c r="G3615">
        <v>406</v>
      </c>
      <c r="H3615" t="s">
        <v>80</v>
      </c>
      <c r="I3615">
        <v>4</v>
      </c>
      <c r="J3615" t="s">
        <v>75</v>
      </c>
    </row>
    <row r="3616" spans="1:10" x14ac:dyDescent="0.25">
      <c r="A3616" t="s">
        <v>7354</v>
      </c>
      <c r="B3616">
        <f>81943.4426701394*(1/100/100)</f>
        <v>8.1943442670139408</v>
      </c>
      <c r="C3616">
        <v>41214</v>
      </c>
      <c r="D3616" t="s">
        <v>5265</v>
      </c>
      <c r="E3616">
        <v>40608</v>
      </c>
      <c r="F3616" t="s">
        <v>1048</v>
      </c>
      <c r="G3616">
        <v>406</v>
      </c>
      <c r="H3616" t="s">
        <v>80</v>
      </c>
      <c r="I3616">
        <v>4</v>
      </c>
      <c r="J3616" t="s">
        <v>75</v>
      </c>
    </row>
    <row r="3617" spans="1:10" x14ac:dyDescent="0.25">
      <c r="A3617" t="s">
        <v>7354</v>
      </c>
      <c r="B3617">
        <f>100580.82048317*(1/100/100)</f>
        <v>10.058082048317001</v>
      </c>
      <c r="C3617">
        <v>41215</v>
      </c>
      <c r="D3617" t="s">
        <v>1053</v>
      </c>
      <c r="E3617">
        <v>40613</v>
      </c>
      <c r="F3617" t="s">
        <v>1053</v>
      </c>
      <c r="G3617">
        <v>406</v>
      </c>
      <c r="H3617" t="s">
        <v>80</v>
      </c>
      <c r="I3617">
        <v>4</v>
      </c>
      <c r="J3617" t="s">
        <v>75</v>
      </c>
    </row>
    <row r="3618" spans="1:10" x14ac:dyDescent="0.25">
      <c r="A3618" t="s">
        <v>7354</v>
      </c>
      <c r="B3618">
        <f>69997.7694383788*(1/100/100)</f>
        <v>6.9997769438378805</v>
      </c>
      <c r="C3618">
        <v>41216</v>
      </c>
      <c r="D3618" t="s">
        <v>5286</v>
      </c>
      <c r="E3618">
        <v>40619</v>
      </c>
      <c r="F3618" t="s">
        <v>1057</v>
      </c>
      <c r="G3618">
        <v>406</v>
      </c>
      <c r="H3618" t="s">
        <v>80</v>
      </c>
      <c r="I3618">
        <v>4</v>
      </c>
      <c r="J3618" t="s">
        <v>75</v>
      </c>
    </row>
    <row r="3619" spans="1:10" x14ac:dyDescent="0.25">
      <c r="A3619" t="s">
        <v>7354</v>
      </c>
      <c r="B3619">
        <f>102231.639879005*(1/100/100)</f>
        <v>10.223163987900501</v>
      </c>
      <c r="C3619">
        <v>41217</v>
      </c>
      <c r="D3619" t="s">
        <v>2875</v>
      </c>
      <c r="E3619">
        <v>40617</v>
      </c>
      <c r="F3619" t="s">
        <v>5279</v>
      </c>
      <c r="G3619">
        <v>406</v>
      </c>
      <c r="H3619" t="s">
        <v>80</v>
      </c>
      <c r="I3619">
        <v>4</v>
      </c>
      <c r="J3619" t="s">
        <v>75</v>
      </c>
    </row>
    <row r="3620" spans="1:10" x14ac:dyDescent="0.25">
      <c r="A3620" t="s">
        <v>7354</v>
      </c>
      <c r="B3620">
        <f>149934.818972946*(1/100/100)</f>
        <v>14.9934818972946</v>
      </c>
      <c r="C3620">
        <v>41218</v>
      </c>
      <c r="D3620" t="s">
        <v>1057</v>
      </c>
      <c r="E3620">
        <v>40619</v>
      </c>
      <c r="F3620" t="s">
        <v>1057</v>
      </c>
      <c r="G3620">
        <v>406</v>
      </c>
      <c r="H3620" t="s">
        <v>80</v>
      </c>
      <c r="I3620">
        <v>4</v>
      </c>
      <c r="J3620" t="s">
        <v>75</v>
      </c>
    </row>
    <row r="3621" spans="1:10" x14ac:dyDescent="0.25">
      <c r="A3621" t="s">
        <v>7354</v>
      </c>
      <c r="B3621">
        <f>53416.8458805932*(1/100/100)</f>
        <v>5.3416845880593202</v>
      </c>
      <c r="C3621">
        <v>41219</v>
      </c>
      <c r="D3621" t="s">
        <v>5261</v>
      </c>
      <c r="E3621">
        <v>40606</v>
      </c>
      <c r="F3621" t="s">
        <v>1046</v>
      </c>
      <c r="G3621">
        <v>406</v>
      </c>
      <c r="H3621" t="s">
        <v>80</v>
      </c>
      <c r="I3621">
        <v>4</v>
      </c>
      <c r="J3621" t="s">
        <v>75</v>
      </c>
    </row>
    <row r="3622" spans="1:10" x14ac:dyDescent="0.25">
      <c r="A3622" t="s">
        <v>7354</v>
      </c>
      <c r="B3622">
        <f>205619.743863011*(1/100/100)</f>
        <v>20.561974386301102</v>
      </c>
      <c r="C3622">
        <v>41220</v>
      </c>
      <c r="D3622" t="s">
        <v>5289</v>
      </c>
      <c r="E3622">
        <v>40621</v>
      </c>
      <c r="F3622" t="s">
        <v>1059</v>
      </c>
      <c r="G3622">
        <v>406</v>
      </c>
      <c r="H3622" t="s">
        <v>80</v>
      </c>
      <c r="I3622">
        <v>4</v>
      </c>
      <c r="J3622" t="s">
        <v>75</v>
      </c>
    </row>
    <row r="3623" spans="1:10" x14ac:dyDescent="0.25">
      <c r="A3623" t="s">
        <v>7354</v>
      </c>
      <c r="B3623">
        <f>122753.556282074*(1/100/100)</f>
        <v>12.2753556282074</v>
      </c>
      <c r="C3623">
        <v>41221</v>
      </c>
      <c r="D3623" t="s">
        <v>1063</v>
      </c>
      <c r="E3623">
        <v>40625</v>
      </c>
      <c r="F3623" t="s">
        <v>1063</v>
      </c>
      <c r="G3623">
        <v>406</v>
      </c>
      <c r="H3623" t="s">
        <v>80</v>
      </c>
      <c r="I3623">
        <v>4</v>
      </c>
      <c r="J3623" t="s">
        <v>75</v>
      </c>
    </row>
    <row r="3624" spans="1:10" x14ac:dyDescent="0.25">
      <c r="A3624" t="s">
        <v>7354</v>
      </c>
      <c r="B3624">
        <f>109090.916128887*(1/100/100)</f>
        <v>10.9090916128887</v>
      </c>
      <c r="C3624">
        <v>41222</v>
      </c>
      <c r="D3624" t="s">
        <v>5268</v>
      </c>
      <c r="E3624">
        <v>40611</v>
      </c>
      <c r="F3624" t="s">
        <v>1051</v>
      </c>
      <c r="G3624">
        <v>406</v>
      </c>
      <c r="H3624" t="s">
        <v>80</v>
      </c>
      <c r="I3624">
        <v>4</v>
      </c>
      <c r="J3624" t="s">
        <v>75</v>
      </c>
    </row>
    <row r="3625" spans="1:10" x14ac:dyDescent="0.25">
      <c r="A3625" t="s">
        <v>7354</v>
      </c>
      <c r="B3625">
        <f>92916.0198694974*(1/100/100)</f>
        <v>9.2916019869497397</v>
      </c>
      <c r="C3625">
        <v>42001</v>
      </c>
      <c r="D3625" t="s">
        <v>4591</v>
      </c>
      <c r="E3625">
        <v>40703</v>
      </c>
      <c r="F3625" t="s">
        <v>1068</v>
      </c>
      <c r="G3625">
        <v>407</v>
      </c>
      <c r="H3625" t="s">
        <v>81</v>
      </c>
      <c r="I3625">
        <v>4</v>
      </c>
      <c r="J3625" t="s">
        <v>75</v>
      </c>
    </row>
    <row r="3626" spans="1:10" x14ac:dyDescent="0.25">
      <c r="A3626" t="s">
        <v>7354</v>
      </c>
      <c r="B3626">
        <f>148320.702473785*(1/100/100)</f>
        <v>14.832070247378502</v>
      </c>
      <c r="C3626">
        <v>42002</v>
      </c>
      <c r="D3626" t="s">
        <v>1068</v>
      </c>
      <c r="E3626">
        <v>40703</v>
      </c>
      <c r="F3626" t="s">
        <v>1068</v>
      </c>
      <c r="G3626">
        <v>407</v>
      </c>
      <c r="H3626" t="s">
        <v>81</v>
      </c>
      <c r="I3626">
        <v>4</v>
      </c>
      <c r="J3626" t="s">
        <v>75</v>
      </c>
    </row>
    <row r="3627" spans="1:10" x14ac:dyDescent="0.25">
      <c r="A3627" t="s">
        <v>7354</v>
      </c>
      <c r="B3627">
        <f>617702.312148145*(1/100/100)</f>
        <v>61.770231214814508</v>
      </c>
      <c r="C3627">
        <v>42003</v>
      </c>
      <c r="D3627" t="s">
        <v>5313</v>
      </c>
      <c r="E3627">
        <v>40704</v>
      </c>
      <c r="F3627" t="s">
        <v>1069</v>
      </c>
      <c r="G3627">
        <v>407</v>
      </c>
      <c r="H3627" t="s">
        <v>81</v>
      </c>
      <c r="I3627">
        <v>4</v>
      </c>
      <c r="J3627" t="s">
        <v>75</v>
      </c>
    </row>
    <row r="3628" spans="1:10" x14ac:dyDescent="0.25">
      <c r="A3628" t="s">
        <v>7354</v>
      </c>
      <c r="B3628">
        <f>178895.89629833*(1/100/100)</f>
        <v>17.889589629833001</v>
      </c>
      <c r="C3628">
        <v>42004</v>
      </c>
      <c r="D3628" t="s">
        <v>5304</v>
      </c>
      <c r="E3628">
        <v>40702</v>
      </c>
      <c r="F3628" t="s">
        <v>1067</v>
      </c>
      <c r="G3628">
        <v>407</v>
      </c>
      <c r="H3628" t="s">
        <v>81</v>
      </c>
      <c r="I3628">
        <v>4</v>
      </c>
      <c r="J3628" t="s">
        <v>75</v>
      </c>
    </row>
    <row r="3629" spans="1:10" x14ac:dyDescent="0.25">
      <c r="A3629" t="s">
        <v>7354</v>
      </c>
      <c r="B3629">
        <f>224973.122656186*(1/100/100)</f>
        <v>22.4973122656186</v>
      </c>
      <c r="C3629">
        <v>42005</v>
      </c>
      <c r="D3629" t="s">
        <v>1070</v>
      </c>
      <c r="E3629">
        <v>40706</v>
      </c>
      <c r="F3629" t="s">
        <v>1070</v>
      </c>
      <c r="G3629">
        <v>407</v>
      </c>
      <c r="H3629" t="s">
        <v>81</v>
      </c>
      <c r="I3629">
        <v>4</v>
      </c>
      <c r="J3629" t="s">
        <v>75</v>
      </c>
    </row>
    <row r="3630" spans="1:10" x14ac:dyDescent="0.25">
      <c r="A3630" t="s">
        <v>7354</v>
      </c>
      <c r="B3630">
        <f>211763.828824559*(1/100/100)</f>
        <v>21.176382882455901</v>
      </c>
      <c r="C3630">
        <v>42006</v>
      </c>
      <c r="D3630" t="s">
        <v>5308</v>
      </c>
      <c r="E3630">
        <v>40703</v>
      </c>
      <c r="F3630" t="s">
        <v>1068</v>
      </c>
      <c r="G3630">
        <v>407</v>
      </c>
      <c r="H3630" t="s">
        <v>81</v>
      </c>
      <c r="I3630">
        <v>4</v>
      </c>
      <c r="J3630" t="s">
        <v>75</v>
      </c>
    </row>
    <row r="3631" spans="1:10" x14ac:dyDescent="0.25">
      <c r="A3631" t="s">
        <v>7354</v>
      </c>
      <c r="B3631">
        <f>89905.1147455516*(1/100/100)</f>
        <v>8.9905114745551611</v>
      </c>
      <c r="C3631">
        <v>42007</v>
      </c>
      <c r="D3631" t="s">
        <v>1073</v>
      </c>
      <c r="E3631">
        <v>40709</v>
      </c>
      <c r="F3631" t="s">
        <v>1073</v>
      </c>
      <c r="G3631">
        <v>407</v>
      </c>
      <c r="H3631" t="s">
        <v>81</v>
      </c>
      <c r="I3631">
        <v>4</v>
      </c>
      <c r="J3631" t="s">
        <v>75</v>
      </c>
    </row>
    <row r="3632" spans="1:10" x14ac:dyDescent="0.25">
      <c r="A3632" t="s">
        <v>7354</v>
      </c>
      <c r="B3632">
        <f>84133.9904651292*(1/100/100)</f>
        <v>8.4133990465129198</v>
      </c>
      <c r="C3632">
        <v>42008</v>
      </c>
      <c r="D3632" t="s">
        <v>5309</v>
      </c>
      <c r="E3632">
        <v>40703</v>
      </c>
      <c r="F3632" t="s">
        <v>1068</v>
      </c>
      <c r="G3632">
        <v>407</v>
      </c>
      <c r="H3632" t="s">
        <v>81</v>
      </c>
      <c r="I3632">
        <v>4</v>
      </c>
      <c r="J3632" t="s">
        <v>75</v>
      </c>
    </row>
    <row r="3633" spans="1:10" x14ac:dyDescent="0.25">
      <c r="A3633" t="s">
        <v>7354</v>
      </c>
      <c r="B3633">
        <f>123435.741240612*(1/100/100)</f>
        <v>12.343574124061201</v>
      </c>
      <c r="C3633">
        <v>42009</v>
      </c>
      <c r="D3633" t="s">
        <v>2007</v>
      </c>
      <c r="E3633">
        <v>40703</v>
      </c>
      <c r="F3633" t="s">
        <v>1068</v>
      </c>
      <c r="G3633">
        <v>407</v>
      </c>
      <c r="H3633" t="s">
        <v>81</v>
      </c>
      <c r="I3633">
        <v>4</v>
      </c>
      <c r="J3633" t="s">
        <v>75</v>
      </c>
    </row>
    <row r="3634" spans="1:10" x14ac:dyDescent="0.25">
      <c r="A3634" t="s">
        <v>7354</v>
      </c>
      <c r="B3634">
        <f>55451.988832141*(1/100/100)</f>
        <v>5.545198883214101</v>
      </c>
      <c r="C3634">
        <v>42010</v>
      </c>
      <c r="D3634" t="s">
        <v>5314</v>
      </c>
      <c r="E3634">
        <v>40704</v>
      </c>
      <c r="F3634" t="s">
        <v>1069</v>
      </c>
      <c r="G3634">
        <v>407</v>
      </c>
      <c r="H3634" t="s">
        <v>81</v>
      </c>
      <c r="I3634">
        <v>4</v>
      </c>
      <c r="J3634" t="s">
        <v>75</v>
      </c>
    </row>
    <row r="3635" spans="1:10" x14ac:dyDescent="0.25">
      <c r="A3635" t="s">
        <v>7354</v>
      </c>
      <c r="B3635">
        <f>121349.573521989*(1/100/100)</f>
        <v>12.134957352198901</v>
      </c>
      <c r="C3635">
        <v>42011</v>
      </c>
      <c r="D3635" t="s">
        <v>5305</v>
      </c>
      <c r="E3635">
        <v>40702</v>
      </c>
      <c r="F3635" t="s">
        <v>1067</v>
      </c>
      <c r="G3635">
        <v>407</v>
      </c>
      <c r="H3635" t="s">
        <v>81</v>
      </c>
      <c r="I3635">
        <v>4</v>
      </c>
      <c r="J3635" t="s">
        <v>75</v>
      </c>
    </row>
    <row r="3636" spans="1:10" x14ac:dyDescent="0.25">
      <c r="A3636" t="s">
        <v>7354</v>
      </c>
      <c r="B3636">
        <f>15580.3496593749*(1/100/100)</f>
        <v>1.5580349659374901</v>
      </c>
      <c r="C3636">
        <v>42012</v>
      </c>
      <c r="D3636" t="s">
        <v>5310</v>
      </c>
      <c r="E3636">
        <v>40703</v>
      </c>
      <c r="F3636" t="s">
        <v>1068</v>
      </c>
      <c r="G3636">
        <v>407</v>
      </c>
      <c r="H3636" t="s">
        <v>81</v>
      </c>
      <c r="I3636">
        <v>4</v>
      </c>
      <c r="J3636" t="s">
        <v>75</v>
      </c>
    </row>
    <row r="3637" spans="1:10" x14ac:dyDescent="0.25">
      <c r="A3637" t="s">
        <v>7354</v>
      </c>
      <c r="B3637">
        <f>56437.0504803692*(1/100/100)</f>
        <v>5.6437050480369209</v>
      </c>
      <c r="C3637">
        <v>42013</v>
      </c>
      <c r="D3637" t="s">
        <v>4795</v>
      </c>
      <c r="E3637">
        <v>40703</v>
      </c>
      <c r="F3637" t="s">
        <v>1068</v>
      </c>
      <c r="G3637">
        <v>407</v>
      </c>
      <c r="H3637" t="s">
        <v>81</v>
      </c>
      <c r="I3637">
        <v>4</v>
      </c>
      <c r="J3637" t="s">
        <v>75</v>
      </c>
    </row>
    <row r="3638" spans="1:10" x14ac:dyDescent="0.25">
      <c r="A3638" t="s">
        <v>7354</v>
      </c>
      <c r="B3638">
        <f>83279.034182942*(1/100/100)</f>
        <v>8.3279034182942002</v>
      </c>
      <c r="C3638">
        <v>42014</v>
      </c>
      <c r="D3638" t="s">
        <v>5315</v>
      </c>
      <c r="E3638">
        <v>40704</v>
      </c>
      <c r="F3638" t="s">
        <v>1069</v>
      </c>
      <c r="G3638">
        <v>407</v>
      </c>
      <c r="H3638" t="s">
        <v>81</v>
      </c>
      <c r="I3638">
        <v>4</v>
      </c>
      <c r="J3638" t="s">
        <v>75</v>
      </c>
    </row>
    <row r="3639" spans="1:10" x14ac:dyDescent="0.25">
      <c r="A3639" t="s">
        <v>7354</v>
      </c>
      <c r="B3639">
        <f>75167.1049334213*(1/100/100)</f>
        <v>7.5167104933421305</v>
      </c>
      <c r="C3639">
        <v>42015</v>
      </c>
      <c r="D3639" t="s">
        <v>5306</v>
      </c>
      <c r="E3639">
        <v>40702</v>
      </c>
      <c r="F3639" t="s">
        <v>1067</v>
      </c>
      <c r="G3639">
        <v>407</v>
      </c>
      <c r="H3639" t="s">
        <v>81</v>
      </c>
      <c r="I3639">
        <v>4</v>
      </c>
      <c r="J3639" t="s">
        <v>75</v>
      </c>
    </row>
    <row r="3640" spans="1:10" x14ac:dyDescent="0.25">
      <c r="A3640" t="s">
        <v>7354</v>
      </c>
      <c r="B3640">
        <f>113575.17631071*(1/100/100)</f>
        <v>11.357517631071</v>
      </c>
      <c r="C3640">
        <v>42016</v>
      </c>
      <c r="D3640" t="s">
        <v>1076</v>
      </c>
      <c r="E3640">
        <v>40712</v>
      </c>
      <c r="F3640" t="s">
        <v>1076</v>
      </c>
      <c r="G3640">
        <v>407</v>
      </c>
      <c r="H3640" t="s">
        <v>81</v>
      </c>
      <c r="I3640">
        <v>4</v>
      </c>
      <c r="J3640" t="s">
        <v>75</v>
      </c>
    </row>
    <row r="3641" spans="1:10" x14ac:dyDescent="0.25">
      <c r="A3641" t="s">
        <v>7354</v>
      </c>
      <c r="B3641">
        <f>42509.0275230155*(1/100/100)</f>
        <v>4.2509027523015508</v>
      </c>
      <c r="C3641">
        <v>42017</v>
      </c>
      <c r="D3641" t="s">
        <v>5311</v>
      </c>
      <c r="E3641">
        <v>40703</v>
      </c>
      <c r="F3641" t="s">
        <v>1068</v>
      </c>
      <c r="G3641">
        <v>407</v>
      </c>
      <c r="H3641" t="s">
        <v>81</v>
      </c>
      <c r="I3641">
        <v>4</v>
      </c>
      <c r="J3641" t="s">
        <v>75</v>
      </c>
    </row>
    <row r="3642" spans="1:10" x14ac:dyDescent="0.25">
      <c r="A3642" t="s">
        <v>7354</v>
      </c>
      <c r="B3642">
        <f>204457.06241928*(1/100/100)</f>
        <v>20.445706241928001</v>
      </c>
      <c r="C3642">
        <v>42018</v>
      </c>
      <c r="D3642" t="s">
        <v>704</v>
      </c>
      <c r="E3642">
        <v>40702</v>
      </c>
      <c r="F3642" t="s">
        <v>1067</v>
      </c>
      <c r="G3642">
        <v>407</v>
      </c>
      <c r="H3642" t="s">
        <v>81</v>
      </c>
      <c r="I3642">
        <v>4</v>
      </c>
      <c r="J3642" t="s">
        <v>75</v>
      </c>
    </row>
    <row r="3643" spans="1:10" x14ac:dyDescent="0.25">
      <c r="A3643" t="s">
        <v>7354</v>
      </c>
      <c r="B3643">
        <f>246952.612367896*(1/100/100)</f>
        <v>24.695261236789602</v>
      </c>
      <c r="C3643">
        <v>42019</v>
      </c>
      <c r="D3643" t="s">
        <v>5312</v>
      </c>
      <c r="E3643">
        <v>40703</v>
      </c>
      <c r="F3643" t="s">
        <v>1068</v>
      </c>
      <c r="G3643">
        <v>407</v>
      </c>
      <c r="H3643" t="s">
        <v>81</v>
      </c>
      <c r="I3643">
        <v>4</v>
      </c>
      <c r="J3643" t="s">
        <v>75</v>
      </c>
    </row>
    <row r="3644" spans="1:10" x14ac:dyDescent="0.25">
      <c r="A3644" t="s">
        <v>7354</v>
      </c>
      <c r="B3644">
        <f>114563.851036313*(1/100/100)</f>
        <v>11.456385103631302</v>
      </c>
      <c r="C3644">
        <v>42020</v>
      </c>
      <c r="D3644" t="s">
        <v>2239</v>
      </c>
      <c r="E3644">
        <v>40703</v>
      </c>
      <c r="F3644" t="s">
        <v>1068</v>
      </c>
      <c r="G3644">
        <v>407</v>
      </c>
      <c r="H3644" t="s">
        <v>81</v>
      </c>
      <c r="I3644">
        <v>4</v>
      </c>
      <c r="J3644" t="s">
        <v>75</v>
      </c>
    </row>
    <row r="3645" spans="1:10" x14ac:dyDescent="0.25">
      <c r="A3645" t="s">
        <v>7354</v>
      </c>
      <c r="B3645">
        <f>135125.068462538*(1/100/100)</f>
        <v>13.512506846253801</v>
      </c>
      <c r="C3645">
        <v>42021</v>
      </c>
      <c r="D3645" t="s">
        <v>3343</v>
      </c>
      <c r="E3645">
        <v>40717</v>
      </c>
      <c r="F3645" t="s">
        <v>5342</v>
      </c>
      <c r="G3645">
        <v>407</v>
      </c>
      <c r="H3645" t="s">
        <v>81</v>
      </c>
      <c r="I3645">
        <v>4</v>
      </c>
      <c r="J3645" t="s">
        <v>75</v>
      </c>
    </row>
    <row r="3646" spans="1:10" x14ac:dyDescent="0.25">
      <c r="A3646" t="s">
        <v>7354</v>
      </c>
      <c r="B3646">
        <f>187854.832083658*(1/100/100)</f>
        <v>18.7854832083658</v>
      </c>
      <c r="C3646">
        <v>42022</v>
      </c>
      <c r="D3646" t="s">
        <v>5307</v>
      </c>
      <c r="E3646">
        <v>40702</v>
      </c>
      <c r="F3646" t="s">
        <v>1067</v>
      </c>
      <c r="G3646">
        <v>407</v>
      </c>
      <c r="H3646" t="s">
        <v>81</v>
      </c>
      <c r="I3646">
        <v>4</v>
      </c>
      <c r="J3646" t="s">
        <v>75</v>
      </c>
    </row>
    <row r="3647" spans="1:10" x14ac:dyDescent="0.25">
      <c r="A3647" t="s">
        <v>7354</v>
      </c>
      <c r="B3647">
        <f>161971.191852399*(1/100/100)</f>
        <v>16.197119185239902</v>
      </c>
      <c r="C3647">
        <v>42023</v>
      </c>
      <c r="D3647" t="s">
        <v>5343</v>
      </c>
      <c r="E3647">
        <v>40717</v>
      </c>
      <c r="F3647" t="s">
        <v>5342</v>
      </c>
      <c r="G3647">
        <v>407</v>
      </c>
      <c r="H3647" t="s">
        <v>81</v>
      </c>
      <c r="I3647">
        <v>4</v>
      </c>
      <c r="J3647" t="s">
        <v>75</v>
      </c>
    </row>
    <row r="3648" spans="1:10" x14ac:dyDescent="0.25">
      <c r="A3648" t="s">
        <v>7354</v>
      </c>
      <c r="B3648">
        <f>63537.4608527416*(1/100/100)</f>
        <v>6.3537460852741603</v>
      </c>
      <c r="C3648">
        <v>42101</v>
      </c>
      <c r="D3648" t="s">
        <v>5348</v>
      </c>
      <c r="E3648">
        <v>40720</v>
      </c>
      <c r="F3648" t="s">
        <v>1082</v>
      </c>
      <c r="G3648">
        <v>407</v>
      </c>
      <c r="H3648" t="s">
        <v>81</v>
      </c>
      <c r="I3648">
        <v>4</v>
      </c>
      <c r="J3648" t="s">
        <v>75</v>
      </c>
    </row>
    <row r="3649" spans="1:10" x14ac:dyDescent="0.25">
      <c r="A3649" t="s">
        <v>7354</v>
      </c>
      <c r="B3649">
        <f>91624.0480884827*(1/100/100)</f>
        <v>9.1624048088482706</v>
      </c>
      <c r="C3649">
        <v>42102</v>
      </c>
      <c r="D3649" t="s">
        <v>1066</v>
      </c>
      <c r="E3649">
        <v>40701</v>
      </c>
      <c r="F3649" t="s">
        <v>1066</v>
      </c>
      <c r="G3649">
        <v>407</v>
      </c>
      <c r="H3649" t="s">
        <v>81</v>
      </c>
      <c r="I3649">
        <v>4</v>
      </c>
      <c r="J3649" t="s">
        <v>75</v>
      </c>
    </row>
    <row r="3650" spans="1:10" x14ac:dyDescent="0.25">
      <c r="A3650" t="s">
        <v>7354</v>
      </c>
      <c r="B3650">
        <f>34348.5498535766*(1/100/100)</f>
        <v>3.4348549853576604</v>
      </c>
      <c r="C3650">
        <v>42103</v>
      </c>
      <c r="D3650" t="s">
        <v>5335</v>
      </c>
      <c r="E3650">
        <v>40715</v>
      </c>
      <c r="F3650" t="s">
        <v>5336</v>
      </c>
      <c r="G3650">
        <v>407</v>
      </c>
      <c r="H3650" t="s">
        <v>81</v>
      </c>
      <c r="I3650">
        <v>4</v>
      </c>
      <c r="J3650" t="s">
        <v>75</v>
      </c>
    </row>
    <row r="3651" spans="1:10" x14ac:dyDescent="0.25">
      <c r="A3651" t="s">
        <v>7354</v>
      </c>
      <c r="B3651">
        <f>65184.1477085053*(1/100/100)</f>
        <v>6.51841477085053</v>
      </c>
      <c r="C3651">
        <v>42104</v>
      </c>
      <c r="D3651" t="s">
        <v>5337</v>
      </c>
      <c r="E3651">
        <v>40715</v>
      </c>
      <c r="F3651" t="s">
        <v>5336</v>
      </c>
      <c r="G3651">
        <v>407</v>
      </c>
      <c r="H3651" t="s">
        <v>81</v>
      </c>
      <c r="I3651">
        <v>4</v>
      </c>
      <c r="J3651" t="s">
        <v>75</v>
      </c>
    </row>
    <row r="3652" spans="1:10" x14ac:dyDescent="0.25">
      <c r="A3652" t="s">
        <v>7354</v>
      </c>
      <c r="B3652">
        <f>58953.4917553079*(1/100/100)</f>
        <v>5.8953491755307903</v>
      </c>
      <c r="C3652">
        <v>42105</v>
      </c>
      <c r="D3652" t="s">
        <v>5323</v>
      </c>
      <c r="E3652">
        <v>40711</v>
      </c>
      <c r="F3652" t="s">
        <v>1075</v>
      </c>
      <c r="G3652">
        <v>407</v>
      </c>
      <c r="H3652" t="s">
        <v>81</v>
      </c>
      <c r="I3652">
        <v>4</v>
      </c>
      <c r="J3652" t="s">
        <v>75</v>
      </c>
    </row>
    <row r="3653" spans="1:10" x14ac:dyDescent="0.25">
      <c r="A3653" t="s">
        <v>7354</v>
      </c>
      <c r="B3653">
        <f>97001.6476504156*(1/100/100)</f>
        <v>9.7001647650415599</v>
      </c>
      <c r="C3653">
        <v>42106</v>
      </c>
      <c r="D3653" t="s">
        <v>5345</v>
      </c>
      <c r="E3653">
        <v>40719</v>
      </c>
      <c r="F3653" t="s">
        <v>1081</v>
      </c>
      <c r="G3653">
        <v>407</v>
      </c>
      <c r="H3653" t="s">
        <v>81</v>
      </c>
      <c r="I3653">
        <v>4</v>
      </c>
      <c r="J3653" t="s">
        <v>75</v>
      </c>
    </row>
    <row r="3654" spans="1:10" x14ac:dyDescent="0.25">
      <c r="A3654" t="s">
        <v>7354</v>
      </c>
      <c r="B3654">
        <f>116912.855348493*(1/100/100)</f>
        <v>11.691285534849301</v>
      </c>
      <c r="C3654">
        <v>42107</v>
      </c>
      <c r="D3654" t="s">
        <v>5297</v>
      </c>
      <c r="E3654">
        <v>40701</v>
      </c>
      <c r="F3654" t="s">
        <v>1066</v>
      </c>
      <c r="G3654">
        <v>407</v>
      </c>
      <c r="H3654" t="s">
        <v>81</v>
      </c>
      <c r="I3654">
        <v>4</v>
      </c>
      <c r="J3654" t="s">
        <v>75</v>
      </c>
    </row>
    <row r="3655" spans="1:10" x14ac:dyDescent="0.25">
      <c r="A3655" t="s">
        <v>7354</v>
      </c>
      <c r="B3655">
        <f>156012.958645801*(1/100/100)</f>
        <v>15.6012958645801</v>
      </c>
      <c r="C3655">
        <v>42108</v>
      </c>
      <c r="D3655" t="s">
        <v>5298</v>
      </c>
      <c r="E3655">
        <v>40701</v>
      </c>
      <c r="F3655" t="s">
        <v>1066</v>
      </c>
      <c r="G3655">
        <v>407</v>
      </c>
      <c r="H3655" t="s">
        <v>81</v>
      </c>
      <c r="I3655">
        <v>4</v>
      </c>
      <c r="J3655" t="s">
        <v>75</v>
      </c>
    </row>
    <row r="3656" spans="1:10" x14ac:dyDescent="0.25">
      <c r="A3656" t="s">
        <v>7354</v>
      </c>
      <c r="B3656">
        <f>68052.4377371381*(1/100/100)</f>
        <v>6.8052437737138103</v>
      </c>
      <c r="C3656">
        <v>42109</v>
      </c>
      <c r="D3656" t="s">
        <v>5339</v>
      </c>
      <c r="E3656">
        <v>40716</v>
      </c>
      <c r="F3656" t="s">
        <v>5340</v>
      </c>
      <c r="G3656">
        <v>407</v>
      </c>
      <c r="H3656" t="s">
        <v>81</v>
      </c>
      <c r="I3656">
        <v>4</v>
      </c>
      <c r="J3656" t="s">
        <v>75</v>
      </c>
    </row>
    <row r="3657" spans="1:10" x14ac:dyDescent="0.25">
      <c r="A3657" t="s">
        <v>7354</v>
      </c>
      <c r="B3657">
        <f>117625.460633992*(1/100/100)</f>
        <v>11.762546063399201</v>
      </c>
      <c r="C3657">
        <v>42110</v>
      </c>
      <c r="D3657" t="s">
        <v>5349</v>
      </c>
      <c r="E3657">
        <v>40720</v>
      </c>
      <c r="F3657" t="s">
        <v>1082</v>
      </c>
      <c r="G3657">
        <v>407</v>
      </c>
      <c r="H3657" t="s">
        <v>81</v>
      </c>
      <c r="I3657">
        <v>4</v>
      </c>
      <c r="J3657" t="s">
        <v>75</v>
      </c>
    </row>
    <row r="3658" spans="1:10" x14ac:dyDescent="0.25">
      <c r="A3658" t="s">
        <v>7354</v>
      </c>
      <c r="B3658">
        <f>135373.395784055*(1/100/100)</f>
        <v>13.537339578405501</v>
      </c>
      <c r="C3658">
        <v>42111</v>
      </c>
      <c r="D3658" t="s">
        <v>3256</v>
      </c>
      <c r="E3658">
        <v>40713</v>
      </c>
      <c r="F3658" t="s">
        <v>1077</v>
      </c>
      <c r="G3658">
        <v>407</v>
      </c>
      <c r="H3658" t="s">
        <v>81</v>
      </c>
      <c r="I3658">
        <v>4</v>
      </c>
      <c r="J3658" t="s">
        <v>75</v>
      </c>
    </row>
    <row r="3659" spans="1:10" x14ac:dyDescent="0.25">
      <c r="A3659" t="s">
        <v>7354</v>
      </c>
      <c r="B3659">
        <f>126422.570151614*(1/100/100)</f>
        <v>12.6422570151614</v>
      </c>
      <c r="C3659">
        <v>42112</v>
      </c>
      <c r="D3659" t="s">
        <v>5330</v>
      </c>
      <c r="E3659">
        <v>40713</v>
      </c>
      <c r="F3659" t="s">
        <v>1077</v>
      </c>
      <c r="G3659">
        <v>407</v>
      </c>
      <c r="H3659" t="s">
        <v>81</v>
      </c>
      <c r="I3659">
        <v>4</v>
      </c>
      <c r="J3659" t="s">
        <v>75</v>
      </c>
    </row>
    <row r="3660" spans="1:10" x14ac:dyDescent="0.25">
      <c r="A3660" t="s">
        <v>7354</v>
      </c>
      <c r="B3660">
        <f>66566.3967996221*(1/100/100)</f>
        <v>6.6566396799622103</v>
      </c>
      <c r="C3660">
        <v>42113</v>
      </c>
      <c r="D3660" t="s">
        <v>5350</v>
      </c>
      <c r="E3660">
        <v>40720</v>
      </c>
      <c r="F3660" t="s">
        <v>1082</v>
      </c>
      <c r="G3660">
        <v>407</v>
      </c>
      <c r="H3660" t="s">
        <v>81</v>
      </c>
      <c r="I3660">
        <v>4</v>
      </c>
      <c r="J3660" t="s">
        <v>75</v>
      </c>
    </row>
    <row r="3661" spans="1:10" x14ac:dyDescent="0.25">
      <c r="A3661" t="s">
        <v>7354</v>
      </c>
      <c r="B3661">
        <f>53626.9136167409*(1/100/100)</f>
        <v>5.3626913616740906</v>
      </c>
      <c r="C3661">
        <v>42114</v>
      </c>
      <c r="D3661" t="s">
        <v>5320</v>
      </c>
      <c r="E3661">
        <v>40710</v>
      </c>
      <c r="F3661" t="s">
        <v>1074</v>
      </c>
      <c r="G3661">
        <v>407</v>
      </c>
      <c r="H3661" t="s">
        <v>81</v>
      </c>
      <c r="I3661">
        <v>4</v>
      </c>
      <c r="J3661" t="s">
        <v>75</v>
      </c>
    </row>
    <row r="3662" spans="1:10" x14ac:dyDescent="0.25">
      <c r="A3662" t="s">
        <v>7354</v>
      </c>
      <c r="B3662">
        <f>139059.001643026*(1/100/100)</f>
        <v>13.905900164302599</v>
      </c>
      <c r="C3662">
        <v>42115</v>
      </c>
      <c r="D3662" t="s">
        <v>5351</v>
      </c>
      <c r="E3662">
        <v>40720</v>
      </c>
      <c r="F3662" t="s">
        <v>1082</v>
      </c>
      <c r="G3662">
        <v>407</v>
      </c>
      <c r="H3662" t="s">
        <v>81</v>
      </c>
      <c r="I3662">
        <v>4</v>
      </c>
      <c r="J3662" t="s">
        <v>75</v>
      </c>
    </row>
    <row r="3663" spans="1:10" x14ac:dyDescent="0.25">
      <c r="A3663" t="s">
        <v>7354</v>
      </c>
      <c r="B3663">
        <f>232885.989048508*(1/100/100)</f>
        <v>23.288598904850801</v>
      </c>
      <c r="C3663">
        <v>42116</v>
      </c>
      <c r="D3663" t="s">
        <v>81</v>
      </c>
      <c r="E3663">
        <v>40705</v>
      </c>
      <c r="F3663" t="s">
        <v>81</v>
      </c>
      <c r="G3663">
        <v>407</v>
      </c>
      <c r="H3663" t="s">
        <v>81</v>
      </c>
      <c r="I3663">
        <v>4</v>
      </c>
      <c r="J3663" t="s">
        <v>75</v>
      </c>
    </row>
    <row r="3664" spans="1:10" x14ac:dyDescent="0.25">
      <c r="A3664" t="s">
        <v>7354</v>
      </c>
      <c r="B3664">
        <f>75616.0040040185*(1/100/100)</f>
        <v>7.5616004004018498</v>
      </c>
      <c r="C3664">
        <v>42117</v>
      </c>
      <c r="D3664" t="s">
        <v>5299</v>
      </c>
      <c r="E3664">
        <v>40701</v>
      </c>
      <c r="F3664" t="s">
        <v>1066</v>
      </c>
      <c r="G3664">
        <v>407</v>
      </c>
      <c r="H3664" t="s">
        <v>81</v>
      </c>
      <c r="I3664">
        <v>4</v>
      </c>
      <c r="J3664" t="s">
        <v>75</v>
      </c>
    </row>
    <row r="3665" spans="1:10" x14ac:dyDescent="0.25">
      <c r="A3665" t="s">
        <v>7354</v>
      </c>
      <c r="B3665">
        <f>86254.2094984335*(1/100/100)</f>
        <v>8.6254209498433507</v>
      </c>
      <c r="C3665">
        <v>42118</v>
      </c>
      <c r="D3665" t="s">
        <v>5300</v>
      </c>
      <c r="E3665">
        <v>40701</v>
      </c>
      <c r="F3665" t="s">
        <v>1066</v>
      </c>
      <c r="G3665">
        <v>407</v>
      </c>
      <c r="H3665" t="s">
        <v>81</v>
      </c>
      <c r="I3665">
        <v>4</v>
      </c>
      <c r="J3665" t="s">
        <v>75</v>
      </c>
    </row>
    <row r="3666" spans="1:10" x14ac:dyDescent="0.25">
      <c r="A3666" t="s">
        <v>7354</v>
      </c>
      <c r="B3666">
        <f>280212.322584545*(1/100/100)</f>
        <v>28.021232258454503</v>
      </c>
      <c r="C3666">
        <v>42119</v>
      </c>
      <c r="D3666" t="s">
        <v>4361</v>
      </c>
      <c r="E3666">
        <v>40707</v>
      </c>
      <c r="F3666" t="s">
        <v>1071</v>
      </c>
      <c r="G3666">
        <v>407</v>
      </c>
      <c r="H3666" t="s">
        <v>81</v>
      </c>
      <c r="I3666">
        <v>4</v>
      </c>
      <c r="J3666" t="s">
        <v>75</v>
      </c>
    </row>
    <row r="3667" spans="1:10" x14ac:dyDescent="0.25">
      <c r="A3667" t="s">
        <v>7354</v>
      </c>
      <c r="B3667">
        <f>171948.576961344*(1/100/100)</f>
        <v>17.194857696134399</v>
      </c>
      <c r="C3667">
        <v>42120</v>
      </c>
      <c r="D3667" t="s">
        <v>1072</v>
      </c>
      <c r="E3667">
        <v>40708</v>
      </c>
      <c r="F3667" t="s">
        <v>1072</v>
      </c>
      <c r="G3667">
        <v>407</v>
      </c>
      <c r="H3667" t="s">
        <v>81</v>
      </c>
      <c r="I3667">
        <v>4</v>
      </c>
      <c r="J3667" t="s">
        <v>75</v>
      </c>
    </row>
    <row r="3668" spans="1:10" x14ac:dyDescent="0.25">
      <c r="A3668" t="s">
        <v>7354</v>
      </c>
      <c r="B3668">
        <f>53406.4703648565*(1/100/100)</f>
        <v>5.3406470364856498</v>
      </c>
      <c r="C3668">
        <v>42121</v>
      </c>
      <c r="D3668" t="s">
        <v>5331</v>
      </c>
      <c r="E3668">
        <v>40713</v>
      </c>
      <c r="F3668" t="s">
        <v>1077</v>
      </c>
      <c r="G3668">
        <v>407</v>
      </c>
      <c r="H3668" t="s">
        <v>81</v>
      </c>
      <c r="I3668">
        <v>4</v>
      </c>
      <c r="J3668" t="s">
        <v>75</v>
      </c>
    </row>
    <row r="3669" spans="1:10" x14ac:dyDescent="0.25">
      <c r="A3669" t="s">
        <v>7354</v>
      </c>
      <c r="B3669">
        <f>68247.7557336079*(1/100/100)</f>
        <v>6.8247755733607907</v>
      </c>
      <c r="C3669">
        <v>42122</v>
      </c>
      <c r="D3669" t="s">
        <v>5352</v>
      </c>
      <c r="E3669">
        <v>40720</v>
      </c>
      <c r="F3669" t="s">
        <v>1082</v>
      </c>
      <c r="G3669">
        <v>407</v>
      </c>
      <c r="H3669" t="s">
        <v>81</v>
      </c>
      <c r="I3669">
        <v>4</v>
      </c>
      <c r="J3669" t="s">
        <v>75</v>
      </c>
    </row>
    <row r="3670" spans="1:10" x14ac:dyDescent="0.25">
      <c r="A3670" t="s">
        <v>7354</v>
      </c>
      <c r="B3670">
        <f>15006.0170879286*(1/100/100)</f>
        <v>1.50060170879286</v>
      </c>
      <c r="C3670">
        <v>42123</v>
      </c>
      <c r="D3670" t="s">
        <v>5321</v>
      </c>
      <c r="E3670">
        <v>40710</v>
      </c>
      <c r="F3670" t="s">
        <v>1074</v>
      </c>
      <c r="G3670">
        <v>407</v>
      </c>
      <c r="H3670" t="s">
        <v>81</v>
      </c>
      <c r="I3670">
        <v>4</v>
      </c>
      <c r="J3670" t="s">
        <v>75</v>
      </c>
    </row>
    <row r="3671" spans="1:10" x14ac:dyDescent="0.25">
      <c r="A3671" t="s">
        <v>7354</v>
      </c>
      <c r="B3671">
        <f>55966.969139048*(1/100/100)</f>
        <v>5.5966969139048004</v>
      </c>
      <c r="C3671">
        <v>42124</v>
      </c>
      <c r="D3671" t="s">
        <v>5322</v>
      </c>
      <c r="E3671">
        <v>40710</v>
      </c>
      <c r="F3671" t="s">
        <v>1074</v>
      </c>
      <c r="G3671">
        <v>407</v>
      </c>
      <c r="H3671" t="s">
        <v>81</v>
      </c>
      <c r="I3671">
        <v>4</v>
      </c>
      <c r="J3671" t="s">
        <v>75</v>
      </c>
    </row>
    <row r="3672" spans="1:10" x14ac:dyDescent="0.25">
      <c r="A3672" t="s">
        <v>7354</v>
      </c>
      <c r="B3672">
        <f>69618.7549848213*(1/100/100)</f>
        <v>6.9618754984821294</v>
      </c>
      <c r="C3672">
        <v>42125</v>
      </c>
      <c r="D3672" t="s">
        <v>5338</v>
      </c>
      <c r="E3672">
        <v>40715</v>
      </c>
      <c r="F3672" t="s">
        <v>5336</v>
      </c>
      <c r="G3672">
        <v>407</v>
      </c>
      <c r="H3672" t="s">
        <v>81</v>
      </c>
      <c r="I3672">
        <v>4</v>
      </c>
      <c r="J3672" t="s">
        <v>75</v>
      </c>
    </row>
    <row r="3673" spans="1:10" x14ac:dyDescent="0.25">
      <c r="A3673" t="s">
        <v>7354</v>
      </c>
      <c r="B3673">
        <f>106568.540258919*(1/100/100)</f>
        <v>10.656854025891901</v>
      </c>
      <c r="C3673">
        <v>42126</v>
      </c>
      <c r="D3673" t="s">
        <v>1074</v>
      </c>
      <c r="E3673">
        <v>40710</v>
      </c>
      <c r="F3673" t="s">
        <v>1074</v>
      </c>
      <c r="G3673">
        <v>407</v>
      </c>
      <c r="H3673" t="s">
        <v>81</v>
      </c>
      <c r="I3673">
        <v>4</v>
      </c>
      <c r="J3673" t="s">
        <v>75</v>
      </c>
    </row>
    <row r="3674" spans="1:10" x14ac:dyDescent="0.25">
      <c r="A3674" t="s">
        <v>7354</v>
      </c>
      <c r="B3674">
        <f>24635.7292868449*(1/100/100)</f>
        <v>2.4635729286844903</v>
      </c>
      <c r="C3674">
        <v>42127</v>
      </c>
      <c r="D3674" t="s">
        <v>2225</v>
      </c>
      <c r="E3674">
        <v>40710</v>
      </c>
      <c r="F3674" t="s">
        <v>1074</v>
      </c>
      <c r="G3674">
        <v>407</v>
      </c>
      <c r="H3674" t="s">
        <v>81</v>
      </c>
      <c r="I3674">
        <v>4</v>
      </c>
      <c r="J3674" t="s">
        <v>75</v>
      </c>
    </row>
    <row r="3675" spans="1:10" x14ac:dyDescent="0.25">
      <c r="A3675" t="s">
        <v>7354</v>
      </c>
      <c r="B3675">
        <f>34904.6834369232*(1/100/100)</f>
        <v>3.4904683436923203</v>
      </c>
      <c r="C3675">
        <v>42128</v>
      </c>
      <c r="D3675" t="s">
        <v>5324</v>
      </c>
      <c r="E3675">
        <v>40711</v>
      </c>
      <c r="F3675" t="s">
        <v>1075</v>
      </c>
      <c r="G3675">
        <v>407</v>
      </c>
      <c r="H3675" t="s">
        <v>81</v>
      </c>
      <c r="I3675">
        <v>4</v>
      </c>
      <c r="J3675" t="s">
        <v>75</v>
      </c>
    </row>
    <row r="3676" spans="1:10" x14ac:dyDescent="0.25">
      <c r="A3676" t="s">
        <v>7354</v>
      </c>
      <c r="B3676">
        <f>47505.6398155885*(1/100/100)</f>
        <v>4.7505639815588507</v>
      </c>
      <c r="C3676">
        <v>42129</v>
      </c>
      <c r="D3676" t="s">
        <v>2999</v>
      </c>
      <c r="E3676">
        <v>40710</v>
      </c>
      <c r="F3676" t="s">
        <v>1074</v>
      </c>
      <c r="G3676">
        <v>407</v>
      </c>
      <c r="H3676" t="s">
        <v>81</v>
      </c>
      <c r="I3676">
        <v>4</v>
      </c>
      <c r="J3676" t="s">
        <v>75</v>
      </c>
    </row>
    <row r="3677" spans="1:10" x14ac:dyDescent="0.25">
      <c r="A3677" t="s">
        <v>7354</v>
      </c>
      <c r="B3677">
        <f>136165.904278328*(1/100/100)</f>
        <v>13.616590427832801</v>
      </c>
      <c r="C3677">
        <v>42130</v>
      </c>
      <c r="D3677" t="s">
        <v>5334</v>
      </c>
      <c r="E3677">
        <v>40714</v>
      </c>
      <c r="F3677" t="s">
        <v>1078</v>
      </c>
      <c r="G3677">
        <v>407</v>
      </c>
      <c r="H3677" t="s">
        <v>81</v>
      </c>
      <c r="I3677">
        <v>4</v>
      </c>
      <c r="J3677" t="s">
        <v>75</v>
      </c>
    </row>
    <row r="3678" spans="1:10" x14ac:dyDescent="0.25">
      <c r="A3678" t="s">
        <v>7354</v>
      </c>
      <c r="B3678">
        <f>325692.32606512*(1/100/100)</f>
        <v>32.569232606512003</v>
      </c>
      <c r="C3678">
        <v>42131</v>
      </c>
      <c r="D3678" t="s">
        <v>1075</v>
      </c>
      <c r="E3678">
        <v>40711</v>
      </c>
      <c r="F3678" t="s">
        <v>1075</v>
      </c>
      <c r="G3678">
        <v>407</v>
      </c>
      <c r="H3678" t="s">
        <v>81</v>
      </c>
      <c r="I3678">
        <v>4</v>
      </c>
      <c r="J3678" t="s">
        <v>75</v>
      </c>
    </row>
    <row r="3679" spans="1:10" x14ac:dyDescent="0.25">
      <c r="A3679" t="s">
        <v>7354</v>
      </c>
      <c r="B3679">
        <f>66070.4334566812*(1/100/100)</f>
        <v>6.6070433456681208</v>
      </c>
      <c r="C3679">
        <v>42132</v>
      </c>
      <c r="D3679" t="s">
        <v>5353</v>
      </c>
      <c r="E3679">
        <v>40720</v>
      </c>
      <c r="F3679" t="s">
        <v>1082</v>
      </c>
      <c r="G3679">
        <v>407</v>
      </c>
      <c r="H3679" t="s">
        <v>81</v>
      </c>
      <c r="I3679">
        <v>4</v>
      </c>
      <c r="J3679" t="s">
        <v>75</v>
      </c>
    </row>
    <row r="3680" spans="1:10" x14ac:dyDescent="0.25">
      <c r="A3680" t="s">
        <v>7354</v>
      </c>
      <c r="B3680">
        <f>99990.6317309645*(1/100/100)</f>
        <v>9.9990631730964505</v>
      </c>
      <c r="C3680">
        <v>42133</v>
      </c>
      <c r="D3680" t="s">
        <v>5325</v>
      </c>
      <c r="E3680">
        <v>40711</v>
      </c>
      <c r="F3680" t="s">
        <v>1075</v>
      </c>
      <c r="G3680">
        <v>407</v>
      </c>
      <c r="H3680" t="s">
        <v>81</v>
      </c>
      <c r="I3680">
        <v>4</v>
      </c>
      <c r="J3680" t="s">
        <v>75</v>
      </c>
    </row>
    <row r="3681" spans="1:10" x14ac:dyDescent="0.25">
      <c r="A3681" t="s">
        <v>7354</v>
      </c>
      <c r="B3681">
        <f>76943.3071222197*(1/100/100)</f>
        <v>7.6943307122219711</v>
      </c>
      <c r="C3681">
        <v>42134</v>
      </c>
      <c r="D3681" t="s">
        <v>5354</v>
      </c>
      <c r="E3681">
        <v>40720</v>
      </c>
      <c r="F3681" t="s">
        <v>1082</v>
      </c>
      <c r="G3681">
        <v>407</v>
      </c>
      <c r="H3681" t="s">
        <v>81</v>
      </c>
      <c r="I3681">
        <v>4</v>
      </c>
      <c r="J3681" t="s">
        <v>75</v>
      </c>
    </row>
    <row r="3682" spans="1:10" x14ac:dyDescent="0.25">
      <c r="A3682" t="s">
        <v>7354</v>
      </c>
      <c r="B3682">
        <f>25788.1075043087*(1/100/100)</f>
        <v>2.5788107504308702</v>
      </c>
      <c r="C3682">
        <v>42135</v>
      </c>
      <c r="D3682" t="s">
        <v>2690</v>
      </c>
      <c r="E3682">
        <v>40720</v>
      </c>
      <c r="F3682" t="s">
        <v>1082</v>
      </c>
      <c r="G3682">
        <v>407</v>
      </c>
      <c r="H3682" t="s">
        <v>81</v>
      </c>
      <c r="I3682">
        <v>4</v>
      </c>
      <c r="J3682" t="s">
        <v>75</v>
      </c>
    </row>
    <row r="3683" spans="1:10" x14ac:dyDescent="0.25">
      <c r="A3683" t="s">
        <v>7354</v>
      </c>
      <c r="B3683">
        <f>90145.415919227*(1/100/100)</f>
        <v>9.0145415919227005</v>
      </c>
      <c r="C3683">
        <v>42136</v>
      </c>
      <c r="D3683" t="s">
        <v>5319</v>
      </c>
      <c r="E3683">
        <v>40708</v>
      </c>
      <c r="F3683" t="s">
        <v>1072</v>
      </c>
      <c r="G3683">
        <v>407</v>
      </c>
      <c r="H3683" t="s">
        <v>81</v>
      </c>
      <c r="I3683">
        <v>4</v>
      </c>
      <c r="J3683" t="s">
        <v>75</v>
      </c>
    </row>
    <row r="3684" spans="1:10" x14ac:dyDescent="0.25">
      <c r="A3684" t="s">
        <v>7354</v>
      </c>
      <c r="B3684">
        <f>28005.2428422094*(1/100/100)</f>
        <v>2.8005242842209404</v>
      </c>
      <c r="C3684">
        <v>42137</v>
      </c>
      <c r="D3684" t="s">
        <v>2662</v>
      </c>
      <c r="E3684">
        <v>40701</v>
      </c>
      <c r="F3684" t="s">
        <v>1066</v>
      </c>
      <c r="G3684">
        <v>407</v>
      </c>
      <c r="H3684" t="s">
        <v>81</v>
      </c>
      <c r="I3684">
        <v>4</v>
      </c>
      <c r="J3684" t="s">
        <v>75</v>
      </c>
    </row>
    <row r="3685" spans="1:10" x14ac:dyDescent="0.25">
      <c r="A3685" t="s">
        <v>7354</v>
      </c>
      <c r="B3685">
        <f>59788.2922520971*(1/100/100)</f>
        <v>5.9788292252097097</v>
      </c>
      <c r="C3685">
        <v>42138</v>
      </c>
      <c r="D3685" t="s">
        <v>5344</v>
      </c>
      <c r="E3685">
        <v>40718</v>
      </c>
      <c r="F3685" t="s">
        <v>1080</v>
      </c>
      <c r="G3685">
        <v>407</v>
      </c>
      <c r="H3685" t="s">
        <v>81</v>
      </c>
      <c r="I3685">
        <v>4</v>
      </c>
      <c r="J3685" t="s">
        <v>75</v>
      </c>
    </row>
    <row r="3686" spans="1:10" x14ac:dyDescent="0.25">
      <c r="A3686" t="s">
        <v>7354</v>
      </c>
      <c r="B3686">
        <f>253732.593357198*(1/100/100)</f>
        <v>25.373259335719801</v>
      </c>
      <c r="C3686">
        <v>42139</v>
      </c>
      <c r="D3686" t="s">
        <v>5346</v>
      </c>
      <c r="E3686">
        <v>40719</v>
      </c>
      <c r="F3686" t="s">
        <v>1081</v>
      </c>
      <c r="G3686">
        <v>407</v>
      </c>
      <c r="H3686" t="s">
        <v>81</v>
      </c>
      <c r="I3686">
        <v>4</v>
      </c>
      <c r="J3686" t="s">
        <v>75</v>
      </c>
    </row>
    <row r="3687" spans="1:10" x14ac:dyDescent="0.25">
      <c r="A3687" t="s">
        <v>7354</v>
      </c>
      <c r="B3687">
        <f>232.862097180994*(1/100/100)</f>
        <v>2.3286209718099402E-2</v>
      </c>
      <c r="C3687">
        <v>42140</v>
      </c>
      <c r="D3687" t="s">
        <v>5341</v>
      </c>
      <c r="E3687">
        <v>40716</v>
      </c>
      <c r="F3687" t="s">
        <v>5340</v>
      </c>
      <c r="G3687">
        <v>407</v>
      </c>
      <c r="H3687" t="s">
        <v>81</v>
      </c>
      <c r="I3687">
        <v>4</v>
      </c>
      <c r="J3687" t="s">
        <v>75</v>
      </c>
    </row>
    <row r="3688" spans="1:10" x14ac:dyDescent="0.25">
      <c r="A3688" t="s">
        <v>7354</v>
      </c>
      <c r="B3688">
        <f>94312.9412606433*(1/100/100)</f>
        <v>9.4312941260643299</v>
      </c>
      <c r="C3688">
        <v>42141</v>
      </c>
      <c r="D3688" t="s">
        <v>5355</v>
      </c>
      <c r="E3688">
        <v>40720</v>
      </c>
      <c r="F3688" t="s">
        <v>1082</v>
      </c>
      <c r="G3688">
        <v>407</v>
      </c>
      <c r="H3688" t="s">
        <v>81</v>
      </c>
      <c r="I3688">
        <v>4</v>
      </c>
      <c r="J3688" t="s">
        <v>75</v>
      </c>
    </row>
    <row r="3689" spans="1:10" x14ac:dyDescent="0.25">
      <c r="A3689" t="s">
        <v>7354</v>
      </c>
      <c r="B3689">
        <f>68302.2050703267*(1/100/100)</f>
        <v>6.8302205070326707</v>
      </c>
      <c r="C3689">
        <v>42142</v>
      </c>
      <c r="D3689" t="s">
        <v>5301</v>
      </c>
      <c r="E3689">
        <v>40701</v>
      </c>
      <c r="F3689" t="s">
        <v>1066</v>
      </c>
      <c r="G3689">
        <v>407</v>
      </c>
      <c r="H3689" t="s">
        <v>81</v>
      </c>
      <c r="I3689">
        <v>4</v>
      </c>
      <c r="J3689" t="s">
        <v>75</v>
      </c>
    </row>
    <row r="3690" spans="1:10" x14ac:dyDescent="0.25">
      <c r="A3690" t="s">
        <v>7354</v>
      </c>
      <c r="B3690">
        <f>40050.1196135028*(1/100/100)</f>
        <v>4.0050119613502799</v>
      </c>
      <c r="C3690">
        <v>42143</v>
      </c>
      <c r="D3690" t="s">
        <v>5332</v>
      </c>
      <c r="E3690">
        <v>40713</v>
      </c>
      <c r="F3690" t="s">
        <v>1077</v>
      </c>
      <c r="G3690">
        <v>407</v>
      </c>
      <c r="H3690" t="s">
        <v>81</v>
      </c>
      <c r="I3690">
        <v>4</v>
      </c>
      <c r="J3690" t="s">
        <v>75</v>
      </c>
    </row>
    <row r="3691" spans="1:10" x14ac:dyDescent="0.25">
      <c r="A3691" t="s">
        <v>7354</v>
      </c>
      <c r="B3691">
        <f>140742.809554634*(1/100/100)</f>
        <v>14.074280955463401</v>
      </c>
      <c r="C3691">
        <v>42144</v>
      </c>
      <c r="D3691" t="s">
        <v>3482</v>
      </c>
      <c r="E3691">
        <v>40701</v>
      </c>
      <c r="F3691" t="s">
        <v>1066</v>
      </c>
      <c r="G3691">
        <v>407</v>
      </c>
      <c r="H3691" t="s">
        <v>81</v>
      </c>
      <c r="I3691">
        <v>4</v>
      </c>
      <c r="J3691" t="s">
        <v>75</v>
      </c>
    </row>
    <row r="3692" spans="1:10" x14ac:dyDescent="0.25">
      <c r="A3692" t="s">
        <v>7354</v>
      </c>
      <c r="B3692">
        <f>69083.1106987426*(1/100/100)</f>
        <v>6.9083110698742605</v>
      </c>
      <c r="C3692">
        <v>42145</v>
      </c>
      <c r="D3692" t="s">
        <v>3770</v>
      </c>
      <c r="E3692">
        <v>40708</v>
      </c>
      <c r="F3692" t="s">
        <v>1072</v>
      </c>
      <c r="G3692">
        <v>407</v>
      </c>
      <c r="H3692" t="s">
        <v>81</v>
      </c>
      <c r="I3692">
        <v>4</v>
      </c>
      <c r="J3692" t="s">
        <v>75</v>
      </c>
    </row>
    <row r="3693" spans="1:10" x14ac:dyDescent="0.25">
      <c r="A3693" t="s">
        <v>7354</v>
      </c>
      <c r="B3693">
        <f>246915.450994857*(1/100/100)</f>
        <v>24.691545099485701</v>
      </c>
      <c r="C3693">
        <v>42146</v>
      </c>
      <c r="D3693" t="s">
        <v>5326</v>
      </c>
      <c r="E3693">
        <v>40711</v>
      </c>
      <c r="F3693" t="s">
        <v>1075</v>
      </c>
      <c r="G3693">
        <v>407</v>
      </c>
      <c r="H3693" t="s">
        <v>81</v>
      </c>
      <c r="I3693">
        <v>4</v>
      </c>
      <c r="J3693" t="s">
        <v>75</v>
      </c>
    </row>
    <row r="3694" spans="1:10" x14ac:dyDescent="0.25">
      <c r="A3694" t="s">
        <v>7354</v>
      </c>
      <c r="B3694">
        <f>166871.206522392*(1/100/100)</f>
        <v>16.687120652239201</v>
      </c>
      <c r="C3694">
        <v>42147</v>
      </c>
      <c r="D3694" t="s">
        <v>1077</v>
      </c>
      <c r="E3694">
        <v>40713</v>
      </c>
      <c r="F3694" t="s">
        <v>1077</v>
      </c>
      <c r="G3694">
        <v>407</v>
      </c>
      <c r="H3694" t="s">
        <v>81</v>
      </c>
      <c r="I3694">
        <v>4</v>
      </c>
      <c r="J3694" t="s">
        <v>75</v>
      </c>
    </row>
    <row r="3695" spans="1:10" x14ac:dyDescent="0.25">
      <c r="A3695" t="s">
        <v>7354</v>
      </c>
      <c r="B3695">
        <f>31057.1154045331*(1/100/100)</f>
        <v>3.10571154045331</v>
      </c>
      <c r="C3695">
        <v>42148</v>
      </c>
      <c r="D3695" t="s">
        <v>5327</v>
      </c>
      <c r="E3695">
        <v>40711</v>
      </c>
      <c r="F3695" t="s">
        <v>1075</v>
      </c>
      <c r="G3695">
        <v>407</v>
      </c>
      <c r="H3695" t="s">
        <v>81</v>
      </c>
      <c r="I3695">
        <v>4</v>
      </c>
      <c r="J3695" t="s">
        <v>75</v>
      </c>
    </row>
    <row r="3696" spans="1:10" x14ac:dyDescent="0.25">
      <c r="A3696" t="s">
        <v>7354</v>
      </c>
      <c r="B3696">
        <f>129548.201942993*(1/100/100)</f>
        <v>12.9548201942993</v>
      </c>
      <c r="C3696">
        <v>42149</v>
      </c>
      <c r="D3696" t="s">
        <v>5302</v>
      </c>
      <c r="E3696">
        <v>40701</v>
      </c>
      <c r="F3696" t="s">
        <v>1066</v>
      </c>
      <c r="G3696">
        <v>407</v>
      </c>
      <c r="H3696" t="s">
        <v>81</v>
      </c>
      <c r="I3696">
        <v>4</v>
      </c>
      <c r="J3696" t="s">
        <v>75</v>
      </c>
    </row>
    <row r="3697" spans="1:10" x14ac:dyDescent="0.25">
      <c r="A3697" t="s">
        <v>7354</v>
      </c>
      <c r="B3697">
        <f>355227.949738338*(1/100/100)</f>
        <v>35.522794973833804</v>
      </c>
      <c r="C3697">
        <v>42150</v>
      </c>
      <c r="D3697" t="s">
        <v>5316</v>
      </c>
      <c r="E3697">
        <v>40705</v>
      </c>
      <c r="F3697" t="s">
        <v>81</v>
      </c>
      <c r="G3697">
        <v>407</v>
      </c>
      <c r="H3697" t="s">
        <v>81</v>
      </c>
      <c r="I3697">
        <v>4</v>
      </c>
      <c r="J3697" t="s">
        <v>75</v>
      </c>
    </row>
    <row r="3698" spans="1:10" x14ac:dyDescent="0.25">
      <c r="A3698" t="s">
        <v>7354</v>
      </c>
      <c r="B3698">
        <f>212552.580722253*(1/100/100)</f>
        <v>21.255258072225303</v>
      </c>
      <c r="C3698">
        <v>42151</v>
      </c>
      <c r="D3698" t="s">
        <v>1078</v>
      </c>
      <c r="E3698">
        <v>40714</v>
      </c>
      <c r="F3698" t="s">
        <v>1078</v>
      </c>
      <c r="G3698">
        <v>407</v>
      </c>
      <c r="H3698" t="s">
        <v>81</v>
      </c>
      <c r="I3698">
        <v>4</v>
      </c>
      <c r="J3698" t="s">
        <v>75</v>
      </c>
    </row>
    <row r="3699" spans="1:10" x14ac:dyDescent="0.25">
      <c r="A3699" t="s">
        <v>7354</v>
      </c>
      <c r="B3699">
        <f>56307.6847182749*(1/100/100)</f>
        <v>5.6307684718274897</v>
      </c>
      <c r="C3699">
        <v>42152</v>
      </c>
      <c r="D3699" t="s">
        <v>5303</v>
      </c>
      <c r="E3699">
        <v>40701</v>
      </c>
      <c r="F3699" t="s">
        <v>1066</v>
      </c>
      <c r="G3699">
        <v>407</v>
      </c>
      <c r="H3699" t="s">
        <v>81</v>
      </c>
      <c r="I3699">
        <v>4</v>
      </c>
      <c r="J3699" t="s">
        <v>75</v>
      </c>
    </row>
    <row r="3700" spans="1:10" x14ac:dyDescent="0.25">
      <c r="A3700" t="s">
        <v>7354</v>
      </c>
      <c r="B3700">
        <f>64722.0911750152*(1/100/100)</f>
        <v>6.4722091175015208</v>
      </c>
      <c r="C3700">
        <v>42153</v>
      </c>
      <c r="D3700" t="s">
        <v>5333</v>
      </c>
      <c r="E3700">
        <v>40713</v>
      </c>
      <c r="F3700" t="s">
        <v>1077</v>
      </c>
      <c r="G3700">
        <v>407</v>
      </c>
      <c r="H3700" t="s">
        <v>81</v>
      </c>
      <c r="I3700">
        <v>4</v>
      </c>
      <c r="J3700" t="s">
        <v>75</v>
      </c>
    </row>
    <row r="3701" spans="1:10" x14ac:dyDescent="0.25">
      <c r="A3701" t="s">
        <v>7354</v>
      </c>
      <c r="B3701">
        <f>142881.521253103*(1/100/100)</f>
        <v>14.288152125310303</v>
      </c>
      <c r="C3701">
        <v>42154</v>
      </c>
      <c r="D3701" t="s">
        <v>1079</v>
      </c>
      <c r="E3701">
        <v>40715</v>
      </c>
      <c r="F3701" t="s">
        <v>5336</v>
      </c>
      <c r="G3701">
        <v>407</v>
      </c>
      <c r="H3701" t="s">
        <v>81</v>
      </c>
      <c r="I3701">
        <v>4</v>
      </c>
      <c r="J3701" t="s">
        <v>75</v>
      </c>
    </row>
    <row r="3702" spans="1:10" x14ac:dyDescent="0.25">
      <c r="A3702" t="s">
        <v>7354</v>
      </c>
      <c r="B3702">
        <f>72287.2832418047*(1/100/100)</f>
        <v>7.2287283241804703</v>
      </c>
      <c r="C3702">
        <v>42155</v>
      </c>
      <c r="D3702" t="s">
        <v>5340</v>
      </c>
      <c r="E3702">
        <v>40716</v>
      </c>
      <c r="F3702" t="s">
        <v>5340</v>
      </c>
      <c r="G3702">
        <v>407</v>
      </c>
      <c r="H3702" t="s">
        <v>81</v>
      </c>
      <c r="I3702">
        <v>4</v>
      </c>
      <c r="J3702" t="s">
        <v>75</v>
      </c>
    </row>
    <row r="3703" spans="1:10" x14ac:dyDescent="0.25">
      <c r="A3703" t="s">
        <v>7354</v>
      </c>
      <c r="B3703">
        <f>240543.857772219*(1/100/100)</f>
        <v>24.054385777221899</v>
      </c>
      <c r="C3703">
        <v>42156</v>
      </c>
      <c r="D3703" t="s">
        <v>5317</v>
      </c>
      <c r="E3703">
        <v>40705</v>
      </c>
      <c r="F3703" t="s">
        <v>81</v>
      </c>
      <c r="G3703">
        <v>407</v>
      </c>
      <c r="H3703" t="s">
        <v>81</v>
      </c>
      <c r="I3703">
        <v>4</v>
      </c>
      <c r="J3703" t="s">
        <v>75</v>
      </c>
    </row>
    <row r="3704" spans="1:10" x14ac:dyDescent="0.25">
      <c r="A3704" t="s">
        <v>7354</v>
      </c>
      <c r="B3704">
        <f>60756.4603274815*(1/100/100)</f>
        <v>6.0756460327481507</v>
      </c>
      <c r="C3704">
        <v>42157</v>
      </c>
      <c r="D3704" t="s">
        <v>5328</v>
      </c>
      <c r="E3704">
        <v>40711</v>
      </c>
      <c r="F3704" t="s">
        <v>1075</v>
      </c>
      <c r="G3704">
        <v>407</v>
      </c>
      <c r="H3704" t="s">
        <v>81</v>
      </c>
      <c r="I3704">
        <v>4</v>
      </c>
      <c r="J3704" t="s">
        <v>75</v>
      </c>
    </row>
    <row r="3705" spans="1:10" x14ac:dyDescent="0.25">
      <c r="A3705" t="s">
        <v>7354</v>
      </c>
      <c r="B3705">
        <f>259889.424738843*(1/100/100)</f>
        <v>25.9889424738843</v>
      </c>
      <c r="C3705">
        <v>42158</v>
      </c>
      <c r="D3705" t="s">
        <v>5329</v>
      </c>
      <c r="E3705">
        <v>40711</v>
      </c>
      <c r="F3705" t="s">
        <v>1075</v>
      </c>
      <c r="G3705">
        <v>407</v>
      </c>
      <c r="H3705" t="s">
        <v>81</v>
      </c>
      <c r="I3705">
        <v>4</v>
      </c>
      <c r="J3705" t="s">
        <v>75</v>
      </c>
    </row>
    <row r="3706" spans="1:10" x14ac:dyDescent="0.25">
      <c r="A3706" t="s">
        <v>7354</v>
      </c>
      <c r="B3706">
        <f>104747.385695707*(1/100/100)</f>
        <v>10.4747385695707</v>
      </c>
      <c r="C3706">
        <v>42159</v>
      </c>
      <c r="D3706" t="s">
        <v>5356</v>
      </c>
      <c r="E3706">
        <v>40720</v>
      </c>
      <c r="F3706" t="s">
        <v>1082</v>
      </c>
      <c r="G3706">
        <v>407</v>
      </c>
      <c r="H3706" t="s">
        <v>81</v>
      </c>
      <c r="I3706">
        <v>4</v>
      </c>
      <c r="J3706" t="s">
        <v>75</v>
      </c>
    </row>
    <row r="3707" spans="1:10" x14ac:dyDescent="0.25">
      <c r="A3707" t="s">
        <v>7354</v>
      </c>
      <c r="B3707">
        <f>134318.889164832*(1/100/100)</f>
        <v>13.431888916483201</v>
      </c>
      <c r="C3707">
        <v>42160</v>
      </c>
      <c r="D3707" t="s">
        <v>5318</v>
      </c>
      <c r="E3707">
        <v>40705</v>
      </c>
      <c r="F3707" t="s">
        <v>81</v>
      </c>
      <c r="G3707">
        <v>407</v>
      </c>
      <c r="H3707" t="s">
        <v>81</v>
      </c>
      <c r="I3707">
        <v>4</v>
      </c>
      <c r="J3707" t="s">
        <v>75</v>
      </c>
    </row>
    <row r="3708" spans="1:10" x14ac:dyDescent="0.25">
      <c r="A3708" t="s">
        <v>7354</v>
      </c>
      <c r="B3708">
        <f>23221.3173681348*(1/100/100)</f>
        <v>2.3221317368134802</v>
      </c>
      <c r="C3708">
        <v>42161</v>
      </c>
      <c r="D3708" t="s">
        <v>1080</v>
      </c>
      <c r="E3708">
        <v>40718</v>
      </c>
      <c r="F3708" t="s">
        <v>1080</v>
      </c>
      <c r="G3708">
        <v>407</v>
      </c>
      <c r="H3708" t="s">
        <v>81</v>
      </c>
      <c r="I3708">
        <v>4</v>
      </c>
      <c r="J3708" t="s">
        <v>75</v>
      </c>
    </row>
    <row r="3709" spans="1:10" x14ac:dyDescent="0.25">
      <c r="A3709" t="s">
        <v>7354</v>
      </c>
      <c r="B3709">
        <f>63949.7116276251*(1/100/100)</f>
        <v>6.394971162762511</v>
      </c>
      <c r="C3709">
        <v>42162</v>
      </c>
      <c r="D3709" t="s">
        <v>5089</v>
      </c>
      <c r="E3709">
        <v>40705</v>
      </c>
      <c r="F3709" t="s">
        <v>81</v>
      </c>
      <c r="G3709">
        <v>407</v>
      </c>
      <c r="H3709" t="s">
        <v>81</v>
      </c>
      <c r="I3709">
        <v>4</v>
      </c>
      <c r="J3709" t="s">
        <v>75</v>
      </c>
    </row>
    <row r="3710" spans="1:10" x14ac:dyDescent="0.25">
      <c r="A3710" t="s">
        <v>7354</v>
      </c>
      <c r="B3710">
        <f>259346.957916925*(1/100/100)</f>
        <v>25.934695791692501</v>
      </c>
      <c r="C3710">
        <v>42163</v>
      </c>
      <c r="D3710" t="s">
        <v>5347</v>
      </c>
      <c r="E3710">
        <v>40719</v>
      </c>
      <c r="F3710" t="s">
        <v>1081</v>
      </c>
      <c r="G3710">
        <v>407</v>
      </c>
      <c r="H3710" t="s">
        <v>81</v>
      </c>
      <c r="I3710">
        <v>4</v>
      </c>
      <c r="J3710" t="s">
        <v>75</v>
      </c>
    </row>
    <row r="3711" spans="1:10" x14ac:dyDescent="0.25">
      <c r="A3711" t="s">
        <v>7354</v>
      </c>
      <c r="B3711">
        <f>200001.469000937*(1/100/100)</f>
        <v>20.000146900093704</v>
      </c>
      <c r="C3711">
        <v>42164</v>
      </c>
      <c r="D3711" t="s">
        <v>1082</v>
      </c>
      <c r="E3711">
        <v>40720</v>
      </c>
      <c r="F3711" t="s">
        <v>1082</v>
      </c>
      <c r="G3711">
        <v>407</v>
      </c>
      <c r="H3711" t="s">
        <v>81</v>
      </c>
      <c r="I3711">
        <v>4</v>
      </c>
      <c r="J3711" t="s">
        <v>75</v>
      </c>
    </row>
    <row r="3712" spans="1:10" x14ac:dyDescent="0.25">
      <c r="A3712" t="s">
        <v>7354</v>
      </c>
      <c r="B3712">
        <f>96660.6447077627*(1/100/100)</f>
        <v>9.66606447077627</v>
      </c>
      <c r="C3712">
        <v>42165</v>
      </c>
      <c r="D3712" t="s">
        <v>3568</v>
      </c>
      <c r="E3712">
        <v>40718</v>
      </c>
      <c r="F3712" t="s">
        <v>1080</v>
      </c>
      <c r="G3712">
        <v>407</v>
      </c>
      <c r="H3712" t="s">
        <v>81</v>
      </c>
      <c r="I3712">
        <v>4</v>
      </c>
      <c r="J3712" t="s">
        <v>75</v>
      </c>
    </row>
    <row r="3713" spans="1:10" x14ac:dyDescent="0.25">
      <c r="A3713" t="s">
        <v>7354</v>
      </c>
      <c r="B3713">
        <f>127997.546271544*(1/100/100)</f>
        <v>12.7997546271544</v>
      </c>
      <c r="C3713">
        <v>43001</v>
      </c>
      <c r="D3713" t="s">
        <v>1157</v>
      </c>
      <c r="E3713">
        <v>41104</v>
      </c>
      <c r="F3713" t="s">
        <v>1157</v>
      </c>
      <c r="G3713">
        <v>411</v>
      </c>
      <c r="H3713" t="s">
        <v>85</v>
      </c>
      <c r="I3713">
        <v>4</v>
      </c>
      <c r="J3713" t="s">
        <v>75</v>
      </c>
    </row>
    <row r="3714" spans="1:10" x14ac:dyDescent="0.25">
      <c r="A3714" t="s">
        <v>7354</v>
      </c>
      <c r="B3714">
        <f>80541.764543814*(1/100/100)</f>
        <v>8.0541764543814001</v>
      </c>
      <c r="C3714">
        <v>43002</v>
      </c>
      <c r="D3714" t="s">
        <v>2229</v>
      </c>
      <c r="E3714">
        <v>41108</v>
      </c>
      <c r="F3714" t="s">
        <v>1161</v>
      </c>
      <c r="G3714">
        <v>411</v>
      </c>
      <c r="H3714" t="s">
        <v>85</v>
      </c>
      <c r="I3714">
        <v>4</v>
      </c>
      <c r="J3714" t="s">
        <v>75</v>
      </c>
    </row>
    <row r="3715" spans="1:10" x14ac:dyDescent="0.25">
      <c r="A3715" t="s">
        <v>7354</v>
      </c>
      <c r="B3715">
        <f>7848.91131326801*(1/100/100)</f>
        <v>0.78489113132680111</v>
      </c>
      <c r="C3715">
        <v>43003</v>
      </c>
      <c r="D3715" t="s">
        <v>5524</v>
      </c>
      <c r="E3715">
        <v>41123</v>
      </c>
      <c r="F3715" t="s">
        <v>1171</v>
      </c>
      <c r="G3715">
        <v>411</v>
      </c>
      <c r="H3715" t="s">
        <v>85</v>
      </c>
      <c r="I3715">
        <v>4</v>
      </c>
      <c r="J3715" t="s">
        <v>75</v>
      </c>
    </row>
    <row r="3716" spans="1:10" x14ac:dyDescent="0.25">
      <c r="A3716" t="s">
        <v>7354</v>
      </c>
      <c r="B3716">
        <f>58069.0519315699*(1/100/100)</f>
        <v>5.8069051931569904</v>
      </c>
      <c r="C3716">
        <v>43004</v>
      </c>
      <c r="D3716" t="s">
        <v>5367</v>
      </c>
      <c r="E3716">
        <v>41104</v>
      </c>
      <c r="F3716" t="s">
        <v>1157</v>
      </c>
      <c r="G3716">
        <v>411</v>
      </c>
      <c r="H3716" t="s">
        <v>85</v>
      </c>
      <c r="I3716">
        <v>4</v>
      </c>
      <c r="J3716" t="s">
        <v>75</v>
      </c>
    </row>
    <row r="3717" spans="1:10" x14ac:dyDescent="0.25">
      <c r="A3717" t="s">
        <v>7354</v>
      </c>
      <c r="B3717">
        <f>195656.766916951*(1/100/100)</f>
        <v>19.565676691695099</v>
      </c>
      <c r="C3717">
        <v>43005</v>
      </c>
      <c r="D3717" t="s">
        <v>1158</v>
      </c>
      <c r="E3717">
        <v>41105</v>
      </c>
      <c r="F3717" t="s">
        <v>1158</v>
      </c>
      <c r="G3717">
        <v>411</v>
      </c>
      <c r="H3717" t="s">
        <v>85</v>
      </c>
      <c r="I3717">
        <v>4</v>
      </c>
      <c r="J3717" t="s">
        <v>75</v>
      </c>
    </row>
    <row r="3718" spans="1:10" x14ac:dyDescent="0.25">
      <c r="A3718" t="s">
        <v>7354</v>
      </c>
      <c r="B3718">
        <f>88122.2242463391*(1/100/100)</f>
        <v>8.8122224246339105</v>
      </c>
      <c r="C3718">
        <v>43006</v>
      </c>
      <c r="D3718" t="s">
        <v>5517</v>
      </c>
      <c r="E3718">
        <v>41119</v>
      </c>
      <c r="F3718" t="s">
        <v>5518</v>
      </c>
      <c r="G3718">
        <v>411</v>
      </c>
      <c r="H3718" t="s">
        <v>85</v>
      </c>
      <c r="I3718">
        <v>4</v>
      </c>
      <c r="J3718" t="s">
        <v>75</v>
      </c>
    </row>
    <row r="3719" spans="1:10" x14ac:dyDescent="0.25">
      <c r="A3719" t="s">
        <v>7354</v>
      </c>
      <c r="B3719">
        <f>56387.8339749217*(1/100/100)</f>
        <v>5.6387833974921699</v>
      </c>
      <c r="C3719">
        <v>43007</v>
      </c>
      <c r="D3719" t="s">
        <v>5504</v>
      </c>
      <c r="E3719">
        <v>41108</v>
      </c>
      <c r="F3719" t="s">
        <v>1161</v>
      </c>
      <c r="G3719">
        <v>411</v>
      </c>
      <c r="H3719" t="s">
        <v>85</v>
      </c>
      <c r="I3719">
        <v>4</v>
      </c>
      <c r="J3719" t="s">
        <v>75</v>
      </c>
    </row>
    <row r="3720" spans="1:10" x14ac:dyDescent="0.25">
      <c r="A3720" t="s">
        <v>7354</v>
      </c>
      <c r="B3720">
        <f>115618.969386174*(1/100/100)</f>
        <v>11.5618969386174</v>
      </c>
      <c r="C3720">
        <v>43008</v>
      </c>
      <c r="D3720" t="s">
        <v>5503</v>
      </c>
      <c r="E3720">
        <v>41107</v>
      </c>
      <c r="F3720" t="s">
        <v>1160</v>
      </c>
      <c r="G3720">
        <v>411</v>
      </c>
      <c r="H3720" t="s">
        <v>85</v>
      </c>
      <c r="I3720">
        <v>4</v>
      </c>
      <c r="J3720" t="s">
        <v>75</v>
      </c>
    </row>
    <row r="3721" spans="1:10" x14ac:dyDescent="0.25">
      <c r="A3721" t="s">
        <v>7354</v>
      </c>
      <c r="B3721">
        <f>136725.852649839*(1/100/100)</f>
        <v>13.672585264983901</v>
      </c>
      <c r="C3721">
        <v>43009</v>
      </c>
      <c r="D3721" t="s">
        <v>2655</v>
      </c>
      <c r="E3721">
        <v>41108</v>
      </c>
      <c r="F3721" t="s">
        <v>1161</v>
      </c>
      <c r="G3721">
        <v>411</v>
      </c>
      <c r="H3721" t="s">
        <v>85</v>
      </c>
      <c r="I3721">
        <v>4</v>
      </c>
      <c r="J3721" t="s">
        <v>75</v>
      </c>
    </row>
    <row r="3722" spans="1:10" x14ac:dyDescent="0.25">
      <c r="A3722" t="s">
        <v>7354</v>
      </c>
      <c r="B3722">
        <f>60402.9400112335*(1/100/100)</f>
        <v>6.0402940011233506</v>
      </c>
      <c r="C3722">
        <v>43010</v>
      </c>
      <c r="D3722" t="s">
        <v>5500</v>
      </c>
      <c r="E3722">
        <v>41105</v>
      </c>
      <c r="F3722" t="s">
        <v>1158</v>
      </c>
      <c r="G3722">
        <v>411</v>
      </c>
      <c r="H3722" t="s">
        <v>85</v>
      </c>
      <c r="I3722">
        <v>4</v>
      </c>
      <c r="J3722" t="s">
        <v>75</v>
      </c>
    </row>
    <row r="3723" spans="1:10" x14ac:dyDescent="0.25">
      <c r="A3723" t="s">
        <v>7354</v>
      </c>
      <c r="B3723">
        <f>87250.9877981667*(1/100/100)</f>
        <v>8.725098779816669</v>
      </c>
      <c r="C3723">
        <v>43011</v>
      </c>
      <c r="D3723" t="s">
        <v>5519</v>
      </c>
      <c r="E3723">
        <v>41119</v>
      </c>
      <c r="F3723" t="s">
        <v>5518</v>
      </c>
      <c r="G3723">
        <v>411</v>
      </c>
      <c r="H3723" t="s">
        <v>85</v>
      </c>
      <c r="I3723">
        <v>4</v>
      </c>
      <c r="J3723" t="s">
        <v>75</v>
      </c>
    </row>
    <row r="3724" spans="1:10" x14ac:dyDescent="0.25">
      <c r="A3724" t="s">
        <v>7354</v>
      </c>
      <c r="B3724">
        <f>175171.833787303*(1/100/100)</f>
        <v>17.517183378730302</v>
      </c>
      <c r="C3724">
        <v>43012</v>
      </c>
      <c r="D3724" t="s">
        <v>1168</v>
      </c>
      <c r="E3724">
        <v>41115</v>
      </c>
      <c r="F3724" t="s">
        <v>1168</v>
      </c>
      <c r="G3724">
        <v>411</v>
      </c>
      <c r="H3724" t="s">
        <v>85</v>
      </c>
      <c r="I3724">
        <v>4</v>
      </c>
      <c r="J3724" t="s">
        <v>75</v>
      </c>
    </row>
    <row r="3725" spans="1:10" x14ac:dyDescent="0.25">
      <c r="A3725" t="s">
        <v>7354</v>
      </c>
      <c r="B3725">
        <f>67973.171760188*(1/100/100)</f>
        <v>6.7973171760188</v>
      </c>
      <c r="C3725">
        <v>43013</v>
      </c>
      <c r="D3725" t="s">
        <v>5501</v>
      </c>
      <c r="E3725">
        <v>41105</v>
      </c>
      <c r="F3725" t="s">
        <v>1158</v>
      </c>
      <c r="G3725">
        <v>411</v>
      </c>
      <c r="H3725" t="s">
        <v>85</v>
      </c>
      <c r="I3725">
        <v>4</v>
      </c>
      <c r="J3725" t="s">
        <v>75</v>
      </c>
    </row>
    <row r="3726" spans="1:10" x14ac:dyDescent="0.25">
      <c r="A3726" t="s">
        <v>7354</v>
      </c>
      <c r="B3726">
        <f>47607.2524169656*(1/100/100)</f>
        <v>4.7607252416965604</v>
      </c>
      <c r="C3726">
        <v>43014</v>
      </c>
      <c r="D3726" t="s">
        <v>5512</v>
      </c>
      <c r="E3726">
        <v>41115</v>
      </c>
      <c r="F3726" t="s">
        <v>1168</v>
      </c>
      <c r="G3726">
        <v>411</v>
      </c>
      <c r="H3726" t="s">
        <v>85</v>
      </c>
      <c r="I3726">
        <v>4</v>
      </c>
      <c r="J3726" t="s">
        <v>75</v>
      </c>
    </row>
    <row r="3727" spans="1:10" x14ac:dyDescent="0.25">
      <c r="A3727" t="s">
        <v>7354</v>
      </c>
      <c r="B3727">
        <f>135278.60851927*(1/100/100)</f>
        <v>13.527860851927</v>
      </c>
      <c r="C3727">
        <v>43015</v>
      </c>
      <c r="D3727" t="s">
        <v>5518</v>
      </c>
      <c r="E3727">
        <v>41119</v>
      </c>
      <c r="F3727" t="s">
        <v>5518</v>
      </c>
      <c r="G3727">
        <v>411</v>
      </c>
      <c r="H3727" t="s">
        <v>85</v>
      </c>
      <c r="I3727">
        <v>4</v>
      </c>
      <c r="J3727" t="s">
        <v>75</v>
      </c>
    </row>
    <row r="3728" spans="1:10" x14ac:dyDescent="0.25">
      <c r="A3728" t="s">
        <v>7354</v>
      </c>
      <c r="B3728">
        <f>52209.9869915915*(1/100/100)</f>
        <v>5.2209986991591499</v>
      </c>
      <c r="C3728">
        <v>43016</v>
      </c>
      <c r="D3728" t="s">
        <v>5521</v>
      </c>
      <c r="E3728">
        <v>41121</v>
      </c>
      <c r="F3728" t="s">
        <v>5521</v>
      </c>
      <c r="G3728">
        <v>411</v>
      </c>
      <c r="H3728" t="s">
        <v>85</v>
      </c>
      <c r="I3728">
        <v>4</v>
      </c>
      <c r="J3728" t="s">
        <v>75</v>
      </c>
    </row>
    <row r="3729" spans="1:10" x14ac:dyDescent="0.25">
      <c r="A3729" t="s">
        <v>7354</v>
      </c>
      <c r="B3729">
        <f>164347.959228244*(1/100/100)</f>
        <v>16.434795922824399</v>
      </c>
      <c r="C3729">
        <v>43017</v>
      </c>
      <c r="D3729" t="s">
        <v>5523</v>
      </c>
      <c r="E3729">
        <v>41122</v>
      </c>
      <c r="F3729" t="s">
        <v>5523</v>
      </c>
      <c r="G3729">
        <v>411</v>
      </c>
      <c r="H3729" t="s">
        <v>85</v>
      </c>
      <c r="I3729">
        <v>4</v>
      </c>
      <c r="J3729" t="s">
        <v>75</v>
      </c>
    </row>
    <row r="3730" spans="1:10" x14ac:dyDescent="0.25">
      <c r="A3730" t="s">
        <v>7354</v>
      </c>
      <c r="B3730">
        <f>191077.814282836*(1/100/100)</f>
        <v>19.107781428283602</v>
      </c>
      <c r="C3730">
        <v>43018</v>
      </c>
      <c r="D3730" t="s">
        <v>1171</v>
      </c>
      <c r="E3730">
        <v>41123</v>
      </c>
      <c r="F3730" t="s">
        <v>1171</v>
      </c>
      <c r="G3730">
        <v>411</v>
      </c>
      <c r="H3730" t="s">
        <v>85</v>
      </c>
      <c r="I3730">
        <v>4</v>
      </c>
      <c r="J3730" t="s">
        <v>75</v>
      </c>
    </row>
    <row r="3731" spans="1:10" x14ac:dyDescent="0.25">
      <c r="A3731" t="s">
        <v>7354</v>
      </c>
      <c r="B3731">
        <f>34161.7234912952*(1/100/100)</f>
        <v>3.4161723491295199</v>
      </c>
      <c r="C3731">
        <v>43019</v>
      </c>
      <c r="D3731" t="s">
        <v>5522</v>
      </c>
      <c r="E3731">
        <v>41121</v>
      </c>
      <c r="F3731" t="s">
        <v>5521</v>
      </c>
      <c r="G3731">
        <v>411</v>
      </c>
      <c r="H3731" t="s">
        <v>85</v>
      </c>
      <c r="I3731">
        <v>4</v>
      </c>
      <c r="J3731" t="s">
        <v>75</v>
      </c>
    </row>
    <row r="3732" spans="1:10" x14ac:dyDescent="0.25">
      <c r="A3732" t="s">
        <v>7354</v>
      </c>
      <c r="B3732">
        <f>326253.719785428*(1/100/100)</f>
        <v>32.625371978542802</v>
      </c>
      <c r="C3732">
        <v>43020</v>
      </c>
      <c r="D3732" t="s">
        <v>987</v>
      </c>
      <c r="E3732">
        <v>41125</v>
      </c>
      <c r="F3732" t="s">
        <v>1173</v>
      </c>
      <c r="G3732">
        <v>411</v>
      </c>
      <c r="H3732" t="s">
        <v>85</v>
      </c>
      <c r="I3732">
        <v>4</v>
      </c>
      <c r="J3732" t="s">
        <v>75</v>
      </c>
    </row>
    <row r="3733" spans="1:10" x14ac:dyDescent="0.25">
      <c r="A3733" t="s">
        <v>7354</v>
      </c>
      <c r="B3733">
        <f>92446.2939286816*(1/100/100)</f>
        <v>9.2446293928681609</v>
      </c>
      <c r="C3733">
        <v>43021</v>
      </c>
      <c r="D3733" t="s">
        <v>5513</v>
      </c>
      <c r="E3733">
        <v>41115</v>
      </c>
      <c r="F3733" t="s">
        <v>1168</v>
      </c>
      <c r="G3733">
        <v>411</v>
      </c>
      <c r="H3733" t="s">
        <v>85</v>
      </c>
      <c r="I3733">
        <v>4</v>
      </c>
      <c r="J3733" t="s">
        <v>75</v>
      </c>
    </row>
    <row r="3734" spans="1:10" x14ac:dyDescent="0.25">
      <c r="A3734" t="s">
        <v>7354</v>
      </c>
      <c r="B3734">
        <f>65468.9782773748*(1/100/100)</f>
        <v>6.5468978277374807</v>
      </c>
      <c r="C3734">
        <v>43022</v>
      </c>
      <c r="D3734" t="s">
        <v>5505</v>
      </c>
      <c r="E3734">
        <v>41108</v>
      </c>
      <c r="F3734" t="s">
        <v>1161</v>
      </c>
      <c r="G3734">
        <v>411</v>
      </c>
      <c r="H3734" t="s">
        <v>85</v>
      </c>
      <c r="I3734">
        <v>4</v>
      </c>
      <c r="J3734" t="s">
        <v>75</v>
      </c>
    </row>
    <row r="3735" spans="1:10" x14ac:dyDescent="0.25">
      <c r="A3735" t="s">
        <v>7354</v>
      </c>
      <c r="B3735">
        <f>84234.239867459*(1/100/100)</f>
        <v>8.4234239867458989</v>
      </c>
      <c r="C3735">
        <v>43101</v>
      </c>
      <c r="D3735" t="s">
        <v>5515</v>
      </c>
      <c r="E3735">
        <v>41118</v>
      </c>
      <c r="F3735" t="s">
        <v>1170</v>
      </c>
      <c r="G3735">
        <v>411</v>
      </c>
      <c r="H3735" t="s">
        <v>85</v>
      </c>
      <c r="I3735">
        <v>4</v>
      </c>
      <c r="J3735" t="s">
        <v>75</v>
      </c>
    </row>
    <row r="3736" spans="1:10" x14ac:dyDescent="0.25">
      <c r="A3736" t="s">
        <v>7354</v>
      </c>
      <c r="B3736">
        <f>294212.830213883*(1/100/100)</f>
        <v>29.421283021388302</v>
      </c>
      <c r="C3736">
        <v>43102</v>
      </c>
      <c r="D3736" t="s">
        <v>5502</v>
      </c>
      <c r="E3736">
        <v>41106</v>
      </c>
      <c r="F3736" t="s">
        <v>1159</v>
      </c>
      <c r="G3736">
        <v>411</v>
      </c>
      <c r="H3736" t="s">
        <v>85</v>
      </c>
      <c r="I3736">
        <v>4</v>
      </c>
      <c r="J3736" t="s">
        <v>75</v>
      </c>
    </row>
    <row r="3737" spans="1:10" x14ac:dyDescent="0.25">
      <c r="A3737" t="s">
        <v>7354</v>
      </c>
      <c r="B3737">
        <f>226752.94037315*(1/100/100)</f>
        <v>22.675294037315002</v>
      </c>
      <c r="C3737">
        <v>43103</v>
      </c>
      <c r="D3737" t="s">
        <v>4940</v>
      </c>
      <c r="E3737">
        <v>41111</v>
      </c>
      <c r="F3737" t="s">
        <v>1164</v>
      </c>
      <c r="G3737">
        <v>411</v>
      </c>
      <c r="H3737" t="s">
        <v>85</v>
      </c>
      <c r="I3737">
        <v>4</v>
      </c>
      <c r="J3737" t="s">
        <v>75</v>
      </c>
    </row>
    <row r="3738" spans="1:10" x14ac:dyDescent="0.25">
      <c r="A3738" t="s">
        <v>7354</v>
      </c>
      <c r="B3738">
        <f>229363.822598126*(1/100/100)</f>
        <v>22.9363822598126</v>
      </c>
      <c r="C3738">
        <v>43104</v>
      </c>
      <c r="D3738" t="s">
        <v>1162</v>
      </c>
      <c r="E3738">
        <v>41109</v>
      </c>
      <c r="F3738" t="s">
        <v>1162</v>
      </c>
      <c r="G3738">
        <v>411</v>
      </c>
      <c r="H3738" t="s">
        <v>85</v>
      </c>
      <c r="I3738">
        <v>4</v>
      </c>
      <c r="J3738" t="s">
        <v>75</v>
      </c>
    </row>
    <row r="3739" spans="1:10" x14ac:dyDescent="0.25">
      <c r="A3739" t="s">
        <v>7354</v>
      </c>
      <c r="B3739">
        <f>265048.407036254*(1/100/100)</f>
        <v>26.504840703625401</v>
      </c>
      <c r="C3739">
        <v>43105</v>
      </c>
      <c r="D3739" t="s">
        <v>5506</v>
      </c>
      <c r="E3739">
        <v>41110</v>
      </c>
      <c r="F3739" t="s">
        <v>1163</v>
      </c>
      <c r="G3739">
        <v>411</v>
      </c>
      <c r="H3739" t="s">
        <v>85</v>
      </c>
      <c r="I3739">
        <v>4</v>
      </c>
      <c r="J3739" t="s">
        <v>75</v>
      </c>
    </row>
    <row r="3740" spans="1:10" x14ac:dyDescent="0.25">
      <c r="A3740" t="s">
        <v>7354</v>
      </c>
      <c r="B3740">
        <f>107133.917705571*(1/100/100)</f>
        <v>10.7133917705571</v>
      </c>
      <c r="C3740">
        <v>43106</v>
      </c>
      <c r="D3740" t="s">
        <v>3998</v>
      </c>
      <c r="E3740">
        <v>41118</v>
      </c>
      <c r="F3740" t="s">
        <v>1170</v>
      </c>
      <c r="G3740">
        <v>411</v>
      </c>
      <c r="H3740" t="s">
        <v>85</v>
      </c>
      <c r="I3740">
        <v>4</v>
      </c>
      <c r="J3740" t="s">
        <v>75</v>
      </c>
    </row>
    <row r="3741" spans="1:10" x14ac:dyDescent="0.25">
      <c r="A3741" t="s">
        <v>7354</v>
      </c>
      <c r="B3741">
        <f>209722.710983544*(1/100/100)</f>
        <v>20.972271098354401</v>
      </c>
      <c r="C3741">
        <v>43107</v>
      </c>
      <c r="D3741" t="s">
        <v>1164</v>
      </c>
      <c r="E3741">
        <v>41111</v>
      </c>
      <c r="F3741" t="s">
        <v>1164</v>
      </c>
      <c r="G3741">
        <v>411</v>
      </c>
      <c r="H3741" t="s">
        <v>85</v>
      </c>
      <c r="I3741">
        <v>4</v>
      </c>
      <c r="J3741" t="s">
        <v>75</v>
      </c>
    </row>
    <row r="3742" spans="1:10" x14ac:dyDescent="0.25">
      <c r="A3742" t="s">
        <v>7354</v>
      </c>
      <c r="B3742">
        <f>84428.7054495603*(1/100/100)</f>
        <v>8.4428705449560297</v>
      </c>
      <c r="C3742">
        <v>43108</v>
      </c>
      <c r="D3742" t="s">
        <v>5516</v>
      </c>
      <c r="E3742">
        <v>41118</v>
      </c>
      <c r="F3742" t="s">
        <v>1170</v>
      </c>
      <c r="G3742">
        <v>411</v>
      </c>
      <c r="H3742" t="s">
        <v>85</v>
      </c>
      <c r="I3742">
        <v>4</v>
      </c>
      <c r="J3742" t="s">
        <v>75</v>
      </c>
    </row>
    <row r="3743" spans="1:10" x14ac:dyDescent="0.25">
      <c r="A3743" t="s">
        <v>7354</v>
      </c>
      <c r="B3743">
        <f>72437.3789247971*(1/100/100)</f>
        <v>7.24373789247971</v>
      </c>
      <c r="C3743">
        <v>43109</v>
      </c>
      <c r="D3743" t="s">
        <v>5507</v>
      </c>
      <c r="E3743">
        <v>41110</v>
      </c>
      <c r="F3743" t="s">
        <v>1163</v>
      </c>
      <c r="G3743">
        <v>411</v>
      </c>
      <c r="H3743" t="s">
        <v>85</v>
      </c>
      <c r="I3743">
        <v>4</v>
      </c>
      <c r="J3743" t="s">
        <v>75</v>
      </c>
    </row>
    <row r="3744" spans="1:10" x14ac:dyDescent="0.25">
      <c r="A3744" t="s">
        <v>7354</v>
      </c>
      <c r="B3744">
        <f>174501.919001912*(1/100/100)</f>
        <v>17.4501919001912</v>
      </c>
      <c r="C3744">
        <v>43110</v>
      </c>
      <c r="D3744" t="s">
        <v>1170</v>
      </c>
      <c r="E3744">
        <v>41118</v>
      </c>
      <c r="F3744" t="s">
        <v>1170</v>
      </c>
      <c r="G3744">
        <v>411</v>
      </c>
      <c r="H3744" t="s">
        <v>85</v>
      </c>
      <c r="I3744">
        <v>4</v>
      </c>
      <c r="J3744" t="s">
        <v>75</v>
      </c>
    </row>
    <row r="3745" spans="1:10" x14ac:dyDescent="0.25">
      <c r="A3745" t="s">
        <v>7354</v>
      </c>
      <c r="B3745">
        <f>267388.936972698*(1/100/100)</f>
        <v>26.738893697269802</v>
      </c>
      <c r="C3745">
        <v>43111</v>
      </c>
      <c r="D3745" t="s">
        <v>5520</v>
      </c>
      <c r="E3745">
        <v>41120</v>
      </c>
      <c r="F3745" t="s">
        <v>5520</v>
      </c>
      <c r="G3745">
        <v>411</v>
      </c>
      <c r="H3745" t="s">
        <v>85</v>
      </c>
      <c r="I3745">
        <v>4</v>
      </c>
      <c r="J3745" t="s">
        <v>75</v>
      </c>
    </row>
    <row r="3746" spans="1:10" x14ac:dyDescent="0.25">
      <c r="A3746" t="s">
        <v>7354</v>
      </c>
      <c r="B3746">
        <f>465878.754037928*(1/100/100)</f>
        <v>46.5878754037928</v>
      </c>
      <c r="C3746">
        <v>43112</v>
      </c>
      <c r="D3746" t="s">
        <v>1172</v>
      </c>
      <c r="E3746">
        <v>41124</v>
      </c>
      <c r="F3746" t="s">
        <v>1172</v>
      </c>
      <c r="G3746">
        <v>411</v>
      </c>
      <c r="H3746" t="s">
        <v>85</v>
      </c>
      <c r="I3746">
        <v>4</v>
      </c>
      <c r="J3746" t="s">
        <v>75</v>
      </c>
    </row>
    <row r="3747" spans="1:10" x14ac:dyDescent="0.25">
      <c r="A3747" t="s">
        <v>7354</v>
      </c>
      <c r="B3747">
        <f>82229.4147158031*(1/100/100)</f>
        <v>8.2229414715803095</v>
      </c>
      <c r="C3747">
        <v>43113</v>
      </c>
      <c r="D3747" t="s">
        <v>5525</v>
      </c>
      <c r="E3747">
        <v>41124</v>
      </c>
      <c r="F3747" t="s">
        <v>1172</v>
      </c>
      <c r="G3747">
        <v>411</v>
      </c>
      <c r="H3747" t="s">
        <v>85</v>
      </c>
      <c r="I3747">
        <v>4</v>
      </c>
      <c r="J3747" t="s">
        <v>75</v>
      </c>
    </row>
    <row r="3748" spans="1:10" x14ac:dyDescent="0.25">
      <c r="A3748" t="s">
        <v>7354</v>
      </c>
      <c r="B3748">
        <f>90835.1485512526*(1/100/100)</f>
        <v>9.0835148551252605</v>
      </c>
      <c r="C3748">
        <v>43201</v>
      </c>
      <c r="D3748" t="s">
        <v>5496</v>
      </c>
      <c r="E3748">
        <v>41101</v>
      </c>
      <c r="F3748" t="s">
        <v>1154</v>
      </c>
      <c r="G3748">
        <v>411</v>
      </c>
      <c r="H3748" t="s">
        <v>85</v>
      </c>
      <c r="I3748">
        <v>4</v>
      </c>
      <c r="J3748" t="s">
        <v>75</v>
      </c>
    </row>
    <row r="3749" spans="1:10" x14ac:dyDescent="0.25">
      <c r="A3749" t="s">
        <v>7354</v>
      </c>
      <c r="B3749">
        <f>73405.323721844*(1/100/100)</f>
        <v>7.3405323721844011</v>
      </c>
      <c r="C3749">
        <v>43202</v>
      </c>
      <c r="D3749" t="s">
        <v>632</v>
      </c>
      <c r="E3749">
        <v>41126</v>
      </c>
      <c r="F3749" t="s">
        <v>1174</v>
      </c>
      <c r="G3749">
        <v>411</v>
      </c>
      <c r="H3749" t="s">
        <v>85</v>
      </c>
      <c r="I3749">
        <v>4</v>
      </c>
      <c r="J3749" t="s">
        <v>75</v>
      </c>
    </row>
    <row r="3750" spans="1:10" x14ac:dyDescent="0.25">
      <c r="A3750" t="s">
        <v>7354</v>
      </c>
      <c r="B3750">
        <f>152189.482963123*(1/100/100)</f>
        <v>15.218948296312302</v>
      </c>
      <c r="C3750">
        <v>43203</v>
      </c>
      <c r="D3750" t="s">
        <v>1155</v>
      </c>
      <c r="E3750">
        <v>41102</v>
      </c>
      <c r="F3750" t="s">
        <v>1155</v>
      </c>
      <c r="G3750">
        <v>411</v>
      </c>
      <c r="H3750" t="s">
        <v>85</v>
      </c>
      <c r="I3750">
        <v>4</v>
      </c>
      <c r="J3750" t="s">
        <v>75</v>
      </c>
    </row>
    <row r="3751" spans="1:10" x14ac:dyDescent="0.25">
      <c r="A3751" t="s">
        <v>7354</v>
      </c>
      <c r="B3751">
        <f>168839.199164269*(1/100/100)</f>
        <v>16.883919916426901</v>
      </c>
      <c r="C3751">
        <v>43204</v>
      </c>
      <c r="D3751" t="s">
        <v>2056</v>
      </c>
      <c r="E3751">
        <v>41114</v>
      </c>
      <c r="F3751" t="s">
        <v>1167</v>
      </c>
      <c r="G3751">
        <v>411</v>
      </c>
      <c r="H3751" t="s">
        <v>85</v>
      </c>
      <c r="I3751">
        <v>4</v>
      </c>
      <c r="J3751" t="s">
        <v>75</v>
      </c>
    </row>
    <row r="3752" spans="1:10" x14ac:dyDescent="0.25">
      <c r="A3752" t="s">
        <v>7354</v>
      </c>
      <c r="B3752">
        <f>78478.295718119*(1/100/100)</f>
        <v>7.8478295718119</v>
      </c>
      <c r="C3752">
        <v>43205</v>
      </c>
      <c r="D3752" t="s">
        <v>254</v>
      </c>
      <c r="E3752">
        <v>41114</v>
      </c>
      <c r="F3752" t="s">
        <v>1167</v>
      </c>
      <c r="G3752">
        <v>411</v>
      </c>
      <c r="H3752" t="s">
        <v>85</v>
      </c>
      <c r="I3752">
        <v>4</v>
      </c>
      <c r="J3752" t="s">
        <v>75</v>
      </c>
    </row>
    <row r="3753" spans="1:10" x14ac:dyDescent="0.25">
      <c r="A3753" t="s">
        <v>7354</v>
      </c>
      <c r="B3753">
        <f>173420.29200796*(1/100/100)</f>
        <v>17.342029200796002</v>
      </c>
      <c r="C3753">
        <v>43206</v>
      </c>
      <c r="D3753" t="s">
        <v>1156</v>
      </c>
      <c r="E3753">
        <v>41103</v>
      </c>
      <c r="F3753" t="s">
        <v>1156</v>
      </c>
      <c r="G3753">
        <v>411</v>
      </c>
      <c r="H3753" t="s">
        <v>85</v>
      </c>
      <c r="I3753">
        <v>4</v>
      </c>
      <c r="J3753" t="s">
        <v>75</v>
      </c>
    </row>
    <row r="3754" spans="1:10" x14ac:dyDescent="0.25">
      <c r="A3754" t="s">
        <v>7354</v>
      </c>
      <c r="B3754">
        <f>100269.228426929*(1/100/100)</f>
        <v>10.026922842692899</v>
      </c>
      <c r="C3754">
        <v>43207</v>
      </c>
      <c r="D3754" t="s">
        <v>4363</v>
      </c>
      <c r="E3754">
        <v>41112</v>
      </c>
      <c r="F3754" t="s">
        <v>1165</v>
      </c>
      <c r="G3754">
        <v>411</v>
      </c>
      <c r="H3754" t="s">
        <v>85</v>
      </c>
      <c r="I3754">
        <v>4</v>
      </c>
      <c r="J3754" t="s">
        <v>75</v>
      </c>
    </row>
    <row r="3755" spans="1:10" x14ac:dyDescent="0.25">
      <c r="A3755" t="s">
        <v>7354</v>
      </c>
      <c r="B3755">
        <f>102741.515364768*(1/100/100)</f>
        <v>10.274151536476801</v>
      </c>
      <c r="C3755">
        <v>43208</v>
      </c>
      <c r="D3755" t="s">
        <v>5510</v>
      </c>
      <c r="E3755">
        <v>41113</v>
      </c>
      <c r="F3755" t="s">
        <v>1166</v>
      </c>
      <c r="G3755">
        <v>411</v>
      </c>
      <c r="H3755" t="s">
        <v>85</v>
      </c>
      <c r="I3755">
        <v>4</v>
      </c>
      <c r="J3755" t="s">
        <v>75</v>
      </c>
    </row>
    <row r="3756" spans="1:10" x14ac:dyDescent="0.25">
      <c r="A3756" t="s">
        <v>7354</v>
      </c>
      <c r="B3756">
        <f>97180.8406105647*(1/100/100)</f>
        <v>9.7180840610564712</v>
      </c>
      <c r="C3756">
        <v>43209</v>
      </c>
      <c r="D3756" t="s">
        <v>5508</v>
      </c>
      <c r="E3756">
        <v>41112</v>
      </c>
      <c r="F3756" t="s">
        <v>1165</v>
      </c>
      <c r="G3756">
        <v>411</v>
      </c>
      <c r="H3756" t="s">
        <v>85</v>
      </c>
      <c r="I3756">
        <v>4</v>
      </c>
      <c r="J3756" t="s">
        <v>75</v>
      </c>
    </row>
    <row r="3757" spans="1:10" x14ac:dyDescent="0.25">
      <c r="A3757" t="s">
        <v>7354</v>
      </c>
      <c r="B3757">
        <f>77640.3855684733*(1/100/100)</f>
        <v>7.7640385568473302</v>
      </c>
      <c r="C3757">
        <v>43210</v>
      </c>
      <c r="D3757" t="s">
        <v>5497</v>
      </c>
      <c r="E3757">
        <v>41101</v>
      </c>
      <c r="F3757" t="s">
        <v>1154</v>
      </c>
      <c r="G3757">
        <v>411</v>
      </c>
      <c r="H3757" t="s">
        <v>85</v>
      </c>
      <c r="I3757">
        <v>4</v>
      </c>
      <c r="J3757" t="s">
        <v>75</v>
      </c>
    </row>
    <row r="3758" spans="1:10" x14ac:dyDescent="0.25">
      <c r="A3758" t="s">
        <v>7354</v>
      </c>
      <c r="B3758">
        <f>42471.6999873431*(1/100/100)</f>
        <v>4.2471699987343099</v>
      </c>
      <c r="C3758">
        <v>43211</v>
      </c>
      <c r="D3758" t="s">
        <v>5509</v>
      </c>
      <c r="E3758">
        <v>41112</v>
      </c>
      <c r="F3758" t="s">
        <v>1165</v>
      </c>
      <c r="G3758">
        <v>411</v>
      </c>
      <c r="H3758" t="s">
        <v>85</v>
      </c>
      <c r="I3758">
        <v>4</v>
      </c>
      <c r="J3758" t="s">
        <v>75</v>
      </c>
    </row>
    <row r="3759" spans="1:10" x14ac:dyDescent="0.25">
      <c r="A3759" t="s">
        <v>7354</v>
      </c>
      <c r="B3759">
        <f>167604.641496574*(1/100/100)</f>
        <v>16.760464149657402</v>
      </c>
      <c r="C3759">
        <v>43212</v>
      </c>
      <c r="D3759" t="s">
        <v>1166</v>
      </c>
      <c r="E3759">
        <v>41113</v>
      </c>
      <c r="F3759" t="s">
        <v>1166</v>
      </c>
      <c r="G3759">
        <v>411</v>
      </c>
      <c r="H3759" t="s">
        <v>85</v>
      </c>
      <c r="I3759">
        <v>4</v>
      </c>
      <c r="J3759" t="s">
        <v>75</v>
      </c>
    </row>
    <row r="3760" spans="1:10" x14ac:dyDescent="0.25">
      <c r="A3760" t="s">
        <v>7354</v>
      </c>
      <c r="B3760">
        <f>201197.275123987*(1/100/100)</f>
        <v>20.1197275123987</v>
      </c>
      <c r="C3760">
        <v>43213</v>
      </c>
      <c r="D3760" t="s">
        <v>5511</v>
      </c>
      <c r="E3760">
        <v>41114</v>
      </c>
      <c r="F3760" t="s">
        <v>1167</v>
      </c>
      <c r="G3760">
        <v>411</v>
      </c>
      <c r="H3760" t="s">
        <v>85</v>
      </c>
      <c r="I3760">
        <v>4</v>
      </c>
      <c r="J3760" t="s">
        <v>75</v>
      </c>
    </row>
    <row r="3761" spans="1:10" x14ac:dyDescent="0.25">
      <c r="A3761" t="s">
        <v>7354</v>
      </c>
      <c r="B3761">
        <f>470326.966940163*(1/100/100)</f>
        <v>47.032696694016302</v>
      </c>
      <c r="C3761">
        <v>43214</v>
      </c>
      <c r="D3761" t="s">
        <v>85</v>
      </c>
      <c r="E3761">
        <v>41116</v>
      </c>
      <c r="F3761" t="s">
        <v>85</v>
      </c>
      <c r="G3761">
        <v>411</v>
      </c>
      <c r="H3761" t="s">
        <v>85</v>
      </c>
      <c r="I3761">
        <v>4</v>
      </c>
      <c r="J3761" t="s">
        <v>75</v>
      </c>
    </row>
    <row r="3762" spans="1:10" x14ac:dyDescent="0.25">
      <c r="A3762" t="s">
        <v>7354</v>
      </c>
      <c r="B3762">
        <f>175847.73388553*(1/100/100)</f>
        <v>17.584773388553</v>
      </c>
      <c r="C3762">
        <v>43215</v>
      </c>
      <c r="D3762" t="s">
        <v>5514</v>
      </c>
      <c r="E3762">
        <v>41116</v>
      </c>
      <c r="F3762" t="s">
        <v>85</v>
      </c>
      <c r="G3762">
        <v>411</v>
      </c>
      <c r="H3762" t="s">
        <v>85</v>
      </c>
      <c r="I3762">
        <v>4</v>
      </c>
      <c r="J3762" t="s">
        <v>75</v>
      </c>
    </row>
    <row r="3763" spans="1:10" x14ac:dyDescent="0.25">
      <c r="A3763" t="s">
        <v>7354</v>
      </c>
      <c r="B3763">
        <f>47279.8547608012*(1/100/100)</f>
        <v>4.7279854760801205</v>
      </c>
      <c r="C3763">
        <v>43216</v>
      </c>
      <c r="D3763" t="s">
        <v>5498</v>
      </c>
      <c r="E3763">
        <v>41102</v>
      </c>
      <c r="F3763" t="s">
        <v>1155</v>
      </c>
      <c r="G3763">
        <v>411</v>
      </c>
      <c r="H3763" t="s">
        <v>85</v>
      </c>
      <c r="I3763">
        <v>4</v>
      </c>
      <c r="J3763" t="s">
        <v>75</v>
      </c>
    </row>
    <row r="3764" spans="1:10" x14ac:dyDescent="0.25">
      <c r="A3764" t="s">
        <v>7354</v>
      </c>
      <c r="B3764">
        <f>118003.774151825*(1/100/100)</f>
        <v>11.800377415182501</v>
      </c>
      <c r="C3764">
        <v>43217</v>
      </c>
      <c r="D3764" t="s">
        <v>1169</v>
      </c>
      <c r="E3764">
        <v>41117</v>
      </c>
      <c r="F3764" t="s">
        <v>1169</v>
      </c>
      <c r="G3764">
        <v>411</v>
      </c>
      <c r="H3764" t="s">
        <v>85</v>
      </c>
      <c r="I3764">
        <v>4</v>
      </c>
      <c r="J3764" t="s">
        <v>75</v>
      </c>
    </row>
    <row r="3765" spans="1:10" x14ac:dyDescent="0.25">
      <c r="A3765" t="s">
        <v>7354</v>
      </c>
      <c r="B3765">
        <f>58086.771298325*(1/100/100)</f>
        <v>5.8086771298325006</v>
      </c>
      <c r="C3765">
        <v>43218</v>
      </c>
      <c r="D3765" t="s">
        <v>735</v>
      </c>
      <c r="E3765">
        <v>41114</v>
      </c>
      <c r="F3765" t="s">
        <v>1167</v>
      </c>
      <c r="G3765">
        <v>411</v>
      </c>
      <c r="H3765" t="s">
        <v>85</v>
      </c>
      <c r="I3765">
        <v>4</v>
      </c>
      <c r="J3765" t="s">
        <v>75</v>
      </c>
    </row>
    <row r="3766" spans="1:10" x14ac:dyDescent="0.25">
      <c r="A3766" t="s">
        <v>7354</v>
      </c>
      <c r="B3766">
        <f>183633.844762996*(1/100/100)</f>
        <v>18.363384476299601</v>
      </c>
      <c r="C3766">
        <v>43219</v>
      </c>
      <c r="D3766" t="s">
        <v>4377</v>
      </c>
      <c r="E3766">
        <v>41116</v>
      </c>
      <c r="F3766" t="s">
        <v>85</v>
      </c>
      <c r="G3766">
        <v>411</v>
      </c>
      <c r="H3766" t="s">
        <v>85</v>
      </c>
      <c r="I3766">
        <v>4</v>
      </c>
      <c r="J3766" t="s">
        <v>75</v>
      </c>
    </row>
    <row r="3767" spans="1:10" x14ac:dyDescent="0.25">
      <c r="A3767" t="s">
        <v>7354</v>
      </c>
      <c r="B3767">
        <f>109368.358311271*(1/100/100)</f>
        <v>10.936835831127102</v>
      </c>
      <c r="C3767">
        <v>43220</v>
      </c>
      <c r="D3767" t="s">
        <v>1174</v>
      </c>
      <c r="E3767">
        <v>41126</v>
      </c>
      <c r="F3767" t="s">
        <v>1174</v>
      </c>
      <c r="G3767">
        <v>411</v>
      </c>
      <c r="H3767" t="s">
        <v>85</v>
      </c>
      <c r="I3767">
        <v>4</v>
      </c>
      <c r="J3767" t="s">
        <v>75</v>
      </c>
    </row>
    <row r="3768" spans="1:10" x14ac:dyDescent="0.25">
      <c r="A3768" t="s">
        <v>7354</v>
      </c>
      <c r="B3768">
        <f>59662.8310860952*(1/100/100)</f>
        <v>5.9662831086095203</v>
      </c>
      <c r="C3768">
        <v>43221</v>
      </c>
      <c r="D3768" t="s">
        <v>5499</v>
      </c>
      <c r="E3768">
        <v>41103</v>
      </c>
      <c r="F3768" t="s">
        <v>1156</v>
      </c>
      <c r="G3768">
        <v>411</v>
      </c>
      <c r="H3768" t="s">
        <v>85</v>
      </c>
      <c r="I3768">
        <v>4</v>
      </c>
      <c r="J3768" t="s">
        <v>75</v>
      </c>
    </row>
    <row r="3769" spans="1:10" x14ac:dyDescent="0.25">
      <c r="A3769" t="s">
        <v>7354</v>
      </c>
      <c r="B3769">
        <f>26412.1726873128*(1/100/100)</f>
        <v>2.64121726873128</v>
      </c>
      <c r="C3769">
        <v>44001</v>
      </c>
      <c r="D3769" t="s">
        <v>5383</v>
      </c>
      <c r="E3769">
        <v>40827</v>
      </c>
      <c r="F3769" t="s">
        <v>1103</v>
      </c>
      <c r="G3769">
        <v>408</v>
      </c>
      <c r="H3769" t="s">
        <v>82</v>
      </c>
      <c r="I3769">
        <v>4</v>
      </c>
      <c r="J3769" t="s">
        <v>75</v>
      </c>
    </row>
    <row r="3770" spans="1:10" x14ac:dyDescent="0.25">
      <c r="A3770" t="s">
        <v>7354</v>
      </c>
      <c r="B3770">
        <f>39504.473708686*(1/100/100)</f>
        <v>3.9504473708685999</v>
      </c>
      <c r="C3770">
        <v>44002</v>
      </c>
      <c r="D3770" t="s">
        <v>4414</v>
      </c>
      <c r="E3770">
        <v>40829</v>
      </c>
      <c r="F3770" t="s">
        <v>1105</v>
      </c>
      <c r="G3770">
        <v>408</v>
      </c>
      <c r="H3770" t="s">
        <v>82</v>
      </c>
      <c r="I3770">
        <v>4</v>
      </c>
      <c r="J3770" t="s">
        <v>75</v>
      </c>
    </row>
    <row r="3771" spans="1:10" x14ac:dyDescent="0.25">
      <c r="A3771" t="s">
        <v>7354</v>
      </c>
      <c r="B3771">
        <f>73801.3845639327*(1/100/100)</f>
        <v>7.3801384563932704</v>
      </c>
      <c r="C3771">
        <v>44003</v>
      </c>
      <c r="D3771" t="s">
        <v>5357</v>
      </c>
      <c r="E3771">
        <v>40805</v>
      </c>
      <c r="F3771" t="s">
        <v>1086</v>
      </c>
      <c r="G3771">
        <v>408</v>
      </c>
      <c r="H3771" t="s">
        <v>82</v>
      </c>
      <c r="I3771">
        <v>4</v>
      </c>
      <c r="J3771" t="s">
        <v>75</v>
      </c>
    </row>
    <row r="3772" spans="1:10" x14ac:dyDescent="0.25">
      <c r="A3772" t="s">
        <v>7354</v>
      </c>
      <c r="B3772">
        <f>66539.0145156201*(1/100/100)</f>
        <v>6.6539014515620103</v>
      </c>
      <c r="C3772">
        <v>44004</v>
      </c>
      <c r="D3772" t="s">
        <v>5376</v>
      </c>
      <c r="E3772">
        <v>40821</v>
      </c>
      <c r="F3772" t="s">
        <v>1100</v>
      </c>
      <c r="G3772">
        <v>408</v>
      </c>
      <c r="H3772" t="s">
        <v>82</v>
      </c>
      <c r="I3772">
        <v>4</v>
      </c>
      <c r="J3772" t="s">
        <v>75</v>
      </c>
    </row>
    <row r="3773" spans="1:10" x14ac:dyDescent="0.25">
      <c r="A3773" t="s">
        <v>7354</v>
      </c>
      <c r="B3773">
        <f>129832.536738645*(1/100/100)</f>
        <v>12.9832536738645</v>
      </c>
      <c r="C3773">
        <v>44005</v>
      </c>
      <c r="D3773" t="s">
        <v>1086</v>
      </c>
      <c r="E3773">
        <v>40805</v>
      </c>
      <c r="F3773" t="s">
        <v>1086</v>
      </c>
      <c r="G3773">
        <v>408</v>
      </c>
      <c r="H3773" t="s">
        <v>82</v>
      </c>
      <c r="I3773">
        <v>4</v>
      </c>
      <c r="J3773" t="s">
        <v>75</v>
      </c>
    </row>
    <row r="3774" spans="1:10" x14ac:dyDescent="0.25">
      <c r="A3774" t="s">
        <v>7354</v>
      </c>
      <c r="B3774">
        <f>50755.8091141955*(1/100/100)</f>
        <v>5.07558091141955</v>
      </c>
      <c r="C3774">
        <v>44006</v>
      </c>
      <c r="D3774" t="s">
        <v>5367</v>
      </c>
      <c r="E3774">
        <v>40811</v>
      </c>
      <c r="F3774" t="s">
        <v>1091</v>
      </c>
      <c r="G3774">
        <v>408</v>
      </c>
      <c r="H3774" t="s">
        <v>82</v>
      </c>
      <c r="I3774">
        <v>4</v>
      </c>
      <c r="J3774" t="s">
        <v>75</v>
      </c>
    </row>
    <row r="3775" spans="1:10" x14ac:dyDescent="0.25">
      <c r="A3775" t="s">
        <v>7354</v>
      </c>
      <c r="B3775">
        <f>182120.801495765*(1/100/100)</f>
        <v>18.212080149576501</v>
      </c>
      <c r="C3775">
        <v>44007</v>
      </c>
      <c r="D3775" t="s">
        <v>82</v>
      </c>
      <c r="E3775">
        <v>40808</v>
      </c>
      <c r="F3775" t="s">
        <v>82</v>
      </c>
      <c r="G3775">
        <v>408</v>
      </c>
      <c r="H3775" t="s">
        <v>82</v>
      </c>
      <c r="I3775">
        <v>4</v>
      </c>
      <c r="J3775" t="s">
        <v>75</v>
      </c>
    </row>
    <row r="3776" spans="1:10" x14ac:dyDescent="0.25">
      <c r="A3776" t="s">
        <v>7354</v>
      </c>
      <c r="B3776">
        <f>30938.2421987977*(1/100/100)</f>
        <v>3.0938242198797701</v>
      </c>
      <c r="C3776">
        <v>44008</v>
      </c>
      <c r="D3776" t="s">
        <v>3069</v>
      </c>
      <c r="E3776">
        <v>40815</v>
      </c>
      <c r="F3776" t="s">
        <v>1095</v>
      </c>
      <c r="G3776">
        <v>408</v>
      </c>
      <c r="H3776" t="s">
        <v>82</v>
      </c>
      <c r="I3776">
        <v>4</v>
      </c>
      <c r="J3776" t="s">
        <v>75</v>
      </c>
    </row>
    <row r="3777" spans="1:10" x14ac:dyDescent="0.25">
      <c r="A3777" t="s">
        <v>7354</v>
      </c>
      <c r="B3777">
        <f>98617.9090694326*(1/100/100)</f>
        <v>9.861790906943261</v>
      </c>
      <c r="C3777">
        <v>44009</v>
      </c>
      <c r="D3777" t="s">
        <v>1594</v>
      </c>
      <c r="E3777">
        <v>40815</v>
      </c>
      <c r="F3777" t="s">
        <v>1095</v>
      </c>
      <c r="G3777">
        <v>408</v>
      </c>
      <c r="H3777" t="s">
        <v>82</v>
      </c>
      <c r="I3777">
        <v>4</v>
      </c>
      <c r="J3777" t="s">
        <v>75</v>
      </c>
    </row>
    <row r="3778" spans="1:10" x14ac:dyDescent="0.25">
      <c r="A3778" t="s">
        <v>7354</v>
      </c>
      <c r="B3778">
        <f>167192.693445715*(1/100/100)</f>
        <v>16.719269344571501</v>
      </c>
      <c r="C3778">
        <v>44010</v>
      </c>
      <c r="D3778" t="s">
        <v>3055</v>
      </c>
      <c r="E3778">
        <v>40811</v>
      </c>
      <c r="F3778" t="s">
        <v>1091</v>
      </c>
      <c r="G3778">
        <v>408</v>
      </c>
      <c r="H3778" t="s">
        <v>82</v>
      </c>
      <c r="I3778">
        <v>4</v>
      </c>
      <c r="J3778" t="s">
        <v>75</v>
      </c>
    </row>
    <row r="3779" spans="1:10" x14ac:dyDescent="0.25">
      <c r="A3779" t="s">
        <v>7354</v>
      </c>
      <c r="B3779">
        <f>96724.5070137438*(1/100/100)</f>
        <v>9.6724507013743803</v>
      </c>
      <c r="C3779">
        <v>44011</v>
      </c>
      <c r="D3779" t="s">
        <v>3015</v>
      </c>
      <c r="E3779">
        <v>40813</v>
      </c>
      <c r="F3779" t="s">
        <v>1093</v>
      </c>
      <c r="G3779">
        <v>408</v>
      </c>
      <c r="H3779" t="s">
        <v>82</v>
      </c>
      <c r="I3779">
        <v>4</v>
      </c>
      <c r="J3779" t="s">
        <v>75</v>
      </c>
    </row>
    <row r="3780" spans="1:10" x14ac:dyDescent="0.25">
      <c r="A3780" t="s">
        <v>7354</v>
      </c>
      <c r="B3780">
        <f>51597.9459830139*(1/100/100)</f>
        <v>5.1597945983013904</v>
      </c>
      <c r="C3780">
        <v>44012</v>
      </c>
      <c r="D3780" t="s">
        <v>5386</v>
      </c>
      <c r="E3780">
        <v>40829</v>
      </c>
      <c r="F3780" t="s">
        <v>1105</v>
      </c>
      <c r="G3780">
        <v>408</v>
      </c>
      <c r="H3780" t="s">
        <v>82</v>
      </c>
      <c r="I3780">
        <v>4</v>
      </c>
      <c r="J3780" t="s">
        <v>75</v>
      </c>
    </row>
    <row r="3781" spans="1:10" x14ac:dyDescent="0.25">
      <c r="A3781" t="s">
        <v>7354</v>
      </c>
      <c r="B3781">
        <f>42621.290448783*(1/100/100)</f>
        <v>4.2621290448783</v>
      </c>
      <c r="C3781">
        <v>44013</v>
      </c>
      <c r="D3781" t="s">
        <v>5387</v>
      </c>
      <c r="E3781">
        <v>40829</v>
      </c>
      <c r="F3781" t="s">
        <v>1105</v>
      </c>
      <c r="G3781">
        <v>408</v>
      </c>
      <c r="H3781" t="s">
        <v>82</v>
      </c>
      <c r="I3781">
        <v>4</v>
      </c>
      <c r="J3781" t="s">
        <v>75</v>
      </c>
    </row>
    <row r="3782" spans="1:10" x14ac:dyDescent="0.25">
      <c r="A3782" t="s">
        <v>7354</v>
      </c>
      <c r="B3782">
        <f>160950.632213498*(1/100/100)</f>
        <v>16.0950632213498</v>
      </c>
      <c r="C3782">
        <v>44014</v>
      </c>
      <c r="D3782" t="s">
        <v>5363</v>
      </c>
      <c r="E3782">
        <v>40808</v>
      </c>
      <c r="F3782" t="s">
        <v>82</v>
      </c>
      <c r="G3782">
        <v>408</v>
      </c>
      <c r="H3782" t="s">
        <v>82</v>
      </c>
      <c r="I3782">
        <v>4</v>
      </c>
      <c r="J3782" t="s">
        <v>75</v>
      </c>
    </row>
    <row r="3783" spans="1:10" x14ac:dyDescent="0.25">
      <c r="A3783" t="s">
        <v>7354</v>
      </c>
      <c r="B3783">
        <f>113010.279825226*(1/100/100)</f>
        <v>11.3010279825226</v>
      </c>
      <c r="C3783">
        <v>44015</v>
      </c>
      <c r="D3783" t="s">
        <v>3948</v>
      </c>
      <c r="E3783">
        <v>40832</v>
      </c>
      <c r="F3783" t="s">
        <v>1108</v>
      </c>
      <c r="G3783">
        <v>408</v>
      </c>
      <c r="H3783" t="s">
        <v>82</v>
      </c>
      <c r="I3783">
        <v>4</v>
      </c>
      <c r="J3783" t="s">
        <v>75</v>
      </c>
    </row>
    <row r="3784" spans="1:10" x14ac:dyDescent="0.25">
      <c r="A3784" t="s">
        <v>7354</v>
      </c>
      <c r="B3784">
        <f>123401.557772445*(1/100/100)</f>
        <v>12.340155777244501</v>
      </c>
      <c r="C3784">
        <v>44016</v>
      </c>
      <c r="D3784" t="s">
        <v>1094</v>
      </c>
      <c r="E3784">
        <v>40814</v>
      </c>
      <c r="F3784" t="s">
        <v>1094</v>
      </c>
      <c r="G3784">
        <v>408</v>
      </c>
      <c r="H3784" t="s">
        <v>82</v>
      </c>
      <c r="I3784">
        <v>4</v>
      </c>
      <c r="J3784" t="s">
        <v>75</v>
      </c>
    </row>
    <row r="3785" spans="1:10" x14ac:dyDescent="0.25">
      <c r="A3785" t="s">
        <v>7354</v>
      </c>
      <c r="B3785">
        <f>115649.245766511*(1/100/100)</f>
        <v>11.5649245766511</v>
      </c>
      <c r="C3785">
        <v>44017</v>
      </c>
      <c r="D3785" t="s">
        <v>1095</v>
      </c>
      <c r="E3785">
        <v>40815</v>
      </c>
      <c r="F3785" t="s">
        <v>1095</v>
      </c>
      <c r="G3785">
        <v>408</v>
      </c>
      <c r="H3785" t="s">
        <v>82</v>
      </c>
      <c r="I3785">
        <v>4</v>
      </c>
      <c r="J3785" t="s">
        <v>75</v>
      </c>
    </row>
    <row r="3786" spans="1:10" x14ac:dyDescent="0.25">
      <c r="A3786" t="s">
        <v>7354</v>
      </c>
      <c r="B3786">
        <f>27801.3169178105*(1/100/100)</f>
        <v>2.7801316917810501</v>
      </c>
      <c r="C3786">
        <v>44018</v>
      </c>
      <c r="D3786" t="s">
        <v>5388</v>
      </c>
      <c r="E3786">
        <v>40829</v>
      </c>
      <c r="F3786" t="s">
        <v>1105</v>
      </c>
      <c r="G3786">
        <v>408</v>
      </c>
      <c r="H3786" t="s">
        <v>82</v>
      </c>
      <c r="I3786">
        <v>4</v>
      </c>
      <c r="J3786" t="s">
        <v>75</v>
      </c>
    </row>
    <row r="3787" spans="1:10" x14ac:dyDescent="0.25">
      <c r="A3787" t="s">
        <v>7354</v>
      </c>
      <c r="B3787">
        <f>160065.498459748*(1/100/100)</f>
        <v>16.006549845974799</v>
      </c>
      <c r="C3787">
        <v>44019</v>
      </c>
      <c r="D3787" t="s">
        <v>4021</v>
      </c>
      <c r="E3787">
        <v>40818</v>
      </c>
      <c r="F3787" t="s">
        <v>1098</v>
      </c>
      <c r="G3787">
        <v>408</v>
      </c>
      <c r="H3787" t="s">
        <v>82</v>
      </c>
      <c r="I3787">
        <v>4</v>
      </c>
      <c r="J3787" t="s">
        <v>75</v>
      </c>
    </row>
    <row r="3788" spans="1:10" x14ac:dyDescent="0.25">
      <c r="A3788" t="s">
        <v>7354</v>
      </c>
      <c r="B3788">
        <f>208562.181776355*(1/100/100)</f>
        <v>20.856218177635501</v>
      </c>
      <c r="C3788">
        <v>44020</v>
      </c>
      <c r="D3788" t="s">
        <v>5364</v>
      </c>
      <c r="E3788">
        <v>40808</v>
      </c>
      <c r="F3788" t="s">
        <v>82</v>
      </c>
      <c r="G3788">
        <v>408</v>
      </c>
      <c r="H3788" t="s">
        <v>82</v>
      </c>
      <c r="I3788">
        <v>4</v>
      </c>
      <c r="J3788" t="s">
        <v>75</v>
      </c>
    </row>
    <row r="3789" spans="1:10" x14ac:dyDescent="0.25">
      <c r="A3789" t="s">
        <v>7354</v>
      </c>
      <c r="B3789">
        <f>77417.4738797404*(1/100/100)</f>
        <v>7.7417473879740406</v>
      </c>
      <c r="C3789">
        <v>44021</v>
      </c>
      <c r="D3789" t="s">
        <v>5372</v>
      </c>
      <c r="E3789">
        <v>40814</v>
      </c>
      <c r="F3789" t="s">
        <v>1094</v>
      </c>
      <c r="G3789">
        <v>408</v>
      </c>
      <c r="H3789" t="s">
        <v>82</v>
      </c>
      <c r="I3789">
        <v>4</v>
      </c>
      <c r="J3789" t="s">
        <v>75</v>
      </c>
    </row>
    <row r="3790" spans="1:10" x14ac:dyDescent="0.25">
      <c r="A3790" t="s">
        <v>7354</v>
      </c>
      <c r="B3790">
        <f>45004.3005665944*(1/100/100)</f>
        <v>4.5004300566594404</v>
      </c>
      <c r="C3790">
        <v>44022</v>
      </c>
      <c r="D3790" t="s">
        <v>5384</v>
      </c>
      <c r="E3790">
        <v>40827</v>
      </c>
      <c r="F3790" t="s">
        <v>1103</v>
      </c>
      <c r="G3790">
        <v>408</v>
      </c>
      <c r="H3790" t="s">
        <v>82</v>
      </c>
      <c r="I3790">
        <v>4</v>
      </c>
      <c r="J3790" t="s">
        <v>75</v>
      </c>
    </row>
    <row r="3791" spans="1:10" x14ac:dyDescent="0.25">
      <c r="A3791" t="s">
        <v>7354</v>
      </c>
      <c r="B3791">
        <f>78301.8165848006*(1/100/100)</f>
        <v>7.8301816584800603</v>
      </c>
      <c r="C3791">
        <v>44023</v>
      </c>
      <c r="D3791" t="s">
        <v>1100</v>
      </c>
      <c r="E3791">
        <v>40821</v>
      </c>
      <c r="F3791" t="s">
        <v>1100</v>
      </c>
      <c r="G3791">
        <v>408</v>
      </c>
      <c r="H3791" t="s">
        <v>82</v>
      </c>
      <c r="I3791">
        <v>4</v>
      </c>
      <c r="J3791" t="s">
        <v>75</v>
      </c>
    </row>
    <row r="3792" spans="1:10" x14ac:dyDescent="0.25">
      <c r="A3792" t="s">
        <v>7354</v>
      </c>
      <c r="B3792">
        <f>54340.3866330588*(1/100/100)</f>
        <v>5.4340386633058806</v>
      </c>
      <c r="C3792">
        <v>44024</v>
      </c>
      <c r="D3792" t="s">
        <v>1099</v>
      </c>
      <c r="E3792">
        <v>40820</v>
      </c>
      <c r="F3792" t="s">
        <v>1099</v>
      </c>
      <c r="G3792">
        <v>408</v>
      </c>
      <c r="H3792" t="s">
        <v>82</v>
      </c>
      <c r="I3792">
        <v>4</v>
      </c>
      <c r="J3792" t="s">
        <v>75</v>
      </c>
    </row>
    <row r="3793" spans="1:10" x14ac:dyDescent="0.25">
      <c r="A3793" t="s">
        <v>7354</v>
      </c>
      <c r="B3793">
        <f>143353.056483897*(1/100/100)</f>
        <v>14.335305648389701</v>
      </c>
      <c r="C3793">
        <v>44025</v>
      </c>
      <c r="D3793" t="s">
        <v>5389</v>
      </c>
      <c r="E3793">
        <v>40829</v>
      </c>
      <c r="F3793" t="s">
        <v>1105</v>
      </c>
      <c r="G3793">
        <v>408</v>
      </c>
      <c r="H3793" t="s">
        <v>82</v>
      </c>
      <c r="I3793">
        <v>4</v>
      </c>
      <c r="J3793" t="s">
        <v>75</v>
      </c>
    </row>
    <row r="3794" spans="1:10" x14ac:dyDescent="0.25">
      <c r="A3794" t="s">
        <v>7354</v>
      </c>
      <c r="B3794">
        <f>62751.7956449494*(1/100/100)</f>
        <v>6.2751795644949402</v>
      </c>
      <c r="C3794">
        <v>44026</v>
      </c>
      <c r="D3794" t="s">
        <v>2122</v>
      </c>
      <c r="E3794">
        <v>40825</v>
      </c>
      <c r="F3794" t="s">
        <v>5381</v>
      </c>
      <c r="G3794">
        <v>408</v>
      </c>
      <c r="H3794" t="s">
        <v>82</v>
      </c>
      <c r="I3794">
        <v>4</v>
      </c>
      <c r="J3794" t="s">
        <v>75</v>
      </c>
    </row>
    <row r="3795" spans="1:10" x14ac:dyDescent="0.25">
      <c r="A3795" t="s">
        <v>7354</v>
      </c>
      <c r="B3795">
        <f>84296.4156978985*(1/100/100)</f>
        <v>8.429641569789851</v>
      </c>
      <c r="C3795">
        <v>44027</v>
      </c>
      <c r="D3795" t="s">
        <v>2451</v>
      </c>
      <c r="E3795">
        <v>40826</v>
      </c>
      <c r="F3795" t="s">
        <v>2451</v>
      </c>
      <c r="G3795">
        <v>408</v>
      </c>
      <c r="H3795" t="s">
        <v>82</v>
      </c>
      <c r="I3795">
        <v>4</v>
      </c>
      <c r="J3795" t="s">
        <v>75</v>
      </c>
    </row>
    <row r="3796" spans="1:10" x14ac:dyDescent="0.25">
      <c r="A3796" t="s">
        <v>7354</v>
      </c>
      <c r="B3796">
        <f>33690.8870588163*(1/100/100)</f>
        <v>3.3690887058816297</v>
      </c>
      <c r="C3796">
        <v>44028</v>
      </c>
      <c r="D3796" t="s">
        <v>5368</v>
      </c>
      <c r="E3796">
        <v>40811</v>
      </c>
      <c r="F3796" t="s">
        <v>1091</v>
      </c>
      <c r="G3796">
        <v>408</v>
      </c>
      <c r="H3796" t="s">
        <v>82</v>
      </c>
      <c r="I3796">
        <v>4</v>
      </c>
      <c r="J3796" t="s">
        <v>75</v>
      </c>
    </row>
    <row r="3797" spans="1:10" x14ac:dyDescent="0.25">
      <c r="A3797" t="s">
        <v>7354</v>
      </c>
      <c r="B3797">
        <f>146437.53885414*(1/100/100)</f>
        <v>14.643753885414</v>
      </c>
      <c r="C3797">
        <v>44029</v>
      </c>
      <c r="D3797" t="s">
        <v>1103</v>
      </c>
      <c r="E3797">
        <v>40827</v>
      </c>
      <c r="F3797" t="s">
        <v>1103</v>
      </c>
      <c r="G3797">
        <v>408</v>
      </c>
      <c r="H3797" t="s">
        <v>82</v>
      </c>
      <c r="I3797">
        <v>4</v>
      </c>
      <c r="J3797" t="s">
        <v>75</v>
      </c>
    </row>
    <row r="3798" spans="1:10" x14ac:dyDescent="0.25">
      <c r="A3798" t="s">
        <v>7354</v>
      </c>
      <c r="B3798">
        <f>312484.911196848*(1/100/100)</f>
        <v>31.248491119684804</v>
      </c>
      <c r="C3798">
        <v>44030</v>
      </c>
      <c r="D3798" t="s">
        <v>3311</v>
      </c>
      <c r="E3798">
        <v>40802</v>
      </c>
      <c r="F3798" t="s">
        <v>1084</v>
      </c>
      <c r="G3798">
        <v>408</v>
      </c>
      <c r="H3798" t="s">
        <v>82</v>
      </c>
      <c r="I3798">
        <v>4</v>
      </c>
      <c r="J3798" t="s">
        <v>75</v>
      </c>
    </row>
    <row r="3799" spans="1:10" x14ac:dyDescent="0.25">
      <c r="A3799" t="s">
        <v>7354</v>
      </c>
      <c r="B3799">
        <f>43115.4716554585*(1/100/100)</f>
        <v>4.3115471655458508</v>
      </c>
      <c r="C3799">
        <v>44031</v>
      </c>
      <c r="D3799" t="s">
        <v>5375</v>
      </c>
      <c r="E3799">
        <v>40820</v>
      </c>
      <c r="F3799" t="s">
        <v>1099</v>
      </c>
      <c r="G3799">
        <v>408</v>
      </c>
      <c r="H3799" t="s">
        <v>82</v>
      </c>
      <c r="I3799">
        <v>4</v>
      </c>
      <c r="J3799" t="s">
        <v>75</v>
      </c>
    </row>
    <row r="3800" spans="1:10" x14ac:dyDescent="0.25">
      <c r="A3800" t="s">
        <v>7354</v>
      </c>
      <c r="B3800">
        <f>36382.5403455045*(1/100/100)</f>
        <v>3.6382540345504504</v>
      </c>
      <c r="C3800">
        <v>44032</v>
      </c>
      <c r="D3800" t="s">
        <v>5371</v>
      </c>
      <c r="E3800">
        <v>40813</v>
      </c>
      <c r="F3800" t="s">
        <v>1093</v>
      </c>
      <c r="G3800">
        <v>408</v>
      </c>
      <c r="H3800" t="s">
        <v>82</v>
      </c>
      <c r="I3800">
        <v>4</v>
      </c>
      <c r="J3800" t="s">
        <v>75</v>
      </c>
    </row>
    <row r="3801" spans="1:10" x14ac:dyDescent="0.25">
      <c r="A3801" t="s">
        <v>7354</v>
      </c>
      <c r="B3801">
        <f>44395.5579668051*(1/100/100)</f>
        <v>4.4395557966805104</v>
      </c>
      <c r="C3801">
        <v>44033</v>
      </c>
      <c r="D3801" t="s">
        <v>5369</v>
      </c>
      <c r="E3801">
        <v>40811</v>
      </c>
      <c r="F3801" t="s">
        <v>1091</v>
      </c>
      <c r="G3801">
        <v>408</v>
      </c>
      <c r="H3801" t="s">
        <v>82</v>
      </c>
      <c r="I3801">
        <v>4</v>
      </c>
      <c r="J3801" t="s">
        <v>75</v>
      </c>
    </row>
    <row r="3802" spans="1:10" x14ac:dyDescent="0.25">
      <c r="A3802" t="s">
        <v>7354</v>
      </c>
      <c r="B3802">
        <f>44824.4017791995*(1/100/100)</f>
        <v>4.4824401779199503</v>
      </c>
      <c r="C3802">
        <v>44034</v>
      </c>
      <c r="D3802" t="s">
        <v>3820</v>
      </c>
      <c r="E3802">
        <v>40813</v>
      </c>
      <c r="F3802" t="s">
        <v>1093</v>
      </c>
      <c r="G3802">
        <v>408</v>
      </c>
      <c r="H3802" t="s">
        <v>82</v>
      </c>
      <c r="I3802">
        <v>4</v>
      </c>
      <c r="J3802" t="s">
        <v>75</v>
      </c>
    </row>
    <row r="3803" spans="1:10" x14ac:dyDescent="0.25">
      <c r="A3803" t="s">
        <v>7354</v>
      </c>
      <c r="B3803">
        <f>128143.085839308*(1/100/100)</f>
        <v>12.814308583930801</v>
      </c>
      <c r="C3803">
        <v>44035</v>
      </c>
      <c r="D3803" t="s">
        <v>1106</v>
      </c>
      <c r="E3803">
        <v>40830</v>
      </c>
      <c r="F3803" t="s">
        <v>1106</v>
      </c>
      <c r="G3803">
        <v>408</v>
      </c>
      <c r="H3803" t="s">
        <v>82</v>
      </c>
      <c r="I3803">
        <v>4</v>
      </c>
      <c r="J3803" t="s">
        <v>75</v>
      </c>
    </row>
    <row r="3804" spans="1:10" x14ac:dyDescent="0.25">
      <c r="A3804" t="s">
        <v>7354</v>
      </c>
      <c r="B3804">
        <f>170528.969214402*(1/100/100)</f>
        <v>17.052896921440201</v>
      </c>
      <c r="C3804">
        <v>44036</v>
      </c>
      <c r="D3804" t="s">
        <v>5382</v>
      </c>
      <c r="E3804">
        <v>40825</v>
      </c>
      <c r="F3804" t="s">
        <v>5381</v>
      </c>
      <c r="G3804">
        <v>408</v>
      </c>
      <c r="H3804" t="s">
        <v>82</v>
      </c>
      <c r="I3804">
        <v>4</v>
      </c>
      <c r="J3804" t="s">
        <v>75</v>
      </c>
    </row>
    <row r="3805" spans="1:10" x14ac:dyDescent="0.25">
      <c r="A3805" t="s">
        <v>7354</v>
      </c>
      <c r="B3805">
        <f>61138.9282955164*(1/100/100)</f>
        <v>6.1138928295516406</v>
      </c>
      <c r="C3805">
        <v>44037</v>
      </c>
      <c r="D3805" t="s">
        <v>5385</v>
      </c>
      <c r="E3805">
        <v>40827</v>
      </c>
      <c r="F3805" t="s">
        <v>1103</v>
      </c>
      <c r="G3805">
        <v>408</v>
      </c>
      <c r="H3805" t="s">
        <v>82</v>
      </c>
      <c r="I3805">
        <v>4</v>
      </c>
      <c r="J3805" t="s">
        <v>75</v>
      </c>
    </row>
    <row r="3806" spans="1:10" x14ac:dyDescent="0.25">
      <c r="A3806" t="s">
        <v>7354</v>
      </c>
      <c r="B3806">
        <f>30939.3995628674*(1/100/100)</f>
        <v>3.0939399562867398</v>
      </c>
      <c r="C3806">
        <v>44038</v>
      </c>
      <c r="D3806" t="s">
        <v>5393</v>
      </c>
      <c r="E3806">
        <v>40832</v>
      </c>
      <c r="F3806" t="s">
        <v>1108</v>
      </c>
      <c r="G3806">
        <v>408</v>
      </c>
      <c r="H3806" t="s">
        <v>82</v>
      </c>
      <c r="I3806">
        <v>4</v>
      </c>
      <c r="J3806" t="s">
        <v>75</v>
      </c>
    </row>
    <row r="3807" spans="1:10" x14ac:dyDescent="0.25">
      <c r="A3807" t="s">
        <v>7354</v>
      </c>
      <c r="B3807">
        <f>233359.205467604*(1/100/100)</f>
        <v>23.335920546760402</v>
      </c>
      <c r="C3807">
        <v>44039</v>
      </c>
      <c r="D3807" t="s">
        <v>5394</v>
      </c>
      <c r="E3807">
        <v>40832</v>
      </c>
      <c r="F3807" t="s">
        <v>1108</v>
      </c>
      <c r="G3807">
        <v>408</v>
      </c>
      <c r="H3807" t="s">
        <v>82</v>
      </c>
      <c r="I3807">
        <v>4</v>
      </c>
      <c r="J3807" t="s">
        <v>75</v>
      </c>
    </row>
    <row r="3808" spans="1:10" x14ac:dyDescent="0.25">
      <c r="A3808" t="s">
        <v>7354</v>
      </c>
      <c r="B3808">
        <f>95979.3036463089*(1/100/100)</f>
        <v>9.5979303646308907</v>
      </c>
      <c r="C3808">
        <v>44040</v>
      </c>
      <c r="D3808" t="s">
        <v>2771</v>
      </c>
      <c r="E3808">
        <v>40827</v>
      </c>
      <c r="F3808" t="s">
        <v>1103</v>
      </c>
      <c r="G3808">
        <v>408</v>
      </c>
      <c r="H3808" t="s">
        <v>82</v>
      </c>
      <c r="I3808">
        <v>4</v>
      </c>
      <c r="J3808" t="s">
        <v>75</v>
      </c>
    </row>
    <row r="3809" spans="1:10" x14ac:dyDescent="0.25">
      <c r="A3809" t="s">
        <v>7354</v>
      </c>
      <c r="B3809">
        <f>25711.8353440707*(1/100/100)</f>
        <v>2.5711835344070701</v>
      </c>
      <c r="C3809">
        <v>44041</v>
      </c>
      <c r="D3809" t="s">
        <v>5390</v>
      </c>
      <c r="E3809">
        <v>40829</v>
      </c>
      <c r="F3809" t="s">
        <v>1105</v>
      </c>
      <c r="G3809">
        <v>408</v>
      </c>
      <c r="H3809" t="s">
        <v>82</v>
      </c>
      <c r="I3809">
        <v>4</v>
      </c>
      <c r="J3809" t="s">
        <v>75</v>
      </c>
    </row>
    <row r="3810" spans="1:10" x14ac:dyDescent="0.25">
      <c r="A3810" t="s">
        <v>7354</v>
      </c>
      <c r="B3810">
        <f>25081.4369785531*(1/100/100)</f>
        <v>2.5081436978553104</v>
      </c>
      <c r="C3810">
        <v>44042</v>
      </c>
      <c r="D3810" t="s">
        <v>5373</v>
      </c>
      <c r="E3810">
        <v>40814</v>
      </c>
      <c r="F3810" t="s">
        <v>1094</v>
      </c>
      <c r="G3810">
        <v>408</v>
      </c>
      <c r="H3810" t="s">
        <v>82</v>
      </c>
      <c r="I3810">
        <v>4</v>
      </c>
      <c r="J3810" t="s">
        <v>75</v>
      </c>
    </row>
    <row r="3811" spans="1:10" x14ac:dyDescent="0.25">
      <c r="A3811" t="s">
        <v>7354</v>
      </c>
      <c r="B3811">
        <f>45763.3452566347*(1/100/100)</f>
        <v>4.5763345256634702</v>
      </c>
      <c r="C3811">
        <v>44101</v>
      </c>
      <c r="D3811" t="s">
        <v>5358</v>
      </c>
      <c r="E3811">
        <v>40806</v>
      </c>
      <c r="F3811" t="s">
        <v>1087</v>
      </c>
      <c r="G3811">
        <v>408</v>
      </c>
      <c r="H3811" t="s">
        <v>82</v>
      </c>
      <c r="I3811">
        <v>4</v>
      </c>
      <c r="J3811" t="s">
        <v>75</v>
      </c>
    </row>
    <row r="3812" spans="1:10" x14ac:dyDescent="0.25">
      <c r="A3812" t="s">
        <v>7354</v>
      </c>
      <c r="B3812">
        <f>131095.196901029*(1/100/100)</f>
        <v>13.109519690102902</v>
      </c>
      <c r="C3812">
        <v>44102</v>
      </c>
      <c r="D3812" t="s">
        <v>1083</v>
      </c>
      <c r="E3812">
        <v>40801</v>
      </c>
      <c r="F3812" t="s">
        <v>1083</v>
      </c>
      <c r="G3812">
        <v>408</v>
      </c>
      <c r="H3812" t="s">
        <v>82</v>
      </c>
      <c r="I3812">
        <v>4</v>
      </c>
      <c r="J3812" t="s">
        <v>75</v>
      </c>
    </row>
    <row r="3813" spans="1:10" x14ac:dyDescent="0.25">
      <c r="A3813" t="s">
        <v>7354</v>
      </c>
      <c r="B3813">
        <f>115276.075092114*(1/100/100)</f>
        <v>11.5276075092114</v>
      </c>
      <c r="C3813">
        <v>44103</v>
      </c>
      <c r="D3813" t="s">
        <v>3834</v>
      </c>
      <c r="E3813">
        <v>40806</v>
      </c>
      <c r="F3813" t="s">
        <v>1087</v>
      </c>
      <c r="G3813">
        <v>408</v>
      </c>
      <c r="H3813" t="s">
        <v>82</v>
      </c>
      <c r="I3813">
        <v>4</v>
      </c>
      <c r="J3813" t="s">
        <v>75</v>
      </c>
    </row>
    <row r="3814" spans="1:10" x14ac:dyDescent="0.25">
      <c r="A3814" t="s">
        <v>7354</v>
      </c>
      <c r="B3814">
        <f>59272.0275971274*(1/100/100)</f>
        <v>5.9272027597127401</v>
      </c>
      <c r="C3814">
        <v>44104</v>
      </c>
      <c r="D3814" t="s">
        <v>5395</v>
      </c>
      <c r="E3814">
        <v>40833</v>
      </c>
      <c r="F3814" t="s">
        <v>1109</v>
      </c>
      <c r="G3814">
        <v>408</v>
      </c>
      <c r="H3814" t="s">
        <v>82</v>
      </c>
      <c r="I3814">
        <v>4</v>
      </c>
      <c r="J3814" t="s">
        <v>75</v>
      </c>
    </row>
    <row r="3815" spans="1:10" x14ac:dyDescent="0.25">
      <c r="A3815" t="s">
        <v>7354</v>
      </c>
      <c r="B3815">
        <f>39038.7603665458*(1/100/100)</f>
        <v>3.9038760366545802</v>
      </c>
      <c r="C3815">
        <v>44105</v>
      </c>
      <c r="D3815" t="s">
        <v>5359</v>
      </c>
      <c r="E3815">
        <v>40806</v>
      </c>
      <c r="F3815" t="s">
        <v>1087</v>
      </c>
      <c r="G3815">
        <v>408</v>
      </c>
      <c r="H3815" t="s">
        <v>82</v>
      </c>
      <c r="I3815">
        <v>4</v>
      </c>
      <c r="J3815" t="s">
        <v>75</v>
      </c>
    </row>
    <row r="3816" spans="1:10" x14ac:dyDescent="0.25">
      <c r="A3816" t="s">
        <v>7354</v>
      </c>
      <c r="B3816">
        <f>75970.4063451214*(1/100/100)</f>
        <v>7.5970406345121404</v>
      </c>
      <c r="C3816">
        <v>44106</v>
      </c>
      <c r="D3816" t="s">
        <v>5377</v>
      </c>
      <c r="E3816">
        <v>40822</v>
      </c>
      <c r="F3816" t="s">
        <v>1101</v>
      </c>
      <c r="G3816">
        <v>408</v>
      </c>
      <c r="H3816" t="s">
        <v>82</v>
      </c>
      <c r="I3816">
        <v>4</v>
      </c>
      <c r="J3816" t="s">
        <v>75</v>
      </c>
    </row>
    <row r="3817" spans="1:10" x14ac:dyDescent="0.25">
      <c r="A3817" t="s">
        <v>7354</v>
      </c>
      <c r="B3817">
        <f>157926.672300752*(1/100/100)</f>
        <v>15.7926672300752</v>
      </c>
      <c r="C3817">
        <v>44107</v>
      </c>
      <c r="D3817" t="s">
        <v>1087</v>
      </c>
      <c r="E3817">
        <v>40806</v>
      </c>
      <c r="F3817" t="s">
        <v>1087</v>
      </c>
      <c r="G3817">
        <v>408</v>
      </c>
      <c r="H3817" t="s">
        <v>82</v>
      </c>
      <c r="I3817">
        <v>4</v>
      </c>
      <c r="J3817" t="s">
        <v>75</v>
      </c>
    </row>
    <row r="3818" spans="1:10" x14ac:dyDescent="0.25">
      <c r="A3818" t="s">
        <v>7354</v>
      </c>
      <c r="B3818">
        <f>120977.546450379*(1/100/100)</f>
        <v>12.097754645037901</v>
      </c>
      <c r="C3818">
        <v>44108</v>
      </c>
      <c r="D3818" t="s">
        <v>1088</v>
      </c>
      <c r="E3818">
        <v>40807</v>
      </c>
      <c r="F3818" t="s">
        <v>1088</v>
      </c>
      <c r="G3818">
        <v>408</v>
      </c>
      <c r="H3818" t="s">
        <v>82</v>
      </c>
      <c r="I3818">
        <v>4</v>
      </c>
      <c r="J3818" t="s">
        <v>75</v>
      </c>
    </row>
    <row r="3819" spans="1:10" x14ac:dyDescent="0.25">
      <c r="A3819" t="s">
        <v>7354</v>
      </c>
      <c r="B3819">
        <f>67951.9945807054*(1/100/100)</f>
        <v>6.7951994580705408</v>
      </c>
      <c r="C3819">
        <v>44109</v>
      </c>
      <c r="D3819" t="s">
        <v>2843</v>
      </c>
      <c r="E3819">
        <v>40822</v>
      </c>
      <c r="F3819" t="s">
        <v>1101</v>
      </c>
      <c r="G3819">
        <v>408</v>
      </c>
      <c r="H3819" t="s">
        <v>82</v>
      </c>
      <c r="I3819">
        <v>4</v>
      </c>
      <c r="J3819" t="s">
        <v>75</v>
      </c>
    </row>
    <row r="3820" spans="1:10" x14ac:dyDescent="0.25">
      <c r="A3820" t="s">
        <v>7354</v>
      </c>
      <c r="B3820">
        <f>34231.1676991751*(1/100/100)</f>
        <v>3.4231167699175105</v>
      </c>
      <c r="C3820">
        <v>44110</v>
      </c>
      <c r="D3820" t="s">
        <v>5378</v>
      </c>
      <c r="E3820">
        <v>40823</v>
      </c>
      <c r="F3820" t="s">
        <v>1102</v>
      </c>
      <c r="G3820">
        <v>408</v>
      </c>
      <c r="H3820" t="s">
        <v>82</v>
      </c>
      <c r="I3820">
        <v>4</v>
      </c>
      <c r="J3820" t="s">
        <v>75</v>
      </c>
    </row>
    <row r="3821" spans="1:10" x14ac:dyDescent="0.25">
      <c r="A3821" t="s">
        <v>7354</v>
      </c>
      <c r="B3821">
        <f>54546.9943061918*(1/100/100)</f>
        <v>5.4546994306191801</v>
      </c>
      <c r="C3821">
        <v>44111</v>
      </c>
      <c r="D3821" t="s">
        <v>5360</v>
      </c>
      <c r="E3821">
        <v>40806</v>
      </c>
      <c r="F3821" t="s">
        <v>1087</v>
      </c>
      <c r="G3821">
        <v>408</v>
      </c>
      <c r="H3821" t="s">
        <v>82</v>
      </c>
      <c r="I3821">
        <v>4</v>
      </c>
      <c r="J3821" t="s">
        <v>75</v>
      </c>
    </row>
    <row r="3822" spans="1:10" x14ac:dyDescent="0.25">
      <c r="A3822" t="s">
        <v>7354</v>
      </c>
      <c r="B3822">
        <f>69686.0251558364*(1/100/100)</f>
        <v>6.9686025155836395</v>
      </c>
      <c r="C3822">
        <v>44112</v>
      </c>
      <c r="D3822" t="s">
        <v>5352</v>
      </c>
      <c r="E3822">
        <v>40806</v>
      </c>
      <c r="F3822" t="s">
        <v>1087</v>
      </c>
      <c r="G3822">
        <v>408</v>
      </c>
      <c r="H3822" t="s">
        <v>82</v>
      </c>
      <c r="I3822">
        <v>4</v>
      </c>
      <c r="J3822" t="s">
        <v>75</v>
      </c>
    </row>
    <row r="3823" spans="1:10" x14ac:dyDescent="0.25">
      <c r="A3823" t="s">
        <v>7354</v>
      </c>
      <c r="B3823">
        <f>55637.1623062997*(1/100/100)</f>
        <v>5.5637162306299706</v>
      </c>
      <c r="C3823">
        <v>44113</v>
      </c>
      <c r="D3823" t="s">
        <v>5379</v>
      </c>
      <c r="E3823">
        <v>40823</v>
      </c>
      <c r="F3823" t="s">
        <v>1102</v>
      </c>
      <c r="G3823">
        <v>408</v>
      </c>
      <c r="H3823" t="s">
        <v>82</v>
      </c>
      <c r="I3823">
        <v>4</v>
      </c>
      <c r="J3823" t="s">
        <v>75</v>
      </c>
    </row>
    <row r="3824" spans="1:10" x14ac:dyDescent="0.25">
      <c r="A3824" t="s">
        <v>7354</v>
      </c>
      <c r="B3824">
        <f>101780.466361334*(1/100/100)</f>
        <v>10.1780466361334</v>
      </c>
      <c r="C3824">
        <v>44114</v>
      </c>
      <c r="D3824" t="s">
        <v>5361</v>
      </c>
      <c r="E3824">
        <v>40806</v>
      </c>
      <c r="F3824" t="s">
        <v>1087</v>
      </c>
      <c r="G3824">
        <v>408</v>
      </c>
      <c r="H3824" t="s">
        <v>82</v>
      </c>
      <c r="I3824">
        <v>4</v>
      </c>
      <c r="J3824" t="s">
        <v>75</v>
      </c>
    </row>
    <row r="3825" spans="1:10" x14ac:dyDescent="0.25">
      <c r="A3825" t="s">
        <v>7354</v>
      </c>
      <c r="B3825">
        <f>80681.4000469021*(1/100/100)</f>
        <v>8.0681400046902105</v>
      </c>
      <c r="C3825">
        <v>44115</v>
      </c>
      <c r="D3825" t="s">
        <v>5362</v>
      </c>
      <c r="E3825">
        <v>40807</v>
      </c>
      <c r="F3825" t="s">
        <v>1088</v>
      </c>
      <c r="G3825">
        <v>408</v>
      </c>
      <c r="H3825" t="s">
        <v>82</v>
      </c>
      <c r="I3825">
        <v>4</v>
      </c>
      <c r="J3825" t="s">
        <v>75</v>
      </c>
    </row>
    <row r="3826" spans="1:10" x14ac:dyDescent="0.25">
      <c r="A3826" t="s">
        <v>7354</v>
      </c>
      <c r="B3826">
        <f>79167.4105473993*(1/100/100)</f>
        <v>7.91674105473993</v>
      </c>
      <c r="C3826">
        <v>44116</v>
      </c>
      <c r="D3826" t="s">
        <v>5365</v>
      </c>
      <c r="E3826">
        <v>40809</v>
      </c>
      <c r="F3826" t="s">
        <v>1089</v>
      </c>
      <c r="G3826">
        <v>408</v>
      </c>
      <c r="H3826" t="s">
        <v>82</v>
      </c>
      <c r="I3826">
        <v>4</v>
      </c>
      <c r="J3826" t="s">
        <v>75</v>
      </c>
    </row>
    <row r="3827" spans="1:10" x14ac:dyDescent="0.25">
      <c r="A3827" t="s">
        <v>7354</v>
      </c>
      <c r="B3827">
        <f>230517.396398797*(1/100/100)</f>
        <v>23.051739639879699</v>
      </c>
      <c r="C3827">
        <v>44117</v>
      </c>
      <c r="D3827" t="s">
        <v>5366</v>
      </c>
      <c r="E3827">
        <v>40809</v>
      </c>
      <c r="F3827" t="s">
        <v>1089</v>
      </c>
      <c r="G3827">
        <v>408</v>
      </c>
      <c r="H3827" t="s">
        <v>82</v>
      </c>
      <c r="I3827">
        <v>4</v>
      </c>
      <c r="J3827" t="s">
        <v>75</v>
      </c>
    </row>
    <row r="3828" spans="1:10" x14ac:dyDescent="0.25">
      <c r="A3828" t="s">
        <v>7354</v>
      </c>
      <c r="B3828">
        <f>173935.947201275*(1/100/100)</f>
        <v>17.393594720127503</v>
      </c>
      <c r="C3828">
        <v>44118</v>
      </c>
      <c r="D3828" t="s">
        <v>1101</v>
      </c>
      <c r="E3828">
        <v>40822</v>
      </c>
      <c r="F3828" t="s">
        <v>1101</v>
      </c>
      <c r="G3828">
        <v>408</v>
      </c>
      <c r="H3828" t="s">
        <v>82</v>
      </c>
      <c r="I3828">
        <v>4</v>
      </c>
      <c r="J3828" t="s">
        <v>75</v>
      </c>
    </row>
    <row r="3829" spans="1:10" x14ac:dyDescent="0.25">
      <c r="A3829" t="s">
        <v>7354</v>
      </c>
      <c r="B3829">
        <f>97451.4756322009*(1/100/100)</f>
        <v>9.7451475632200903</v>
      </c>
      <c r="C3829">
        <v>44119</v>
      </c>
      <c r="D3829" t="s">
        <v>1102</v>
      </c>
      <c r="E3829">
        <v>40823</v>
      </c>
      <c r="F3829" t="s">
        <v>1102</v>
      </c>
      <c r="G3829">
        <v>408</v>
      </c>
      <c r="H3829" t="s">
        <v>82</v>
      </c>
      <c r="I3829">
        <v>4</v>
      </c>
      <c r="J3829" t="s">
        <v>75</v>
      </c>
    </row>
    <row r="3830" spans="1:10" x14ac:dyDescent="0.25">
      <c r="A3830" t="s">
        <v>7354</v>
      </c>
      <c r="B3830">
        <f>111401.54714714*(1/100/100)</f>
        <v>11.140154714714001</v>
      </c>
      <c r="C3830">
        <v>44120</v>
      </c>
      <c r="D3830" t="s">
        <v>5396</v>
      </c>
      <c r="E3830">
        <v>40833</v>
      </c>
      <c r="F3830" t="s">
        <v>1109</v>
      </c>
      <c r="G3830">
        <v>408</v>
      </c>
      <c r="H3830" t="s">
        <v>82</v>
      </c>
      <c r="I3830">
        <v>4</v>
      </c>
      <c r="J3830" t="s">
        <v>75</v>
      </c>
    </row>
    <row r="3831" spans="1:10" x14ac:dyDescent="0.25">
      <c r="A3831" t="s">
        <v>7354</v>
      </c>
      <c r="B3831">
        <f>97164.1915143674*(1/100/100)</f>
        <v>9.7164191514367406</v>
      </c>
      <c r="C3831">
        <v>44121</v>
      </c>
      <c r="D3831" t="s">
        <v>1109</v>
      </c>
      <c r="E3831">
        <v>40833</v>
      </c>
      <c r="F3831" t="s">
        <v>1109</v>
      </c>
      <c r="G3831">
        <v>408</v>
      </c>
      <c r="H3831" t="s">
        <v>82</v>
      </c>
      <c r="I3831">
        <v>4</v>
      </c>
      <c r="J3831" t="s">
        <v>75</v>
      </c>
    </row>
    <row r="3832" spans="1:10" x14ac:dyDescent="0.25">
      <c r="A3832" t="s">
        <v>7354</v>
      </c>
      <c r="B3832">
        <f>98621.0495149757*(1/100/100)</f>
        <v>9.8621049514975709</v>
      </c>
      <c r="C3832">
        <v>44122</v>
      </c>
      <c r="D3832" t="s">
        <v>1110</v>
      </c>
      <c r="E3832">
        <v>40834</v>
      </c>
      <c r="F3832" t="s">
        <v>1110</v>
      </c>
      <c r="G3832">
        <v>408</v>
      </c>
      <c r="H3832" t="s">
        <v>82</v>
      </c>
      <c r="I3832">
        <v>4</v>
      </c>
      <c r="J3832" t="s">
        <v>75</v>
      </c>
    </row>
    <row r="3833" spans="1:10" x14ac:dyDescent="0.25">
      <c r="A3833" t="s">
        <v>7354</v>
      </c>
      <c r="B3833">
        <f>54977.5881694966*(1/100/100)</f>
        <v>5.4977588169496601</v>
      </c>
      <c r="C3833">
        <v>44123</v>
      </c>
      <c r="D3833" t="s">
        <v>5397</v>
      </c>
      <c r="E3833">
        <v>40834</v>
      </c>
      <c r="F3833" t="s">
        <v>1110</v>
      </c>
      <c r="G3833">
        <v>408</v>
      </c>
      <c r="H3833" t="s">
        <v>82</v>
      </c>
      <c r="I3833">
        <v>4</v>
      </c>
      <c r="J3833" t="s">
        <v>75</v>
      </c>
    </row>
    <row r="3834" spans="1:10" x14ac:dyDescent="0.25">
      <c r="A3834" t="s">
        <v>7354</v>
      </c>
      <c r="B3834">
        <f>249887.183712203*(1/100/100)</f>
        <v>24.988718371220301</v>
      </c>
      <c r="C3834">
        <v>44201</v>
      </c>
      <c r="D3834" t="s">
        <v>5398</v>
      </c>
      <c r="E3834">
        <v>40835</v>
      </c>
      <c r="F3834" t="s">
        <v>1111</v>
      </c>
      <c r="G3834">
        <v>408</v>
      </c>
      <c r="H3834" t="s">
        <v>82</v>
      </c>
      <c r="I3834">
        <v>4</v>
      </c>
      <c r="J3834" t="s">
        <v>75</v>
      </c>
    </row>
    <row r="3835" spans="1:10" x14ac:dyDescent="0.25">
      <c r="A3835" t="s">
        <v>7354</v>
      </c>
      <c r="B3835">
        <f>97009.9664469107*(1/100/100)</f>
        <v>9.7009966446910703</v>
      </c>
      <c r="C3835">
        <v>44202</v>
      </c>
      <c r="D3835" t="s">
        <v>5221</v>
      </c>
      <c r="E3835">
        <v>40812</v>
      </c>
      <c r="F3835" t="s">
        <v>1092</v>
      </c>
      <c r="G3835">
        <v>408</v>
      </c>
      <c r="H3835" t="s">
        <v>82</v>
      </c>
      <c r="I3835">
        <v>4</v>
      </c>
      <c r="J3835" t="s">
        <v>75</v>
      </c>
    </row>
    <row r="3836" spans="1:10" x14ac:dyDescent="0.25">
      <c r="A3836" t="s">
        <v>7354</v>
      </c>
      <c r="B3836">
        <f>165197.479270245*(1/100/100)</f>
        <v>16.5197479270245</v>
      </c>
      <c r="C3836">
        <v>44203</v>
      </c>
      <c r="D3836" t="s">
        <v>698</v>
      </c>
      <c r="E3836">
        <v>40804</v>
      </c>
      <c r="F3836" t="s">
        <v>1085</v>
      </c>
      <c r="G3836">
        <v>408</v>
      </c>
      <c r="H3836" t="s">
        <v>82</v>
      </c>
      <c r="I3836">
        <v>4</v>
      </c>
      <c r="J3836" t="s">
        <v>75</v>
      </c>
    </row>
    <row r="3837" spans="1:10" x14ac:dyDescent="0.25">
      <c r="A3837" t="s">
        <v>7354</v>
      </c>
      <c r="B3837">
        <f>146041.288797062*(1/100/100)</f>
        <v>14.604128879706201</v>
      </c>
      <c r="C3837">
        <v>44204</v>
      </c>
      <c r="D3837" t="s">
        <v>1090</v>
      </c>
      <c r="E3837">
        <v>40810</v>
      </c>
      <c r="F3837" t="s">
        <v>1090</v>
      </c>
      <c r="G3837">
        <v>408</v>
      </c>
      <c r="H3837" t="s">
        <v>82</v>
      </c>
      <c r="I3837">
        <v>4</v>
      </c>
      <c r="J3837" t="s">
        <v>75</v>
      </c>
    </row>
    <row r="3838" spans="1:10" x14ac:dyDescent="0.25">
      <c r="A3838" t="s">
        <v>7354</v>
      </c>
      <c r="B3838">
        <f>196621.13558125*(1/100/100)</f>
        <v>19.662113558125004</v>
      </c>
      <c r="C3838">
        <v>44205</v>
      </c>
      <c r="D3838" t="s">
        <v>1092</v>
      </c>
      <c r="E3838">
        <v>40812</v>
      </c>
      <c r="F3838" t="s">
        <v>1092</v>
      </c>
      <c r="G3838">
        <v>408</v>
      </c>
      <c r="H3838" t="s">
        <v>82</v>
      </c>
      <c r="I3838">
        <v>4</v>
      </c>
      <c r="J3838" t="s">
        <v>75</v>
      </c>
    </row>
    <row r="3839" spans="1:10" x14ac:dyDescent="0.25">
      <c r="A3839" t="s">
        <v>7354</v>
      </c>
      <c r="B3839">
        <f>86835.0412818259*(1/100/100)</f>
        <v>8.6835041281825909</v>
      </c>
      <c r="C3839">
        <v>44206</v>
      </c>
      <c r="D3839" t="s">
        <v>5370</v>
      </c>
      <c r="E3839">
        <v>40812</v>
      </c>
      <c r="F3839" t="s">
        <v>1092</v>
      </c>
      <c r="G3839">
        <v>408</v>
      </c>
      <c r="H3839" t="s">
        <v>82</v>
      </c>
      <c r="I3839">
        <v>4</v>
      </c>
      <c r="J3839" t="s">
        <v>75</v>
      </c>
    </row>
    <row r="3840" spans="1:10" x14ac:dyDescent="0.25">
      <c r="A3840" t="s">
        <v>7354</v>
      </c>
      <c r="B3840">
        <f>124838.94877827*(1/100/100)</f>
        <v>12.483894877827002</v>
      </c>
      <c r="C3840">
        <v>44207</v>
      </c>
      <c r="D3840" t="s">
        <v>237</v>
      </c>
      <c r="E3840">
        <v>40824</v>
      </c>
      <c r="F3840" t="s">
        <v>5380</v>
      </c>
      <c r="G3840">
        <v>408</v>
      </c>
      <c r="H3840" t="s">
        <v>82</v>
      </c>
      <c r="I3840">
        <v>4</v>
      </c>
      <c r="J3840" t="s">
        <v>75</v>
      </c>
    </row>
    <row r="3841" spans="1:10" x14ac:dyDescent="0.25">
      <c r="A3841" t="s">
        <v>7354</v>
      </c>
      <c r="B3841">
        <f>92466.5591080178*(1/100/100)</f>
        <v>9.2466559108017794</v>
      </c>
      <c r="C3841">
        <v>44208</v>
      </c>
      <c r="D3841" t="s">
        <v>5391</v>
      </c>
      <c r="E3841">
        <v>40831</v>
      </c>
      <c r="F3841" t="s">
        <v>1107</v>
      </c>
      <c r="G3841">
        <v>408</v>
      </c>
      <c r="H3841" t="s">
        <v>82</v>
      </c>
      <c r="I3841">
        <v>4</v>
      </c>
      <c r="J3841" t="s">
        <v>75</v>
      </c>
    </row>
    <row r="3842" spans="1:10" x14ac:dyDescent="0.25">
      <c r="A3842" t="s">
        <v>7354</v>
      </c>
      <c r="B3842">
        <f>342483.731137012*(1/100/100)</f>
        <v>34.248373113701206</v>
      </c>
      <c r="C3842">
        <v>44209</v>
      </c>
      <c r="D3842" t="s">
        <v>1096</v>
      </c>
      <c r="E3842">
        <v>40816</v>
      </c>
      <c r="F3842" t="s">
        <v>1096</v>
      </c>
      <c r="G3842">
        <v>408</v>
      </c>
      <c r="H3842" t="s">
        <v>82</v>
      </c>
      <c r="I3842">
        <v>4</v>
      </c>
      <c r="J3842" t="s">
        <v>75</v>
      </c>
    </row>
    <row r="3843" spans="1:10" x14ac:dyDescent="0.25">
      <c r="A3843" t="s">
        <v>7354</v>
      </c>
      <c r="B3843">
        <f>147498.465761666*(1/100/100)</f>
        <v>14.749846576166602</v>
      </c>
      <c r="C3843">
        <v>44210</v>
      </c>
      <c r="D3843" t="s">
        <v>3482</v>
      </c>
      <c r="E3843">
        <v>40817</v>
      </c>
      <c r="F3843" t="s">
        <v>1097</v>
      </c>
      <c r="G3843">
        <v>408</v>
      </c>
      <c r="H3843" t="s">
        <v>82</v>
      </c>
      <c r="I3843">
        <v>4</v>
      </c>
      <c r="J3843" t="s">
        <v>75</v>
      </c>
    </row>
    <row r="3844" spans="1:10" x14ac:dyDescent="0.25">
      <c r="A3844" t="s">
        <v>7354</v>
      </c>
      <c r="B3844">
        <f>273557.546972417*(1/100/100)</f>
        <v>27.3557546972417</v>
      </c>
      <c r="C3844">
        <v>44211</v>
      </c>
      <c r="D3844" t="s">
        <v>1111</v>
      </c>
      <c r="E3844">
        <v>40835</v>
      </c>
      <c r="F3844" t="s">
        <v>1111</v>
      </c>
      <c r="G3844">
        <v>408</v>
      </c>
      <c r="H3844" t="s">
        <v>82</v>
      </c>
      <c r="I3844">
        <v>4</v>
      </c>
      <c r="J3844" t="s">
        <v>75</v>
      </c>
    </row>
    <row r="3845" spans="1:10" x14ac:dyDescent="0.25">
      <c r="A3845" t="s">
        <v>7354</v>
      </c>
      <c r="B3845">
        <f>191177.21611866*(1/100/100)</f>
        <v>19.117721611865999</v>
      </c>
      <c r="C3845">
        <v>44212</v>
      </c>
      <c r="D3845" t="s">
        <v>5380</v>
      </c>
      <c r="E3845">
        <v>40824</v>
      </c>
      <c r="F3845" t="s">
        <v>5380</v>
      </c>
      <c r="G3845">
        <v>408</v>
      </c>
      <c r="H3845" t="s">
        <v>82</v>
      </c>
      <c r="I3845">
        <v>4</v>
      </c>
      <c r="J3845" t="s">
        <v>75</v>
      </c>
    </row>
    <row r="3846" spans="1:10" x14ac:dyDescent="0.25">
      <c r="A3846" t="s">
        <v>7354</v>
      </c>
      <c r="B3846">
        <f>82701.3688935115*(1/100/100)</f>
        <v>8.2701368893511518</v>
      </c>
      <c r="C3846">
        <v>44213</v>
      </c>
      <c r="D3846" t="s">
        <v>5374</v>
      </c>
      <c r="E3846">
        <v>40817</v>
      </c>
      <c r="F3846" t="s">
        <v>1097</v>
      </c>
      <c r="G3846">
        <v>408</v>
      </c>
      <c r="H3846" t="s">
        <v>82</v>
      </c>
      <c r="I3846">
        <v>4</v>
      </c>
      <c r="J3846" t="s">
        <v>75</v>
      </c>
    </row>
    <row r="3847" spans="1:10" x14ac:dyDescent="0.25">
      <c r="A3847" t="s">
        <v>7354</v>
      </c>
      <c r="B3847">
        <f>188108.560900465*(1/100/100)</f>
        <v>18.810856090046503</v>
      </c>
      <c r="C3847">
        <v>44214</v>
      </c>
      <c r="D3847" t="s">
        <v>1104</v>
      </c>
      <c r="E3847">
        <v>40828</v>
      </c>
      <c r="F3847" t="s">
        <v>1104</v>
      </c>
      <c r="G3847">
        <v>408</v>
      </c>
      <c r="H3847" t="s">
        <v>82</v>
      </c>
      <c r="I3847">
        <v>4</v>
      </c>
      <c r="J3847" t="s">
        <v>75</v>
      </c>
    </row>
    <row r="3848" spans="1:10" x14ac:dyDescent="0.25">
      <c r="A3848" t="s">
        <v>7354</v>
      </c>
      <c r="B3848">
        <f>187594.241254859*(1/100/100)</f>
        <v>18.7594241254859</v>
      </c>
      <c r="C3848">
        <v>44215</v>
      </c>
      <c r="D3848" t="s">
        <v>4431</v>
      </c>
      <c r="E3848">
        <v>40835</v>
      </c>
      <c r="F3848" t="s">
        <v>1111</v>
      </c>
      <c r="G3848">
        <v>408</v>
      </c>
      <c r="H3848" t="s">
        <v>82</v>
      </c>
      <c r="I3848">
        <v>4</v>
      </c>
      <c r="J3848" t="s">
        <v>75</v>
      </c>
    </row>
    <row r="3849" spans="1:10" x14ac:dyDescent="0.25">
      <c r="A3849" t="s">
        <v>7354</v>
      </c>
      <c r="B3849">
        <f>267879.572713281*(1/100/100)</f>
        <v>26.787957271328104</v>
      </c>
      <c r="C3849">
        <v>44216</v>
      </c>
      <c r="D3849" t="s">
        <v>1107</v>
      </c>
      <c r="E3849">
        <v>40831</v>
      </c>
      <c r="F3849" t="s">
        <v>1107</v>
      </c>
      <c r="G3849">
        <v>408</v>
      </c>
      <c r="H3849" t="s">
        <v>82</v>
      </c>
      <c r="I3849">
        <v>4</v>
      </c>
      <c r="J3849" t="s">
        <v>75</v>
      </c>
    </row>
    <row r="3850" spans="1:10" x14ac:dyDescent="0.25">
      <c r="A3850" t="s">
        <v>7354</v>
      </c>
      <c r="B3850">
        <f>153130.022566073*(1/100/100)</f>
        <v>15.3130022566073</v>
      </c>
      <c r="C3850">
        <v>44217</v>
      </c>
      <c r="D3850" t="s">
        <v>5392</v>
      </c>
      <c r="E3850">
        <v>40831</v>
      </c>
      <c r="F3850" t="s">
        <v>1107</v>
      </c>
      <c r="G3850">
        <v>408</v>
      </c>
      <c r="H3850" t="s">
        <v>82</v>
      </c>
      <c r="I3850">
        <v>4</v>
      </c>
      <c r="J3850" t="s">
        <v>75</v>
      </c>
    </row>
    <row r="3851" spans="1:10" x14ac:dyDescent="0.25">
      <c r="A3851" t="s">
        <v>7354</v>
      </c>
      <c r="B3851">
        <f>175070.203465544*(1/100/100)</f>
        <v>17.507020346554402</v>
      </c>
      <c r="C3851">
        <v>45001</v>
      </c>
      <c r="D3851" t="s">
        <v>1032</v>
      </c>
      <c r="E3851">
        <v>40501</v>
      </c>
      <c r="F3851" t="s">
        <v>1032</v>
      </c>
      <c r="G3851">
        <v>405</v>
      </c>
      <c r="H3851" t="s">
        <v>79</v>
      </c>
      <c r="I3851">
        <v>4</v>
      </c>
      <c r="J3851" t="s">
        <v>75</v>
      </c>
    </row>
    <row r="3852" spans="1:10" x14ac:dyDescent="0.25">
      <c r="A3852" t="s">
        <v>7354</v>
      </c>
      <c r="B3852">
        <f>58033.4802793946*(1/100/100)</f>
        <v>5.8033480279394603</v>
      </c>
      <c r="C3852">
        <v>45002</v>
      </c>
      <c r="D3852" t="s">
        <v>697</v>
      </c>
      <c r="E3852">
        <v>40501</v>
      </c>
      <c r="F3852" t="s">
        <v>1032</v>
      </c>
      <c r="G3852">
        <v>405</v>
      </c>
      <c r="H3852" t="s">
        <v>79</v>
      </c>
      <c r="I3852">
        <v>4</v>
      </c>
      <c r="J3852" t="s">
        <v>75</v>
      </c>
    </row>
    <row r="3853" spans="1:10" x14ac:dyDescent="0.25">
      <c r="A3853" t="s">
        <v>7354</v>
      </c>
      <c r="B3853">
        <f>238375.680771055*(1/100/100)</f>
        <v>23.837568077105502</v>
      </c>
      <c r="C3853">
        <v>45003</v>
      </c>
      <c r="D3853" t="s">
        <v>1033</v>
      </c>
      <c r="E3853">
        <v>40502</v>
      </c>
      <c r="F3853" t="s">
        <v>1033</v>
      </c>
      <c r="G3853">
        <v>405</v>
      </c>
      <c r="H3853" t="s">
        <v>79</v>
      </c>
      <c r="I3853">
        <v>4</v>
      </c>
      <c r="J3853" t="s">
        <v>75</v>
      </c>
    </row>
    <row r="3854" spans="1:10" x14ac:dyDescent="0.25">
      <c r="A3854" t="s">
        <v>7354</v>
      </c>
      <c r="B3854">
        <f>171800.483728026*(1/100/100)</f>
        <v>17.180048372802602</v>
      </c>
      <c r="C3854">
        <v>45004</v>
      </c>
      <c r="D3854" t="s">
        <v>4616</v>
      </c>
      <c r="E3854">
        <v>40508</v>
      </c>
      <c r="F3854" t="s">
        <v>1038</v>
      </c>
      <c r="G3854">
        <v>405</v>
      </c>
      <c r="H3854" t="s">
        <v>79</v>
      </c>
      <c r="I3854">
        <v>4</v>
      </c>
      <c r="J3854" t="s">
        <v>75</v>
      </c>
    </row>
    <row r="3855" spans="1:10" x14ac:dyDescent="0.25">
      <c r="A3855" t="s">
        <v>7354</v>
      </c>
      <c r="B3855">
        <f>354696.874846139*(1/100/100)</f>
        <v>35.4696874846139</v>
      </c>
      <c r="C3855">
        <v>45005</v>
      </c>
      <c r="D3855" t="s">
        <v>79</v>
      </c>
      <c r="E3855">
        <v>40503</v>
      </c>
      <c r="F3855" t="s">
        <v>79</v>
      </c>
      <c r="G3855">
        <v>405</v>
      </c>
      <c r="H3855" t="s">
        <v>79</v>
      </c>
      <c r="I3855">
        <v>4</v>
      </c>
      <c r="J3855" t="s">
        <v>75</v>
      </c>
    </row>
    <row r="3856" spans="1:10" x14ac:dyDescent="0.25">
      <c r="A3856" t="s">
        <v>7354</v>
      </c>
      <c r="B3856">
        <f>85903.0302012641*(1/100/100)</f>
        <v>8.5903030201264112</v>
      </c>
      <c r="C3856">
        <v>45006</v>
      </c>
      <c r="D3856" t="s">
        <v>5255</v>
      </c>
      <c r="E3856">
        <v>40511</v>
      </c>
      <c r="F3856" t="s">
        <v>1040</v>
      </c>
      <c r="G3856">
        <v>405</v>
      </c>
      <c r="H3856" t="s">
        <v>79</v>
      </c>
      <c r="I3856">
        <v>4</v>
      </c>
      <c r="J3856" t="s">
        <v>75</v>
      </c>
    </row>
    <row r="3857" spans="1:10" x14ac:dyDescent="0.25">
      <c r="A3857" t="s">
        <v>7354</v>
      </c>
      <c r="B3857">
        <f>125282.226827887*(1/100/100)</f>
        <v>12.528222682788702</v>
      </c>
      <c r="C3857">
        <v>45007</v>
      </c>
      <c r="D3857" t="s">
        <v>1034</v>
      </c>
      <c r="E3857">
        <v>40504</v>
      </c>
      <c r="F3857" t="s">
        <v>1034</v>
      </c>
      <c r="G3857">
        <v>405</v>
      </c>
      <c r="H3857" t="s">
        <v>79</v>
      </c>
      <c r="I3857">
        <v>4</v>
      </c>
      <c r="J3857" t="s">
        <v>75</v>
      </c>
    </row>
    <row r="3858" spans="1:10" x14ac:dyDescent="0.25">
      <c r="A3858" t="s">
        <v>7354</v>
      </c>
      <c r="B3858">
        <f>65905.9093096116*(1/100/100)</f>
        <v>6.5905909309611603</v>
      </c>
      <c r="C3858">
        <v>45008</v>
      </c>
      <c r="D3858" t="s">
        <v>5253</v>
      </c>
      <c r="E3858">
        <v>40510</v>
      </c>
      <c r="F3858" t="s">
        <v>5254</v>
      </c>
      <c r="G3858">
        <v>405</v>
      </c>
      <c r="H3858" t="s">
        <v>79</v>
      </c>
      <c r="I3858">
        <v>4</v>
      </c>
      <c r="J3858" t="s">
        <v>75</v>
      </c>
    </row>
    <row r="3859" spans="1:10" x14ac:dyDescent="0.25">
      <c r="A3859" t="s">
        <v>7354</v>
      </c>
      <c r="B3859">
        <f>258261.417779586*(1/100/100)</f>
        <v>25.8261417779586</v>
      </c>
      <c r="C3859">
        <v>45009</v>
      </c>
      <c r="D3859" t="s">
        <v>5251</v>
      </c>
      <c r="E3859">
        <v>40508</v>
      </c>
      <c r="F3859" t="s">
        <v>1038</v>
      </c>
      <c r="G3859">
        <v>405</v>
      </c>
      <c r="H3859" t="s">
        <v>79</v>
      </c>
      <c r="I3859">
        <v>4</v>
      </c>
      <c r="J3859" t="s">
        <v>75</v>
      </c>
    </row>
    <row r="3860" spans="1:10" x14ac:dyDescent="0.25">
      <c r="A3860" t="s">
        <v>7354</v>
      </c>
      <c r="B3860">
        <f>152669.910240555*(1/100/100)</f>
        <v>15.266991024055502</v>
      </c>
      <c r="C3860">
        <v>45010</v>
      </c>
      <c r="D3860" t="s">
        <v>5256</v>
      </c>
      <c r="E3860">
        <v>40512</v>
      </c>
      <c r="F3860" t="s">
        <v>1041</v>
      </c>
      <c r="G3860">
        <v>405</v>
      </c>
      <c r="H3860" t="s">
        <v>79</v>
      </c>
      <c r="I3860">
        <v>4</v>
      </c>
      <c r="J3860" t="s">
        <v>75</v>
      </c>
    </row>
    <row r="3861" spans="1:10" x14ac:dyDescent="0.25">
      <c r="A3861" t="s">
        <v>7354</v>
      </c>
      <c r="B3861">
        <f>109677.876940948*(1/100/100)</f>
        <v>10.967787694094801</v>
      </c>
      <c r="C3861">
        <v>45011</v>
      </c>
      <c r="D3861" t="s">
        <v>5246</v>
      </c>
      <c r="E3861">
        <v>40505</v>
      </c>
      <c r="F3861" t="s">
        <v>1035</v>
      </c>
      <c r="G3861">
        <v>405</v>
      </c>
      <c r="H3861" t="s">
        <v>79</v>
      </c>
      <c r="I3861">
        <v>4</v>
      </c>
      <c r="J3861" t="s">
        <v>75</v>
      </c>
    </row>
    <row r="3862" spans="1:10" x14ac:dyDescent="0.25">
      <c r="A3862" t="s">
        <v>7354</v>
      </c>
      <c r="B3862">
        <f>226689.651634394*(1/100/100)</f>
        <v>22.668965163439399</v>
      </c>
      <c r="C3862">
        <v>45012</v>
      </c>
      <c r="D3862" t="s">
        <v>5242</v>
      </c>
      <c r="E3862">
        <v>40501</v>
      </c>
      <c r="F3862" t="s">
        <v>1032</v>
      </c>
      <c r="G3862">
        <v>405</v>
      </c>
      <c r="H3862" t="s">
        <v>79</v>
      </c>
      <c r="I3862">
        <v>4</v>
      </c>
      <c r="J3862" t="s">
        <v>75</v>
      </c>
    </row>
    <row r="3863" spans="1:10" x14ac:dyDescent="0.25">
      <c r="A3863" t="s">
        <v>7354</v>
      </c>
      <c r="B3863">
        <f>283227.030471942*(1/100/100)</f>
        <v>28.322703047194199</v>
      </c>
      <c r="C3863">
        <v>45013</v>
      </c>
      <c r="D3863" t="s">
        <v>1036</v>
      </c>
      <c r="E3863">
        <v>40506</v>
      </c>
      <c r="F3863" t="s">
        <v>1036</v>
      </c>
      <c r="G3863">
        <v>405</v>
      </c>
      <c r="H3863" t="s">
        <v>79</v>
      </c>
      <c r="I3863">
        <v>4</v>
      </c>
      <c r="J3863" t="s">
        <v>75</v>
      </c>
    </row>
    <row r="3864" spans="1:10" x14ac:dyDescent="0.25">
      <c r="A3864" t="s">
        <v>7354</v>
      </c>
      <c r="B3864">
        <f>169256.742398056*(1/100/100)</f>
        <v>16.925674239805602</v>
      </c>
      <c r="C3864">
        <v>45014</v>
      </c>
      <c r="D3864" t="s">
        <v>1037</v>
      </c>
      <c r="E3864">
        <v>40507</v>
      </c>
      <c r="F3864" t="s">
        <v>1037</v>
      </c>
      <c r="G3864">
        <v>405</v>
      </c>
      <c r="H3864" t="s">
        <v>79</v>
      </c>
      <c r="I3864">
        <v>4</v>
      </c>
      <c r="J3864" t="s">
        <v>75</v>
      </c>
    </row>
    <row r="3865" spans="1:10" x14ac:dyDescent="0.25">
      <c r="A3865" t="s">
        <v>7354</v>
      </c>
      <c r="B3865">
        <f>152009.310855068*(1/100/100)</f>
        <v>15.2009310855068</v>
      </c>
      <c r="C3865">
        <v>45015</v>
      </c>
      <c r="D3865" t="s">
        <v>5245</v>
      </c>
      <c r="E3865">
        <v>40504</v>
      </c>
      <c r="F3865" t="s">
        <v>1034</v>
      </c>
      <c r="G3865">
        <v>405</v>
      </c>
      <c r="H3865" t="s">
        <v>79</v>
      </c>
      <c r="I3865">
        <v>4</v>
      </c>
      <c r="J3865" t="s">
        <v>75</v>
      </c>
    </row>
    <row r="3866" spans="1:10" x14ac:dyDescent="0.25">
      <c r="A3866" t="s">
        <v>7354</v>
      </c>
      <c r="B3866">
        <f>37422.8307320269*(1/100/100)</f>
        <v>3.7422830732026902</v>
      </c>
      <c r="C3866">
        <v>45016</v>
      </c>
      <c r="D3866" t="s">
        <v>1009</v>
      </c>
      <c r="E3866">
        <v>40510</v>
      </c>
      <c r="F3866" t="s">
        <v>5254</v>
      </c>
      <c r="G3866">
        <v>405</v>
      </c>
      <c r="H3866" t="s">
        <v>79</v>
      </c>
      <c r="I3866">
        <v>4</v>
      </c>
      <c r="J3866" t="s">
        <v>75</v>
      </c>
    </row>
    <row r="3867" spans="1:10" x14ac:dyDescent="0.25">
      <c r="A3867" t="s">
        <v>7354</v>
      </c>
      <c r="B3867">
        <f>70021.6137218805*(1/100/100)</f>
        <v>7.0021613721880493</v>
      </c>
      <c r="C3867">
        <v>45017</v>
      </c>
      <c r="D3867" t="s">
        <v>3211</v>
      </c>
      <c r="E3867">
        <v>40505</v>
      </c>
      <c r="F3867" t="s">
        <v>1035</v>
      </c>
      <c r="G3867">
        <v>405</v>
      </c>
      <c r="H3867" t="s">
        <v>79</v>
      </c>
      <c r="I3867">
        <v>4</v>
      </c>
      <c r="J3867" t="s">
        <v>75</v>
      </c>
    </row>
    <row r="3868" spans="1:10" x14ac:dyDescent="0.25">
      <c r="A3868" t="s">
        <v>7354</v>
      </c>
      <c r="B3868">
        <f>102987.743154703*(1/100/100)</f>
        <v>10.2987743154703</v>
      </c>
      <c r="C3868">
        <v>45018</v>
      </c>
      <c r="D3868" t="s">
        <v>1249</v>
      </c>
      <c r="E3868">
        <v>40512</v>
      </c>
      <c r="F3868" t="s">
        <v>1041</v>
      </c>
      <c r="G3868">
        <v>405</v>
      </c>
      <c r="H3868" t="s">
        <v>79</v>
      </c>
      <c r="I3868">
        <v>4</v>
      </c>
      <c r="J3868" t="s">
        <v>75</v>
      </c>
    </row>
    <row r="3869" spans="1:10" x14ac:dyDescent="0.25">
      <c r="A3869" t="s">
        <v>7354</v>
      </c>
      <c r="B3869">
        <f>46618.3712204623*(1/100/100)</f>
        <v>4.6618371220462302</v>
      </c>
      <c r="C3869">
        <v>45019</v>
      </c>
      <c r="D3869" t="s">
        <v>5249</v>
      </c>
      <c r="E3869">
        <v>40507</v>
      </c>
      <c r="F3869" t="s">
        <v>1037</v>
      </c>
      <c r="G3869">
        <v>405</v>
      </c>
      <c r="H3869" t="s">
        <v>79</v>
      </c>
      <c r="I3869">
        <v>4</v>
      </c>
      <c r="J3869" t="s">
        <v>75</v>
      </c>
    </row>
    <row r="3870" spans="1:10" x14ac:dyDescent="0.25">
      <c r="A3870" t="s">
        <v>7354</v>
      </c>
      <c r="B3870">
        <f>100602.630894792*(1/100/100)</f>
        <v>10.060263089479202</v>
      </c>
      <c r="C3870">
        <v>45020</v>
      </c>
      <c r="D3870" t="s">
        <v>5252</v>
      </c>
      <c r="E3870">
        <v>40509</v>
      </c>
      <c r="F3870" t="s">
        <v>1039</v>
      </c>
      <c r="G3870">
        <v>405</v>
      </c>
      <c r="H3870" t="s">
        <v>79</v>
      </c>
      <c r="I3870">
        <v>4</v>
      </c>
      <c r="J3870" t="s">
        <v>75</v>
      </c>
    </row>
    <row r="3871" spans="1:10" x14ac:dyDescent="0.25">
      <c r="A3871" t="s">
        <v>7354</v>
      </c>
      <c r="B3871">
        <f>123292.99117693*(1/100/100)</f>
        <v>12.329299117692999</v>
      </c>
      <c r="C3871">
        <v>45021</v>
      </c>
      <c r="D3871" t="s">
        <v>5247</v>
      </c>
      <c r="E3871">
        <v>40506</v>
      </c>
      <c r="F3871" t="s">
        <v>1036</v>
      </c>
      <c r="G3871">
        <v>405</v>
      </c>
      <c r="H3871" t="s">
        <v>79</v>
      </c>
      <c r="I3871">
        <v>4</v>
      </c>
      <c r="J3871" t="s">
        <v>75</v>
      </c>
    </row>
    <row r="3872" spans="1:10" x14ac:dyDescent="0.25">
      <c r="A3872" t="s">
        <v>7354</v>
      </c>
      <c r="B3872">
        <f>53307.0707018301*(1/100/100)</f>
        <v>5.3307070701830099</v>
      </c>
      <c r="C3872">
        <v>45022</v>
      </c>
      <c r="D3872" t="s">
        <v>5158</v>
      </c>
      <c r="E3872">
        <v>40510</v>
      </c>
      <c r="F3872" t="s">
        <v>5254</v>
      </c>
      <c r="G3872">
        <v>405</v>
      </c>
      <c r="H3872" t="s">
        <v>79</v>
      </c>
      <c r="I3872">
        <v>4</v>
      </c>
      <c r="J3872" t="s">
        <v>75</v>
      </c>
    </row>
    <row r="3873" spans="1:10" x14ac:dyDescent="0.25">
      <c r="A3873" t="s">
        <v>7354</v>
      </c>
      <c r="B3873">
        <f>33448.74333579*(1/100/100)</f>
        <v>3.3448743335790003</v>
      </c>
      <c r="C3873">
        <v>45023</v>
      </c>
      <c r="D3873" t="s">
        <v>5243</v>
      </c>
      <c r="E3873">
        <v>40501</v>
      </c>
      <c r="F3873" t="s">
        <v>1032</v>
      </c>
      <c r="G3873">
        <v>405</v>
      </c>
      <c r="H3873" t="s">
        <v>79</v>
      </c>
      <c r="I3873">
        <v>4</v>
      </c>
      <c r="J3873" t="s">
        <v>75</v>
      </c>
    </row>
    <row r="3874" spans="1:10" x14ac:dyDescent="0.25">
      <c r="A3874" t="s">
        <v>7354</v>
      </c>
      <c r="B3874">
        <f>32317.877443296*(1/100/100)</f>
        <v>3.2317877443296004</v>
      </c>
      <c r="C3874">
        <v>45024</v>
      </c>
      <c r="D3874" t="s">
        <v>5244</v>
      </c>
      <c r="E3874">
        <v>40501</v>
      </c>
      <c r="F3874" t="s">
        <v>1032</v>
      </c>
      <c r="G3874">
        <v>405</v>
      </c>
      <c r="H3874" t="s">
        <v>79</v>
      </c>
      <c r="I3874">
        <v>4</v>
      </c>
      <c r="J3874" t="s">
        <v>75</v>
      </c>
    </row>
    <row r="3875" spans="1:10" x14ac:dyDescent="0.25">
      <c r="A3875" t="s">
        <v>7354</v>
      </c>
      <c r="B3875">
        <f>128421.184799132*(1/100/100)</f>
        <v>12.8421184799132</v>
      </c>
      <c r="C3875">
        <v>45025</v>
      </c>
      <c r="D3875" t="s">
        <v>1039</v>
      </c>
      <c r="E3875">
        <v>40509</v>
      </c>
      <c r="F3875" t="s">
        <v>1039</v>
      </c>
      <c r="G3875">
        <v>405</v>
      </c>
      <c r="H3875" t="s">
        <v>79</v>
      </c>
      <c r="I3875">
        <v>4</v>
      </c>
      <c r="J3875" t="s">
        <v>75</v>
      </c>
    </row>
    <row r="3876" spans="1:10" x14ac:dyDescent="0.25">
      <c r="A3876" t="s">
        <v>7354</v>
      </c>
      <c r="B3876">
        <f>150258.056063354*(1/100/100)</f>
        <v>15.0258056063354</v>
      </c>
      <c r="C3876">
        <v>45026</v>
      </c>
      <c r="D3876" t="s">
        <v>5254</v>
      </c>
      <c r="E3876">
        <v>40510</v>
      </c>
      <c r="F3876" t="s">
        <v>5254</v>
      </c>
      <c r="G3876">
        <v>405</v>
      </c>
      <c r="H3876" t="s">
        <v>79</v>
      </c>
      <c r="I3876">
        <v>4</v>
      </c>
      <c r="J3876" t="s">
        <v>75</v>
      </c>
    </row>
    <row r="3877" spans="1:10" x14ac:dyDescent="0.25">
      <c r="A3877" t="s">
        <v>7354</v>
      </c>
      <c r="B3877">
        <f>164121.880995571*(1/100/100)</f>
        <v>16.412188099557103</v>
      </c>
      <c r="C3877">
        <v>45027</v>
      </c>
      <c r="D3877" t="s">
        <v>1040</v>
      </c>
      <c r="E3877">
        <v>40511</v>
      </c>
      <c r="F3877" t="s">
        <v>1040</v>
      </c>
      <c r="G3877">
        <v>405</v>
      </c>
      <c r="H3877" t="s">
        <v>79</v>
      </c>
      <c r="I3877">
        <v>4</v>
      </c>
      <c r="J3877" t="s">
        <v>75</v>
      </c>
    </row>
    <row r="3878" spans="1:10" x14ac:dyDescent="0.25">
      <c r="A3878" t="s">
        <v>7354</v>
      </c>
      <c r="B3878">
        <f>121432.906444226*(1/100/100)</f>
        <v>12.143290644422601</v>
      </c>
      <c r="C3878">
        <v>45028</v>
      </c>
      <c r="D3878" t="s">
        <v>5248</v>
      </c>
      <c r="E3878">
        <v>40506</v>
      </c>
      <c r="F3878" t="s">
        <v>1036</v>
      </c>
      <c r="G3878">
        <v>405</v>
      </c>
      <c r="H3878" t="s">
        <v>79</v>
      </c>
      <c r="I3878">
        <v>4</v>
      </c>
      <c r="J3878" t="s">
        <v>75</v>
      </c>
    </row>
    <row r="3879" spans="1:10" x14ac:dyDescent="0.25">
      <c r="A3879" t="s">
        <v>7354</v>
      </c>
      <c r="B3879">
        <f>48950.0924209922*(1/100/100)</f>
        <v>4.8950092420992206</v>
      </c>
      <c r="C3879">
        <v>45029</v>
      </c>
      <c r="D3879" t="s">
        <v>3820</v>
      </c>
      <c r="E3879">
        <v>40501</v>
      </c>
      <c r="F3879" t="s">
        <v>1032</v>
      </c>
      <c r="G3879">
        <v>405</v>
      </c>
      <c r="H3879" t="s">
        <v>79</v>
      </c>
      <c r="I3879">
        <v>4</v>
      </c>
      <c r="J3879" t="s">
        <v>75</v>
      </c>
    </row>
    <row r="3880" spans="1:10" x14ac:dyDescent="0.25">
      <c r="A3880" t="s">
        <v>7354</v>
      </c>
      <c r="B3880">
        <f>61424.2627646737*(1/100/100)</f>
        <v>6.1424262764673703</v>
      </c>
      <c r="C3880">
        <v>45030</v>
      </c>
      <c r="D3880" t="s">
        <v>5250</v>
      </c>
      <c r="E3880">
        <v>40507</v>
      </c>
      <c r="F3880" t="s">
        <v>1037</v>
      </c>
      <c r="G3880">
        <v>405</v>
      </c>
      <c r="H3880" t="s">
        <v>79</v>
      </c>
      <c r="I3880">
        <v>4</v>
      </c>
      <c r="J3880" t="s">
        <v>75</v>
      </c>
    </row>
    <row r="3881" spans="1:10" x14ac:dyDescent="0.25">
      <c r="A3881" t="s">
        <v>7354</v>
      </c>
      <c r="B3881">
        <f>395492.182486101*(1/100/100)</f>
        <v>39.549218248610103</v>
      </c>
      <c r="C3881">
        <v>45101</v>
      </c>
      <c r="D3881" t="s">
        <v>1136</v>
      </c>
      <c r="E3881">
        <v>41003</v>
      </c>
      <c r="F3881" t="s">
        <v>1136</v>
      </c>
      <c r="G3881">
        <v>410</v>
      </c>
      <c r="H3881" t="s">
        <v>84</v>
      </c>
      <c r="I3881">
        <v>4</v>
      </c>
      <c r="J3881" t="s">
        <v>75</v>
      </c>
    </row>
    <row r="3882" spans="1:10" x14ac:dyDescent="0.25">
      <c r="A3882" t="s">
        <v>7354</v>
      </c>
      <c r="B3882">
        <f>717481.97888459*(1/100/100)</f>
        <v>71.748197888459003</v>
      </c>
      <c r="C3882">
        <v>45102</v>
      </c>
      <c r="D3882" t="s">
        <v>1138</v>
      </c>
      <c r="E3882">
        <v>41005</v>
      </c>
      <c r="F3882" t="s">
        <v>1138</v>
      </c>
      <c r="G3882">
        <v>410</v>
      </c>
      <c r="H3882" t="s">
        <v>84</v>
      </c>
      <c r="I3882">
        <v>4</v>
      </c>
      <c r="J3882" t="s">
        <v>75</v>
      </c>
    </row>
    <row r="3883" spans="1:10" x14ac:dyDescent="0.25">
      <c r="A3883" t="s">
        <v>7354</v>
      </c>
      <c r="B3883">
        <f>81002.0587082976*(1/100/100)</f>
        <v>8.1002058708297611</v>
      </c>
      <c r="C3883">
        <v>45103</v>
      </c>
      <c r="D3883" t="s">
        <v>1139</v>
      </c>
      <c r="E3883">
        <v>41006</v>
      </c>
      <c r="F3883" t="s">
        <v>1139</v>
      </c>
      <c r="G3883">
        <v>410</v>
      </c>
      <c r="H3883" t="s">
        <v>84</v>
      </c>
      <c r="I3883">
        <v>4</v>
      </c>
      <c r="J3883" t="s">
        <v>75</v>
      </c>
    </row>
    <row r="3884" spans="1:10" x14ac:dyDescent="0.25">
      <c r="A3884" t="s">
        <v>7354</v>
      </c>
      <c r="B3884">
        <f>57655.7495799318*(1/100/100)</f>
        <v>5.7655749579931799</v>
      </c>
      <c r="C3884">
        <v>45104</v>
      </c>
      <c r="D3884" t="s">
        <v>5456</v>
      </c>
      <c r="E3884">
        <v>41005</v>
      </c>
      <c r="F3884" t="s">
        <v>1138</v>
      </c>
      <c r="G3884">
        <v>410</v>
      </c>
      <c r="H3884" t="s">
        <v>84</v>
      </c>
      <c r="I3884">
        <v>4</v>
      </c>
      <c r="J3884" t="s">
        <v>75</v>
      </c>
    </row>
    <row r="3885" spans="1:10" x14ac:dyDescent="0.25">
      <c r="A3885" t="s">
        <v>7354</v>
      </c>
      <c r="B3885">
        <f>166400.800806217*(1/100/100)</f>
        <v>16.640080080621701</v>
      </c>
      <c r="C3885">
        <v>45105</v>
      </c>
      <c r="D3885" t="s">
        <v>5457</v>
      </c>
      <c r="E3885">
        <v>41005</v>
      </c>
      <c r="F3885" t="s">
        <v>1138</v>
      </c>
      <c r="G3885">
        <v>410</v>
      </c>
      <c r="H3885" t="s">
        <v>84</v>
      </c>
      <c r="I3885">
        <v>4</v>
      </c>
      <c r="J3885" t="s">
        <v>75</v>
      </c>
    </row>
    <row r="3886" spans="1:10" x14ac:dyDescent="0.25">
      <c r="A3886" t="s">
        <v>7354</v>
      </c>
      <c r="B3886">
        <f>137068.111858889*(1/100/100)</f>
        <v>13.706811185888901</v>
      </c>
      <c r="C3886">
        <v>45106</v>
      </c>
      <c r="D3886" t="s">
        <v>1144</v>
      </c>
      <c r="E3886">
        <v>41011</v>
      </c>
      <c r="F3886" t="s">
        <v>1144</v>
      </c>
      <c r="G3886">
        <v>410</v>
      </c>
      <c r="H3886" t="s">
        <v>84</v>
      </c>
      <c r="I3886">
        <v>4</v>
      </c>
      <c r="J3886" t="s">
        <v>75</v>
      </c>
    </row>
    <row r="3887" spans="1:10" x14ac:dyDescent="0.25">
      <c r="A3887" t="s">
        <v>7354</v>
      </c>
      <c r="B3887">
        <f>162358.311061421*(1/100/100)</f>
        <v>16.235831106142101</v>
      </c>
      <c r="C3887">
        <v>45107</v>
      </c>
      <c r="D3887" t="s">
        <v>5458</v>
      </c>
      <c r="E3887">
        <v>41005</v>
      </c>
      <c r="F3887" t="s">
        <v>1138</v>
      </c>
      <c r="G3887">
        <v>410</v>
      </c>
      <c r="H3887" t="s">
        <v>84</v>
      </c>
      <c r="I3887">
        <v>4</v>
      </c>
      <c r="J3887" t="s">
        <v>75</v>
      </c>
    </row>
    <row r="3888" spans="1:10" x14ac:dyDescent="0.25">
      <c r="A3888" t="s">
        <v>7354</v>
      </c>
      <c r="B3888">
        <f>30438.9042647161*(1/100/100)</f>
        <v>3.0438904264716102</v>
      </c>
      <c r="C3888">
        <v>45108</v>
      </c>
      <c r="D3888" t="s">
        <v>2690</v>
      </c>
      <c r="E3888">
        <v>41005</v>
      </c>
      <c r="F3888" t="s">
        <v>1138</v>
      </c>
      <c r="G3888">
        <v>410</v>
      </c>
      <c r="H3888" t="s">
        <v>84</v>
      </c>
      <c r="I3888">
        <v>4</v>
      </c>
      <c r="J3888" t="s">
        <v>75</v>
      </c>
    </row>
    <row r="3889" spans="1:10" x14ac:dyDescent="0.25">
      <c r="A3889" t="s">
        <v>7354</v>
      </c>
      <c r="B3889">
        <f>17689.454319878*(1/100/100)</f>
        <v>1.7689454319878002</v>
      </c>
      <c r="C3889">
        <v>45109</v>
      </c>
      <c r="D3889" t="s">
        <v>5460</v>
      </c>
      <c r="E3889">
        <v>41006</v>
      </c>
      <c r="F3889" t="s">
        <v>1139</v>
      </c>
      <c r="G3889">
        <v>410</v>
      </c>
      <c r="H3889" t="s">
        <v>84</v>
      </c>
      <c r="I3889">
        <v>4</v>
      </c>
      <c r="J3889" t="s">
        <v>75</v>
      </c>
    </row>
    <row r="3890" spans="1:10" x14ac:dyDescent="0.25">
      <c r="A3890" t="s">
        <v>7354</v>
      </c>
      <c r="B3890">
        <f>138957.380082751*(1/100/100)</f>
        <v>13.895738008275101</v>
      </c>
      <c r="C3890">
        <v>45110</v>
      </c>
      <c r="D3890" t="s">
        <v>5455</v>
      </c>
      <c r="E3890">
        <v>41003</v>
      </c>
      <c r="F3890" t="s">
        <v>1136</v>
      </c>
      <c r="G3890">
        <v>410</v>
      </c>
      <c r="H3890" t="s">
        <v>84</v>
      </c>
      <c r="I3890">
        <v>4</v>
      </c>
      <c r="J3890" t="s">
        <v>75</v>
      </c>
    </row>
    <row r="3891" spans="1:10" x14ac:dyDescent="0.25">
      <c r="A3891" t="s">
        <v>7354</v>
      </c>
      <c r="B3891">
        <f>124097.98156264*(1/100/100)</f>
        <v>12.409798156263999</v>
      </c>
      <c r="C3891">
        <v>45111</v>
      </c>
      <c r="D3891" t="s">
        <v>5464</v>
      </c>
      <c r="E3891">
        <v>41011</v>
      </c>
      <c r="F3891" t="s">
        <v>1144</v>
      </c>
      <c r="G3891">
        <v>410</v>
      </c>
      <c r="H3891" t="s">
        <v>84</v>
      </c>
      <c r="I3891">
        <v>4</v>
      </c>
      <c r="J3891" t="s">
        <v>75</v>
      </c>
    </row>
    <row r="3892" spans="1:10" x14ac:dyDescent="0.25">
      <c r="A3892" t="s">
        <v>7354</v>
      </c>
      <c r="B3892">
        <f>41649.0200720826*(1/100/100)</f>
        <v>4.1649020072082603</v>
      </c>
      <c r="C3892">
        <v>45112</v>
      </c>
      <c r="D3892" t="s">
        <v>4296</v>
      </c>
      <c r="E3892">
        <v>41006</v>
      </c>
      <c r="F3892" t="s">
        <v>1139</v>
      </c>
      <c r="G3892">
        <v>410</v>
      </c>
      <c r="H3892" t="s">
        <v>84</v>
      </c>
      <c r="I3892">
        <v>4</v>
      </c>
      <c r="J3892" t="s">
        <v>75</v>
      </c>
    </row>
    <row r="3893" spans="1:10" x14ac:dyDescent="0.25">
      <c r="A3893" t="s">
        <v>7354</v>
      </c>
      <c r="B3893">
        <f>52167.6209732474*(1/100/100)</f>
        <v>5.2167620973247404</v>
      </c>
      <c r="C3893">
        <v>45113</v>
      </c>
      <c r="D3893" t="s">
        <v>4423</v>
      </c>
      <c r="E3893">
        <v>41011</v>
      </c>
      <c r="F3893" t="s">
        <v>1144</v>
      </c>
      <c r="G3893">
        <v>410</v>
      </c>
      <c r="H3893" t="s">
        <v>84</v>
      </c>
      <c r="I3893">
        <v>4</v>
      </c>
      <c r="J3893" t="s">
        <v>75</v>
      </c>
    </row>
    <row r="3894" spans="1:10" x14ac:dyDescent="0.25">
      <c r="A3894" t="s">
        <v>7354</v>
      </c>
      <c r="B3894">
        <f>33139.0167607031*(1/100/100)</f>
        <v>3.3139016760703104</v>
      </c>
      <c r="C3894">
        <v>45114</v>
      </c>
      <c r="D3894" t="s">
        <v>3033</v>
      </c>
      <c r="E3894">
        <v>41006</v>
      </c>
      <c r="F3894" t="s">
        <v>1139</v>
      </c>
      <c r="G3894">
        <v>410</v>
      </c>
      <c r="H3894" t="s">
        <v>84</v>
      </c>
      <c r="I3894">
        <v>4</v>
      </c>
      <c r="J3894" t="s">
        <v>75</v>
      </c>
    </row>
    <row r="3895" spans="1:10" x14ac:dyDescent="0.25">
      <c r="A3895" t="s">
        <v>7354</v>
      </c>
      <c r="B3895">
        <f>34446.1669543722*(1/100/100)</f>
        <v>3.4446166954372202</v>
      </c>
      <c r="C3895">
        <v>45115</v>
      </c>
      <c r="D3895" t="s">
        <v>5459</v>
      </c>
      <c r="E3895">
        <v>41005</v>
      </c>
      <c r="F3895" t="s">
        <v>1138</v>
      </c>
      <c r="G3895">
        <v>410</v>
      </c>
      <c r="H3895" t="s">
        <v>84</v>
      </c>
      <c r="I3895">
        <v>4</v>
      </c>
      <c r="J3895" t="s">
        <v>75</v>
      </c>
    </row>
    <row r="3896" spans="1:10" x14ac:dyDescent="0.25">
      <c r="A3896" t="s">
        <v>7354</v>
      </c>
      <c r="B3896">
        <f>232155.680009486*(1/100/100)</f>
        <v>23.215568000948601</v>
      </c>
      <c r="C3896">
        <v>45201</v>
      </c>
      <c r="D3896" t="s">
        <v>5143</v>
      </c>
      <c r="E3896">
        <v>40101</v>
      </c>
      <c r="F3896" t="s">
        <v>989</v>
      </c>
      <c r="G3896">
        <v>401</v>
      </c>
      <c r="H3896" t="s">
        <v>74</v>
      </c>
      <c r="I3896">
        <v>4</v>
      </c>
      <c r="J3896" t="s">
        <v>75</v>
      </c>
    </row>
    <row r="3897" spans="1:10" x14ac:dyDescent="0.25">
      <c r="A3897" t="s">
        <v>7354</v>
      </c>
      <c r="B3897">
        <f>1578008.4850552*(1/100/100)</f>
        <v>157.80084850552001</v>
      </c>
      <c r="C3897">
        <v>45202</v>
      </c>
      <c r="D3897" t="s">
        <v>5144</v>
      </c>
      <c r="E3897">
        <v>40101</v>
      </c>
      <c r="F3897" t="s">
        <v>989</v>
      </c>
      <c r="G3897">
        <v>401</v>
      </c>
      <c r="H3897" t="s">
        <v>74</v>
      </c>
      <c r="I3897">
        <v>4</v>
      </c>
      <c r="J3897" t="s">
        <v>75</v>
      </c>
    </row>
    <row r="3898" spans="1:10" x14ac:dyDescent="0.25">
      <c r="A3898" t="s">
        <v>7354</v>
      </c>
      <c r="B3898">
        <f>1466033.03083233*(1/100/100)</f>
        <v>146.60330308323302</v>
      </c>
      <c r="C3898">
        <v>45203</v>
      </c>
      <c r="D3898" t="s">
        <v>989</v>
      </c>
      <c r="E3898">
        <v>40101</v>
      </c>
      <c r="F3898" t="s">
        <v>989</v>
      </c>
      <c r="G3898">
        <v>401</v>
      </c>
      <c r="H3898" t="s">
        <v>74</v>
      </c>
      <c r="I3898">
        <v>4</v>
      </c>
      <c r="J3898" t="s">
        <v>75</v>
      </c>
    </row>
    <row r="3899" spans="1:10" x14ac:dyDescent="0.25">
      <c r="A3899" t="s">
        <v>7354</v>
      </c>
      <c r="B3899">
        <f>1807174.73131456*(1/100/100)</f>
        <v>180.71747313145599</v>
      </c>
      <c r="C3899">
        <v>45204</v>
      </c>
      <c r="D3899" t="s">
        <v>2092</v>
      </c>
      <c r="E3899">
        <v>40101</v>
      </c>
      <c r="F3899" t="s">
        <v>989</v>
      </c>
      <c r="G3899">
        <v>401</v>
      </c>
      <c r="H3899" t="s">
        <v>74</v>
      </c>
      <c r="I3899">
        <v>4</v>
      </c>
      <c r="J3899" t="s">
        <v>75</v>
      </c>
    </row>
    <row r="3900" spans="1:10" x14ac:dyDescent="0.25">
      <c r="A3900" t="s">
        <v>7354</v>
      </c>
      <c r="B3900">
        <f>24278.0659748186*(1/100/100)</f>
        <v>2.4278065974818603</v>
      </c>
      <c r="C3900">
        <v>45205</v>
      </c>
      <c r="D3900" t="s">
        <v>5145</v>
      </c>
      <c r="E3900">
        <v>40101</v>
      </c>
      <c r="F3900" t="s">
        <v>989</v>
      </c>
      <c r="G3900">
        <v>401</v>
      </c>
      <c r="H3900" t="s">
        <v>74</v>
      </c>
      <c r="I3900">
        <v>4</v>
      </c>
      <c r="J3900" t="s">
        <v>75</v>
      </c>
    </row>
    <row r="3901" spans="1:10" x14ac:dyDescent="0.25">
      <c r="A3901" t="s">
        <v>7354</v>
      </c>
      <c r="B3901">
        <f>130077.148144629*(1/100/100)</f>
        <v>13.007714814462901</v>
      </c>
      <c r="C3901">
        <v>45206</v>
      </c>
      <c r="D3901" t="s">
        <v>5146</v>
      </c>
      <c r="E3901">
        <v>40101</v>
      </c>
      <c r="F3901" t="s">
        <v>989</v>
      </c>
      <c r="G3901">
        <v>401</v>
      </c>
      <c r="H3901" t="s">
        <v>74</v>
      </c>
      <c r="I3901">
        <v>4</v>
      </c>
      <c r="J3901" t="s">
        <v>75</v>
      </c>
    </row>
    <row r="3902" spans="1:10" x14ac:dyDescent="0.25">
      <c r="A3902" t="s">
        <v>7354</v>
      </c>
      <c r="B3902">
        <f>237067.374469278*(1/100/100)</f>
        <v>23.7067374469278</v>
      </c>
      <c r="C3902">
        <v>45207</v>
      </c>
      <c r="D3902" t="s">
        <v>5147</v>
      </c>
      <c r="E3902">
        <v>40101</v>
      </c>
      <c r="F3902" t="s">
        <v>989</v>
      </c>
      <c r="G3902">
        <v>401</v>
      </c>
      <c r="H3902" t="s">
        <v>74</v>
      </c>
      <c r="I3902">
        <v>4</v>
      </c>
      <c r="J3902" t="s">
        <v>75</v>
      </c>
    </row>
    <row r="3903" spans="1:10" x14ac:dyDescent="0.25">
      <c r="A3903" t="s">
        <v>7354</v>
      </c>
      <c r="B3903">
        <f>1504862.43547574*(1/100/100)</f>
        <v>150.48624354757402</v>
      </c>
      <c r="C3903">
        <v>45208</v>
      </c>
      <c r="D3903" t="s">
        <v>2595</v>
      </c>
      <c r="E3903">
        <v>40101</v>
      </c>
      <c r="F3903" t="s">
        <v>989</v>
      </c>
      <c r="G3903">
        <v>401</v>
      </c>
      <c r="H3903" t="s">
        <v>74</v>
      </c>
      <c r="I3903">
        <v>4</v>
      </c>
      <c r="J3903" t="s">
        <v>75</v>
      </c>
    </row>
    <row r="3904" spans="1:10" x14ac:dyDescent="0.25">
      <c r="A3904" t="s">
        <v>7354</v>
      </c>
      <c r="B3904">
        <f>185021.608298153*(1/100/100)</f>
        <v>18.502160829815303</v>
      </c>
      <c r="C3904">
        <v>45209</v>
      </c>
      <c r="D3904" t="s">
        <v>5148</v>
      </c>
      <c r="E3904">
        <v>40101</v>
      </c>
      <c r="F3904" t="s">
        <v>989</v>
      </c>
      <c r="G3904">
        <v>401</v>
      </c>
      <c r="H3904" t="s">
        <v>74</v>
      </c>
      <c r="I3904">
        <v>4</v>
      </c>
      <c r="J3904" t="s">
        <v>75</v>
      </c>
    </row>
    <row r="3905" spans="1:10" x14ac:dyDescent="0.25">
      <c r="A3905" t="s">
        <v>7354</v>
      </c>
      <c r="B3905">
        <f>1050027.94872191*(1/100/100)</f>
        <v>105.00279487219099</v>
      </c>
      <c r="C3905">
        <v>45210</v>
      </c>
      <c r="D3905" t="s">
        <v>958</v>
      </c>
      <c r="E3905">
        <v>40101</v>
      </c>
      <c r="F3905" t="s">
        <v>989</v>
      </c>
      <c r="G3905">
        <v>401</v>
      </c>
      <c r="H3905" t="s">
        <v>74</v>
      </c>
      <c r="I3905">
        <v>4</v>
      </c>
      <c r="J3905" t="s">
        <v>75</v>
      </c>
    </row>
    <row r="3906" spans="1:10" x14ac:dyDescent="0.25">
      <c r="A3906" t="s">
        <v>7354</v>
      </c>
      <c r="B3906">
        <f>36643.5846282213*(1/100/100)</f>
        <v>3.6643584628221304</v>
      </c>
      <c r="C3906">
        <v>45211</v>
      </c>
      <c r="D3906" t="s">
        <v>5149</v>
      </c>
      <c r="E3906">
        <v>40101</v>
      </c>
      <c r="F3906" t="s">
        <v>989</v>
      </c>
      <c r="G3906">
        <v>401</v>
      </c>
      <c r="H3906" t="s">
        <v>74</v>
      </c>
      <c r="I3906">
        <v>4</v>
      </c>
      <c r="J3906" t="s">
        <v>75</v>
      </c>
    </row>
    <row r="3907" spans="1:10" x14ac:dyDescent="0.25">
      <c r="A3907" t="s">
        <v>7354</v>
      </c>
      <c r="B3907">
        <f>641166.806918568*(1/100/100)</f>
        <v>64.1166806918568</v>
      </c>
      <c r="C3907">
        <v>45212</v>
      </c>
      <c r="D3907" t="s">
        <v>5150</v>
      </c>
      <c r="E3907">
        <v>40101</v>
      </c>
      <c r="F3907" t="s">
        <v>989</v>
      </c>
      <c r="G3907">
        <v>401</v>
      </c>
      <c r="H3907" t="s">
        <v>74</v>
      </c>
      <c r="I3907">
        <v>4</v>
      </c>
      <c r="J3907" t="s">
        <v>75</v>
      </c>
    </row>
    <row r="3908" spans="1:10" x14ac:dyDescent="0.25">
      <c r="A3908" t="s">
        <v>7354</v>
      </c>
      <c r="B3908">
        <f>316120.550378334*(1/100/100)</f>
        <v>31.612055037833404</v>
      </c>
      <c r="C3908">
        <v>45213</v>
      </c>
      <c r="D3908" t="s">
        <v>5151</v>
      </c>
      <c r="E3908">
        <v>40101</v>
      </c>
      <c r="F3908" t="s">
        <v>989</v>
      </c>
      <c r="G3908">
        <v>401</v>
      </c>
      <c r="H3908" t="s">
        <v>74</v>
      </c>
      <c r="I3908">
        <v>4</v>
      </c>
      <c r="J3908" t="s">
        <v>75</v>
      </c>
    </row>
    <row r="3909" spans="1:10" x14ac:dyDescent="0.25">
      <c r="A3909" t="s">
        <v>7354</v>
      </c>
      <c r="B3909">
        <f>719579.059625656*(1/100/100)</f>
        <v>71.957905962565604</v>
      </c>
      <c r="C3909">
        <v>45214</v>
      </c>
      <c r="D3909" t="s">
        <v>5152</v>
      </c>
      <c r="E3909">
        <v>40101</v>
      </c>
      <c r="F3909" t="s">
        <v>989</v>
      </c>
      <c r="G3909">
        <v>401</v>
      </c>
      <c r="H3909" t="s">
        <v>74</v>
      </c>
      <c r="I3909">
        <v>4</v>
      </c>
      <c r="J3909" t="s">
        <v>75</v>
      </c>
    </row>
    <row r="3910" spans="1:10" x14ac:dyDescent="0.25">
      <c r="A3910" t="s">
        <v>7354</v>
      </c>
      <c r="B3910">
        <f>56258.5979110625*(1/100/100)</f>
        <v>5.62585979110625</v>
      </c>
      <c r="C3910">
        <v>45301</v>
      </c>
      <c r="D3910" t="s">
        <v>5463</v>
      </c>
      <c r="E3910">
        <v>41010</v>
      </c>
      <c r="F3910" t="s">
        <v>1143</v>
      </c>
      <c r="G3910">
        <v>410</v>
      </c>
      <c r="H3910" t="s">
        <v>84</v>
      </c>
      <c r="I3910">
        <v>4</v>
      </c>
      <c r="J3910" t="s">
        <v>75</v>
      </c>
    </row>
    <row r="3911" spans="1:10" x14ac:dyDescent="0.25">
      <c r="A3911" t="s">
        <v>7354</v>
      </c>
      <c r="B3911">
        <f>141549.700544254*(1/100/100)</f>
        <v>14.154970054425402</v>
      </c>
      <c r="C3911">
        <v>45302</v>
      </c>
      <c r="D3911" t="s">
        <v>5494</v>
      </c>
      <c r="E3911">
        <v>41022</v>
      </c>
      <c r="F3911" t="s">
        <v>1153</v>
      </c>
      <c r="G3911">
        <v>410</v>
      </c>
      <c r="H3911" t="s">
        <v>84</v>
      </c>
      <c r="I3911">
        <v>4</v>
      </c>
      <c r="J3911" t="s">
        <v>75</v>
      </c>
    </row>
    <row r="3912" spans="1:10" x14ac:dyDescent="0.25">
      <c r="A3912" t="s">
        <v>7354</v>
      </c>
      <c r="B3912">
        <f>236543.693499536*(1/100/100)</f>
        <v>23.654369349953601</v>
      </c>
      <c r="C3912">
        <v>45303</v>
      </c>
      <c r="D3912" t="s">
        <v>4537</v>
      </c>
      <c r="E3912">
        <v>41016</v>
      </c>
      <c r="F3912" t="s">
        <v>1148</v>
      </c>
      <c r="G3912">
        <v>410</v>
      </c>
      <c r="H3912" t="s">
        <v>84</v>
      </c>
      <c r="I3912">
        <v>4</v>
      </c>
      <c r="J3912" t="s">
        <v>75</v>
      </c>
    </row>
    <row r="3913" spans="1:10" x14ac:dyDescent="0.25">
      <c r="A3913" t="s">
        <v>7354</v>
      </c>
      <c r="B3913">
        <f>164467.754136029*(1/100/100)</f>
        <v>16.4467754136029</v>
      </c>
      <c r="C3913">
        <v>45304</v>
      </c>
      <c r="D3913" t="s">
        <v>5465</v>
      </c>
      <c r="E3913">
        <v>41012</v>
      </c>
      <c r="F3913" t="s">
        <v>1145</v>
      </c>
      <c r="G3913">
        <v>410</v>
      </c>
      <c r="H3913" t="s">
        <v>84</v>
      </c>
      <c r="I3913">
        <v>4</v>
      </c>
      <c r="J3913" t="s">
        <v>75</v>
      </c>
    </row>
    <row r="3914" spans="1:10" x14ac:dyDescent="0.25">
      <c r="A3914" t="s">
        <v>7354</v>
      </c>
      <c r="B3914">
        <f>206177.299387234*(1/100/100)</f>
        <v>20.6177299387234</v>
      </c>
      <c r="C3914">
        <v>45305</v>
      </c>
      <c r="D3914" t="s">
        <v>2496</v>
      </c>
      <c r="E3914">
        <v>41010</v>
      </c>
      <c r="F3914" t="s">
        <v>1143</v>
      </c>
      <c r="G3914">
        <v>410</v>
      </c>
      <c r="H3914" t="s">
        <v>84</v>
      </c>
      <c r="I3914">
        <v>4</v>
      </c>
      <c r="J3914" t="s">
        <v>75</v>
      </c>
    </row>
    <row r="3915" spans="1:10" x14ac:dyDescent="0.25">
      <c r="A3915" t="s">
        <v>7354</v>
      </c>
      <c r="B3915">
        <f>1363632.8401582*(1/100/100)</f>
        <v>136.36328401582</v>
      </c>
      <c r="C3915">
        <v>45306</v>
      </c>
      <c r="D3915" t="s">
        <v>1145</v>
      </c>
      <c r="E3915">
        <v>41012</v>
      </c>
      <c r="F3915" t="s">
        <v>1145</v>
      </c>
      <c r="G3915">
        <v>410</v>
      </c>
      <c r="H3915" t="s">
        <v>84</v>
      </c>
      <c r="I3915">
        <v>4</v>
      </c>
      <c r="J3915" t="s">
        <v>75</v>
      </c>
    </row>
    <row r="3916" spans="1:10" x14ac:dyDescent="0.25">
      <c r="A3916" t="s">
        <v>7354</v>
      </c>
      <c r="B3916">
        <f>965039.112878705*(1/100/100)</f>
        <v>96.503911287870508</v>
      </c>
      <c r="C3916">
        <v>45307</v>
      </c>
      <c r="D3916" t="s">
        <v>3566</v>
      </c>
      <c r="E3916">
        <v>41007</v>
      </c>
      <c r="F3916" t="s">
        <v>1140</v>
      </c>
      <c r="G3916">
        <v>410</v>
      </c>
      <c r="H3916" t="s">
        <v>84</v>
      </c>
      <c r="I3916">
        <v>4</v>
      </c>
      <c r="J3916" t="s">
        <v>75</v>
      </c>
    </row>
    <row r="3917" spans="1:10" x14ac:dyDescent="0.25">
      <c r="A3917" t="s">
        <v>7354</v>
      </c>
      <c r="B3917">
        <f>778099.132718882*(1/100/100)</f>
        <v>77.809913271888206</v>
      </c>
      <c r="C3917">
        <v>45308</v>
      </c>
      <c r="D3917" t="s">
        <v>1149</v>
      </c>
      <c r="E3917">
        <v>41017</v>
      </c>
      <c r="F3917" t="s">
        <v>1149</v>
      </c>
      <c r="G3917">
        <v>410</v>
      </c>
      <c r="H3917" t="s">
        <v>84</v>
      </c>
      <c r="I3917">
        <v>4</v>
      </c>
      <c r="J3917" t="s">
        <v>75</v>
      </c>
    </row>
    <row r="3918" spans="1:10" x14ac:dyDescent="0.25">
      <c r="A3918" t="s">
        <v>7354</v>
      </c>
      <c r="B3918">
        <f>247442.01161073*(1/100/100)</f>
        <v>24.744201161073001</v>
      </c>
      <c r="C3918">
        <v>45309</v>
      </c>
      <c r="D3918" t="s">
        <v>5466</v>
      </c>
      <c r="E3918">
        <v>41012</v>
      </c>
      <c r="F3918" t="s">
        <v>1145</v>
      </c>
      <c r="G3918">
        <v>410</v>
      </c>
      <c r="H3918" t="s">
        <v>84</v>
      </c>
      <c r="I3918">
        <v>4</v>
      </c>
      <c r="J3918" t="s">
        <v>75</v>
      </c>
    </row>
    <row r="3919" spans="1:10" x14ac:dyDescent="0.25">
      <c r="A3919" t="s">
        <v>7354</v>
      </c>
      <c r="B3919">
        <f>209720.808930526*(1/100/100)</f>
        <v>20.972080893052599</v>
      </c>
      <c r="C3919">
        <v>45310</v>
      </c>
      <c r="D3919" t="s">
        <v>5495</v>
      </c>
      <c r="E3919">
        <v>41022</v>
      </c>
      <c r="F3919" t="s">
        <v>1153</v>
      </c>
      <c r="G3919">
        <v>410</v>
      </c>
      <c r="H3919" t="s">
        <v>84</v>
      </c>
      <c r="I3919">
        <v>4</v>
      </c>
      <c r="J3919" t="s">
        <v>75</v>
      </c>
    </row>
    <row r="3920" spans="1:10" x14ac:dyDescent="0.25">
      <c r="A3920" t="s">
        <v>7354</v>
      </c>
      <c r="B3920">
        <f>1535452.35312918*(1/100/100)</f>
        <v>153.54523531291801</v>
      </c>
      <c r="C3920">
        <v>45311</v>
      </c>
      <c r="D3920" t="s">
        <v>1152</v>
      </c>
      <c r="E3920">
        <v>41021</v>
      </c>
      <c r="F3920" t="s">
        <v>1152</v>
      </c>
      <c r="G3920">
        <v>410</v>
      </c>
      <c r="H3920" t="s">
        <v>84</v>
      </c>
      <c r="I3920">
        <v>4</v>
      </c>
      <c r="J3920" t="s">
        <v>75</v>
      </c>
    </row>
    <row r="3921" spans="1:10" x14ac:dyDescent="0.25">
      <c r="A3921" t="s">
        <v>7354</v>
      </c>
      <c r="B3921">
        <f>142368.578927168*(1/100/100)</f>
        <v>14.236857892716802</v>
      </c>
      <c r="C3921">
        <v>45312</v>
      </c>
      <c r="D3921" t="s">
        <v>1153</v>
      </c>
      <c r="E3921">
        <v>41022</v>
      </c>
      <c r="F3921" t="s">
        <v>1153</v>
      </c>
      <c r="G3921">
        <v>410</v>
      </c>
      <c r="H3921" t="s">
        <v>84</v>
      </c>
      <c r="I3921">
        <v>4</v>
      </c>
      <c r="J3921" t="s">
        <v>75</v>
      </c>
    </row>
    <row r="3922" spans="1:10" x14ac:dyDescent="0.25">
      <c r="A3922" t="s">
        <v>7354</v>
      </c>
      <c r="B3922">
        <f>547143.729617908*(1/100/100)</f>
        <v>54.714372961790801</v>
      </c>
      <c r="C3922">
        <v>45313</v>
      </c>
      <c r="D3922" t="s">
        <v>1135</v>
      </c>
      <c r="E3922">
        <v>41002</v>
      </c>
      <c r="F3922" t="s">
        <v>1135</v>
      </c>
      <c r="G3922">
        <v>410</v>
      </c>
      <c r="H3922" t="s">
        <v>84</v>
      </c>
      <c r="I3922">
        <v>4</v>
      </c>
      <c r="J3922" t="s">
        <v>75</v>
      </c>
    </row>
    <row r="3923" spans="1:10" x14ac:dyDescent="0.25">
      <c r="A3923" t="s">
        <v>7354</v>
      </c>
      <c r="B3923">
        <f>52048.0714924175*(1/100/100)</f>
        <v>5.2048071492417503</v>
      </c>
      <c r="C3923">
        <v>45314</v>
      </c>
      <c r="D3923" t="s">
        <v>2229</v>
      </c>
      <c r="E3923">
        <v>41015</v>
      </c>
      <c r="F3923" t="s">
        <v>1147</v>
      </c>
      <c r="G3923">
        <v>410</v>
      </c>
      <c r="H3923" t="s">
        <v>84</v>
      </c>
      <c r="I3923">
        <v>4</v>
      </c>
      <c r="J3923" t="s">
        <v>75</v>
      </c>
    </row>
    <row r="3924" spans="1:10" x14ac:dyDescent="0.25">
      <c r="A3924" t="s">
        <v>7354</v>
      </c>
      <c r="B3924">
        <f>31813.5747837412*(1/100/100)</f>
        <v>3.1813574783741201</v>
      </c>
      <c r="C3924">
        <v>45315</v>
      </c>
      <c r="D3924" t="s">
        <v>5467</v>
      </c>
      <c r="E3924">
        <v>41013</v>
      </c>
      <c r="F3924" t="s">
        <v>5188</v>
      </c>
      <c r="G3924">
        <v>410</v>
      </c>
      <c r="H3924" t="s">
        <v>84</v>
      </c>
      <c r="I3924">
        <v>4</v>
      </c>
      <c r="J3924" t="s">
        <v>75</v>
      </c>
    </row>
    <row r="3925" spans="1:10" x14ac:dyDescent="0.25">
      <c r="A3925" t="s">
        <v>7354</v>
      </c>
      <c r="B3925">
        <f>34477.4439045046*(1/100/100)</f>
        <v>3.4477443904504605</v>
      </c>
      <c r="C3925">
        <v>45316</v>
      </c>
      <c r="D3925" t="s">
        <v>5468</v>
      </c>
      <c r="E3925">
        <v>41013</v>
      </c>
      <c r="F3925" t="s">
        <v>5188</v>
      </c>
      <c r="G3925">
        <v>410</v>
      </c>
      <c r="H3925" t="s">
        <v>84</v>
      </c>
      <c r="I3925">
        <v>4</v>
      </c>
      <c r="J3925" t="s">
        <v>75</v>
      </c>
    </row>
    <row r="3926" spans="1:10" x14ac:dyDescent="0.25">
      <c r="A3926" t="s">
        <v>7354</v>
      </c>
      <c r="B3926">
        <f>41306.4850318212*(1/100/100)</f>
        <v>4.1306485031821198</v>
      </c>
      <c r="C3926">
        <v>45317</v>
      </c>
      <c r="D3926" t="s">
        <v>5451</v>
      </c>
      <c r="E3926">
        <v>41002</v>
      </c>
      <c r="F3926" t="s">
        <v>1135</v>
      </c>
      <c r="G3926">
        <v>410</v>
      </c>
      <c r="H3926" t="s">
        <v>84</v>
      </c>
      <c r="I3926">
        <v>4</v>
      </c>
      <c r="J3926" t="s">
        <v>75</v>
      </c>
    </row>
    <row r="3927" spans="1:10" x14ac:dyDescent="0.25">
      <c r="A3927" t="s">
        <v>7354</v>
      </c>
      <c r="B3927">
        <f>48445.7114256738*(1/100/100)</f>
        <v>4.8445711425673803</v>
      </c>
      <c r="C3927">
        <v>45318</v>
      </c>
      <c r="D3927" t="s">
        <v>5469</v>
      </c>
      <c r="E3927">
        <v>41013</v>
      </c>
      <c r="F3927" t="s">
        <v>5188</v>
      </c>
      <c r="G3927">
        <v>410</v>
      </c>
      <c r="H3927" t="s">
        <v>84</v>
      </c>
      <c r="I3927">
        <v>4</v>
      </c>
      <c r="J3927" t="s">
        <v>75</v>
      </c>
    </row>
    <row r="3928" spans="1:10" x14ac:dyDescent="0.25">
      <c r="A3928" t="s">
        <v>7354</v>
      </c>
      <c r="B3928">
        <f>36278.1158698788*(1/100/100)</f>
        <v>3.62781158698788</v>
      </c>
      <c r="C3928">
        <v>45319</v>
      </c>
      <c r="D3928" t="s">
        <v>5481</v>
      </c>
      <c r="E3928">
        <v>41015</v>
      </c>
      <c r="F3928" t="s">
        <v>1147</v>
      </c>
      <c r="G3928">
        <v>410</v>
      </c>
      <c r="H3928" t="s">
        <v>84</v>
      </c>
      <c r="I3928">
        <v>4</v>
      </c>
      <c r="J3928" t="s">
        <v>75</v>
      </c>
    </row>
    <row r="3929" spans="1:10" x14ac:dyDescent="0.25">
      <c r="A3929" t="s">
        <v>7354</v>
      </c>
      <c r="B3929">
        <f>73400.7386400318*(1/100/100)</f>
        <v>7.3400738640031813</v>
      </c>
      <c r="C3929">
        <v>45320</v>
      </c>
      <c r="D3929" t="s">
        <v>656</v>
      </c>
      <c r="E3929">
        <v>41008</v>
      </c>
      <c r="F3929" t="s">
        <v>1141</v>
      </c>
      <c r="G3929">
        <v>410</v>
      </c>
      <c r="H3929" t="s">
        <v>84</v>
      </c>
      <c r="I3929">
        <v>4</v>
      </c>
      <c r="J3929" t="s">
        <v>75</v>
      </c>
    </row>
    <row r="3930" spans="1:10" x14ac:dyDescent="0.25">
      <c r="A3930" t="s">
        <v>7354</v>
      </c>
      <c r="B3930">
        <f>130263.626366724*(1/100/100)</f>
        <v>13.026362636672401</v>
      </c>
      <c r="C3930">
        <v>45321</v>
      </c>
      <c r="D3930" t="s">
        <v>1141</v>
      </c>
      <c r="E3930">
        <v>41008</v>
      </c>
      <c r="F3930" t="s">
        <v>1141</v>
      </c>
      <c r="G3930">
        <v>410</v>
      </c>
      <c r="H3930" t="s">
        <v>84</v>
      </c>
      <c r="I3930">
        <v>4</v>
      </c>
      <c r="J3930" t="s">
        <v>75</v>
      </c>
    </row>
    <row r="3931" spans="1:10" x14ac:dyDescent="0.25">
      <c r="A3931" t="s">
        <v>7354</v>
      </c>
      <c r="B3931">
        <f>196398.537625143*(1/100/100)</f>
        <v>19.639853762514303</v>
      </c>
      <c r="C3931">
        <v>45322</v>
      </c>
      <c r="D3931" t="s">
        <v>5452</v>
      </c>
      <c r="E3931">
        <v>41002</v>
      </c>
      <c r="F3931" t="s">
        <v>1135</v>
      </c>
      <c r="G3931">
        <v>410</v>
      </c>
      <c r="H3931" t="s">
        <v>84</v>
      </c>
      <c r="I3931">
        <v>4</v>
      </c>
      <c r="J3931" t="s">
        <v>75</v>
      </c>
    </row>
    <row r="3932" spans="1:10" x14ac:dyDescent="0.25">
      <c r="A3932" t="s">
        <v>7354</v>
      </c>
      <c r="B3932">
        <f>26127.5627374281*(1/100/100)</f>
        <v>2.6127562737428103</v>
      </c>
      <c r="C3932">
        <v>45323</v>
      </c>
      <c r="D3932" t="s">
        <v>5470</v>
      </c>
      <c r="E3932">
        <v>41013</v>
      </c>
      <c r="F3932" t="s">
        <v>5188</v>
      </c>
      <c r="G3932">
        <v>410</v>
      </c>
      <c r="H3932" t="s">
        <v>84</v>
      </c>
      <c r="I3932">
        <v>4</v>
      </c>
      <c r="J3932" t="s">
        <v>75</v>
      </c>
    </row>
    <row r="3933" spans="1:10" x14ac:dyDescent="0.25">
      <c r="A3933" t="s">
        <v>7354</v>
      </c>
      <c r="B3933">
        <f>154509.48843855*(1/100/100)</f>
        <v>15.450948843855</v>
      </c>
      <c r="C3933">
        <v>45324</v>
      </c>
      <c r="D3933" t="s">
        <v>5453</v>
      </c>
      <c r="E3933">
        <v>41002</v>
      </c>
      <c r="F3933" t="s">
        <v>1135</v>
      </c>
      <c r="G3933">
        <v>410</v>
      </c>
      <c r="H3933" t="s">
        <v>84</v>
      </c>
      <c r="I3933">
        <v>4</v>
      </c>
      <c r="J3933" t="s">
        <v>75</v>
      </c>
    </row>
    <row r="3934" spans="1:10" x14ac:dyDescent="0.25">
      <c r="A3934" t="s">
        <v>7354</v>
      </c>
      <c r="B3934">
        <f>25727.5178743467*(1/100/100)</f>
        <v>2.5727517874346701</v>
      </c>
      <c r="C3934">
        <v>45325</v>
      </c>
      <c r="D3934" t="s">
        <v>5471</v>
      </c>
      <c r="E3934">
        <v>41013</v>
      </c>
      <c r="F3934" t="s">
        <v>5188</v>
      </c>
      <c r="G3934">
        <v>410</v>
      </c>
      <c r="H3934" t="s">
        <v>84</v>
      </c>
      <c r="I3934">
        <v>4</v>
      </c>
      <c r="J3934" t="s">
        <v>75</v>
      </c>
    </row>
    <row r="3935" spans="1:10" x14ac:dyDescent="0.25">
      <c r="A3935" t="s">
        <v>7354</v>
      </c>
      <c r="B3935">
        <f>87468.8158352915*(1/100/100)</f>
        <v>8.7468815835291505</v>
      </c>
      <c r="C3935">
        <v>45326</v>
      </c>
      <c r="D3935" t="s">
        <v>1147</v>
      </c>
      <c r="E3935">
        <v>41015</v>
      </c>
      <c r="F3935" t="s">
        <v>1147</v>
      </c>
      <c r="G3935">
        <v>410</v>
      </c>
      <c r="H3935" t="s">
        <v>84</v>
      </c>
      <c r="I3935">
        <v>4</v>
      </c>
      <c r="J3935" t="s">
        <v>75</v>
      </c>
    </row>
    <row r="3936" spans="1:10" x14ac:dyDescent="0.25">
      <c r="A3936" t="s">
        <v>7354</v>
      </c>
      <c r="B3936">
        <f>18646.4780878926*(1/100/100)</f>
        <v>1.86464780878926</v>
      </c>
      <c r="C3936">
        <v>45327</v>
      </c>
      <c r="D3936" t="s">
        <v>5472</v>
      </c>
      <c r="E3936">
        <v>41013</v>
      </c>
      <c r="F3936" t="s">
        <v>5188</v>
      </c>
      <c r="G3936">
        <v>410</v>
      </c>
      <c r="H3936" t="s">
        <v>84</v>
      </c>
      <c r="I3936">
        <v>4</v>
      </c>
      <c r="J3936" t="s">
        <v>75</v>
      </c>
    </row>
    <row r="3937" spans="1:10" x14ac:dyDescent="0.25">
      <c r="A3937" t="s">
        <v>7354</v>
      </c>
      <c r="B3937">
        <f>349712.310791463*(1/100/100)</f>
        <v>34.9712310791463</v>
      </c>
      <c r="C3937">
        <v>45328</v>
      </c>
      <c r="D3937" t="s">
        <v>5454</v>
      </c>
      <c r="E3937">
        <v>41002</v>
      </c>
      <c r="F3937" t="s">
        <v>1135</v>
      </c>
      <c r="G3937">
        <v>410</v>
      </c>
      <c r="H3937" t="s">
        <v>84</v>
      </c>
      <c r="I3937">
        <v>4</v>
      </c>
      <c r="J3937" t="s">
        <v>75</v>
      </c>
    </row>
    <row r="3938" spans="1:10" x14ac:dyDescent="0.25">
      <c r="A3938" t="s">
        <v>7354</v>
      </c>
      <c r="B3938">
        <f>84378.3517644528*(1/100/100)</f>
        <v>8.4378351764452812</v>
      </c>
      <c r="C3938">
        <v>45329</v>
      </c>
      <c r="D3938" t="s">
        <v>87</v>
      </c>
      <c r="E3938">
        <v>41013</v>
      </c>
      <c r="F3938" t="s">
        <v>5188</v>
      </c>
      <c r="G3938">
        <v>410</v>
      </c>
      <c r="H3938" t="s">
        <v>84</v>
      </c>
      <c r="I3938">
        <v>4</v>
      </c>
      <c r="J3938" t="s">
        <v>75</v>
      </c>
    </row>
    <row r="3939" spans="1:10" x14ac:dyDescent="0.25">
      <c r="A3939" t="s">
        <v>7354</v>
      </c>
      <c r="B3939">
        <f>59128.4931930705*(1/100/100)</f>
        <v>5.9128493193070506</v>
      </c>
      <c r="C3939">
        <v>45330</v>
      </c>
      <c r="D3939" t="s">
        <v>735</v>
      </c>
      <c r="E3939">
        <v>41015</v>
      </c>
      <c r="F3939" t="s">
        <v>1147</v>
      </c>
      <c r="G3939">
        <v>410</v>
      </c>
      <c r="H3939" t="s">
        <v>84</v>
      </c>
      <c r="I3939">
        <v>4</v>
      </c>
      <c r="J3939" t="s">
        <v>75</v>
      </c>
    </row>
    <row r="3940" spans="1:10" x14ac:dyDescent="0.25">
      <c r="A3940" t="s">
        <v>7354</v>
      </c>
      <c r="B3940">
        <f>200340.219371116*(1/100/100)</f>
        <v>20.0340219371116</v>
      </c>
      <c r="C3940">
        <v>45331</v>
      </c>
      <c r="D3940" t="s">
        <v>5473</v>
      </c>
      <c r="E3940">
        <v>41013</v>
      </c>
      <c r="F3940" t="s">
        <v>5188</v>
      </c>
      <c r="G3940">
        <v>410</v>
      </c>
      <c r="H3940" t="s">
        <v>84</v>
      </c>
      <c r="I3940">
        <v>4</v>
      </c>
      <c r="J3940" t="s">
        <v>75</v>
      </c>
    </row>
    <row r="3941" spans="1:10" x14ac:dyDescent="0.25">
      <c r="A3941" t="s">
        <v>7354</v>
      </c>
      <c r="B3941">
        <f>53258.0450307331*(1/100/100)</f>
        <v>5.3258045030733099</v>
      </c>
      <c r="C3941">
        <v>45332</v>
      </c>
      <c r="D3941" t="s">
        <v>5474</v>
      </c>
      <c r="E3941">
        <v>41013</v>
      </c>
      <c r="F3941" t="s">
        <v>5188</v>
      </c>
      <c r="G3941">
        <v>410</v>
      </c>
      <c r="H3941" t="s">
        <v>84</v>
      </c>
      <c r="I3941">
        <v>4</v>
      </c>
      <c r="J3941" t="s">
        <v>75</v>
      </c>
    </row>
    <row r="3942" spans="1:10" x14ac:dyDescent="0.25">
      <c r="A3942" t="s">
        <v>7354</v>
      </c>
      <c r="B3942">
        <f>136771.107108202*(1/100/100)</f>
        <v>13.677110710820202</v>
      </c>
      <c r="C3942">
        <v>45333</v>
      </c>
      <c r="D3942" t="s">
        <v>5475</v>
      </c>
      <c r="E3942">
        <v>41013</v>
      </c>
      <c r="F3942" t="s">
        <v>5188</v>
      </c>
      <c r="G3942">
        <v>410</v>
      </c>
      <c r="H3942" t="s">
        <v>84</v>
      </c>
      <c r="I3942">
        <v>4</v>
      </c>
      <c r="J3942" t="s">
        <v>75</v>
      </c>
    </row>
    <row r="3943" spans="1:10" x14ac:dyDescent="0.25">
      <c r="A3943" t="s">
        <v>7354</v>
      </c>
      <c r="B3943">
        <f>29841.7064520633*(1/100/100)</f>
        <v>2.9841706452063299</v>
      </c>
      <c r="C3943">
        <v>45334</v>
      </c>
      <c r="D3943" t="s">
        <v>5476</v>
      </c>
      <c r="E3943">
        <v>41013</v>
      </c>
      <c r="F3943" t="s">
        <v>5188</v>
      </c>
      <c r="G3943">
        <v>410</v>
      </c>
      <c r="H3943" t="s">
        <v>84</v>
      </c>
      <c r="I3943">
        <v>4</v>
      </c>
      <c r="J3943" t="s">
        <v>75</v>
      </c>
    </row>
    <row r="3944" spans="1:10" x14ac:dyDescent="0.25">
      <c r="A3944" t="s">
        <v>7354</v>
      </c>
      <c r="B3944">
        <f>15105.9588969881*(1/100/100)</f>
        <v>1.5105958896988101</v>
      </c>
      <c r="C3944">
        <v>45335</v>
      </c>
      <c r="D3944" t="s">
        <v>5477</v>
      </c>
      <c r="E3944">
        <v>41013</v>
      </c>
      <c r="F3944" t="s">
        <v>5188</v>
      </c>
      <c r="G3944">
        <v>410</v>
      </c>
      <c r="H3944" t="s">
        <v>84</v>
      </c>
      <c r="I3944">
        <v>4</v>
      </c>
      <c r="J3944" t="s">
        <v>75</v>
      </c>
    </row>
    <row r="3945" spans="1:10" x14ac:dyDescent="0.25">
      <c r="A3945" t="s">
        <v>7354</v>
      </c>
      <c r="B3945">
        <f>60543.683859327*(1/100/100)</f>
        <v>6.0543683859327002</v>
      </c>
      <c r="C3945">
        <v>45401</v>
      </c>
      <c r="D3945" t="s">
        <v>5785</v>
      </c>
      <c r="E3945">
        <v>41628</v>
      </c>
      <c r="F3945" t="s">
        <v>1306</v>
      </c>
      <c r="G3945">
        <v>416</v>
      </c>
      <c r="H3945" t="s">
        <v>90</v>
      </c>
      <c r="I3945">
        <v>4</v>
      </c>
      <c r="J3945" t="s">
        <v>75</v>
      </c>
    </row>
    <row r="3946" spans="1:10" x14ac:dyDescent="0.25">
      <c r="A3946" t="s">
        <v>7354</v>
      </c>
      <c r="B3946">
        <f>151268.101554256*(1/100/100)</f>
        <v>15.1268101554256</v>
      </c>
      <c r="C3946">
        <v>45402</v>
      </c>
      <c r="D3946" t="s">
        <v>5786</v>
      </c>
      <c r="E3946">
        <v>41628</v>
      </c>
      <c r="F3946" t="s">
        <v>1306</v>
      </c>
      <c r="G3946">
        <v>416</v>
      </c>
      <c r="H3946" t="s">
        <v>90</v>
      </c>
      <c r="I3946">
        <v>4</v>
      </c>
      <c r="J3946" t="s">
        <v>75</v>
      </c>
    </row>
    <row r="3947" spans="1:10" x14ac:dyDescent="0.25">
      <c r="A3947" t="s">
        <v>7354</v>
      </c>
      <c r="B3947">
        <f>57559.3589552467*(1/100/100)</f>
        <v>5.7559358955246704</v>
      </c>
      <c r="C3947">
        <v>45403</v>
      </c>
      <c r="D3947" t="s">
        <v>5755</v>
      </c>
      <c r="E3947">
        <v>41603</v>
      </c>
      <c r="F3947" t="s">
        <v>1283</v>
      </c>
      <c r="G3947">
        <v>416</v>
      </c>
      <c r="H3947" t="s">
        <v>90</v>
      </c>
      <c r="I3947">
        <v>4</v>
      </c>
      <c r="J3947" t="s">
        <v>75</v>
      </c>
    </row>
    <row r="3948" spans="1:10" x14ac:dyDescent="0.25">
      <c r="A3948" t="s">
        <v>7354</v>
      </c>
      <c r="B3948">
        <f>117108.027107746*(1/100/100)</f>
        <v>11.710802710774601</v>
      </c>
      <c r="C3948">
        <v>45404</v>
      </c>
      <c r="D3948" t="s">
        <v>5246</v>
      </c>
      <c r="E3948">
        <v>41610</v>
      </c>
      <c r="F3948" t="s">
        <v>1290</v>
      </c>
      <c r="G3948">
        <v>416</v>
      </c>
      <c r="H3948" t="s">
        <v>90</v>
      </c>
      <c r="I3948">
        <v>4</v>
      </c>
      <c r="J3948" t="s">
        <v>75</v>
      </c>
    </row>
    <row r="3949" spans="1:10" x14ac:dyDescent="0.25">
      <c r="A3949" t="s">
        <v>7354</v>
      </c>
      <c r="B3949">
        <f>53266.6555764963*(1/100/100)</f>
        <v>5.3266655576496298</v>
      </c>
      <c r="C3949">
        <v>45405</v>
      </c>
      <c r="D3949" t="s">
        <v>5784</v>
      </c>
      <c r="E3949">
        <v>41627</v>
      </c>
      <c r="F3949" t="s">
        <v>1305</v>
      </c>
      <c r="G3949">
        <v>416</v>
      </c>
      <c r="H3949" t="s">
        <v>90</v>
      </c>
      <c r="I3949">
        <v>4</v>
      </c>
      <c r="J3949" t="s">
        <v>75</v>
      </c>
    </row>
    <row r="3950" spans="1:10" x14ac:dyDescent="0.25">
      <c r="A3950" t="s">
        <v>7354</v>
      </c>
      <c r="B3950">
        <f>47927.8100503799*(1/100/100)</f>
        <v>4.7927810050379902</v>
      </c>
      <c r="C3950">
        <v>45406</v>
      </c>
      <c r="D3950" t="s">
        <v>5779</v>
      </c>
      <c r="E3950">
        <v>41622</v>
      </c>
      <c r="F3950" t="s">
        <v>1301</v>
      </c>
      <c r="G3950">
        <v>416</v>
      </c>
      <c r="H3950" t="s">
        <v>90</v>
      </c>
      <c r="I3950">
        <v>4</v>
      </c>
      <c r="J3950" t="s">
        <v>75</v>
      </c>
    </row>
    <row r="3951" spans="1:10" x14ac:dyDescent="0.25">
      <c r="A3951" t="s">
        <v>7354</v>
      </c>
      <c r="B3951">
        <f>92124.9037024582*(1/100/100)</f>
        <v>9.2124903702458205</v>
      </c>
      <c r="C3951">
        <v>45407</v>
      </c>
      <c r="D3951" t="s">
        <v>4012</v>
      </c>
      <c r="E3951">
        <v>41603</v>
      </c>
      <c r="F3951" t="s">
        <v>1283</v>
      </c>
      <c r="G3951">
        <v>416</v>
      </c>
      <c r="H3951" t="s">
        <v>90</v>
      </c>
      <c r="I3951">
        <v>4</v>
      </c>
      <c r="J3951" t="s">
        <v>75</v>
      </c>
    </row>
    <row r="3952" spans="1:10" x14ac:dyDescent="0.25">
      <c r="A3952" t="s">
        <v>7354</v>
      </c>
      <c r="B3952">
        <f>249691.600688737*(1/100/100)</f>
        <v>24.969160068873702</v>
      </c>
      <c r="C3952">
        <v>45408</v>
      </c>
      <c r="D3952" t="s">
        <v>5756</v>
      </c>
      <c r="E3952">
        <v>41603</v>
      </c>
      <c r="F3952" t="s">
        <v>1283</v>
      </c>
      <c r="G3952">
        <v>416</v>
      </c>
      <c r="H3952" t="s">
        <v>90</v>
      </c>
      <c r="I3952">
        <v>4</v>
      </c>
      <c r="J3952" t="s">
        <v>75</v>
      </c>
    </row>
    <row r="3953" spans="1:10" x14ac:dyDescent="0.25">
      <c r="A3953" t="s">
        <v>7354</v>
      </c>
      <c r="B3953">
        <f>48694.3128658762*(1/100/100)</f>
        <v>4.8694312865876199</v>
      </c>
      <c r="C3953">
        <v>45409</v>
      </c>
      <c r="D3953" t="s">
        <v>5780</v>
      </c>
      <c r="E3953">
        <v>41622</v>
      </c>
      <c r="F3953" t="s">
        <v>1301</v>
      </c>
      <c r="G3953">
        <v>416</v>
      </c>
      <c r="H3953" t="s">
        <v>90</v>
      </c>
      <c r="I3953">
        <v>4</v>
      </c>
      <c r="J3953" t="s">
        <v>75</v>
      </c>
    </row>
    <row r="3954" spans="1:10" x14ac:dyDescent="0.25">
      <c r="A3954" t="s">
        <v>7354</v>
      </c>
      <c r="B3954">
        <f>217550.955862766*(1/100/100)</f>
        <v>21.7550955862766</v>
      </c>
      <c r="C3954">
        <v>45410</v>
      </c>
      <c r="D3954" t="s">
        <v>1295</v>
      </c>
      <c r="E3954">
        <v>41615</v>
      </c>
      <c r="F3954" t="s">
        <v>1295</v>
      </c>
      <c r="G3954">
        <v>416</v>
      </c>
      <c r="H3954" t="s">
        <v>90</v>
      </c>
      <c r="I3954">
        <v>4</v>
      </c>
      <c r="J3954" t="s">
        <v>75</v>
      </c>
    </row>
    <row r="3955" spans="1:10" x14ac:dyDescent="0.25">
      <c r="A3955" t="s">
        <v>7354</v>
      </c>
      <c r="B3955">
        <f>89628.9409306561*(1/100/100)</f>
        <v>8.9628940930656107</v>
      </c>
      <c r="C3955">
        <v>45411</v>
      </c>
      <c r="D3955" t="s">
        <v>5787</v>
      </c>
      <c r="E3955">
        <v>41628</v>
      </c>
      <c r="F3955" t="s">
        <v>1306</v>
      </c>
      <c r="G3955">
        <v>416</v>
      </c>
      <c r="H3955" t="s">
        <v>90</v>
      </c>
      <c r="I3955">
        <v>4</v>
      </c>
      <c r="J3955" t="s">
        <v>75</v>
      </c>
    </row>
    <row r="3956" spans="1:10" x14ac:dyDescent="0.25">
      <c r="A3956" t="s">
        <v>7354</v>
      </c>
      <c r="B3956">
        <f>87752.198568996*(1/100/100)</f>
        <v>8.7752198568996</v>
      </c>
      <c r="C3956">
        <v>45412</v>
      </c>
      <c r="D3956" t="s">
        <v>978</v>
      </c>
      <c r="E3956">
        <v>41616</v>
      </c>
      <c r="F3956" t="s">
        <v>1296</v>
      </c>
      <c r="G3956">
        <v>416</v>
      </c>
      <c r="H3956" t="s">
        <v>90</v>
      </c>
      <c r="I3956">
        <v>4</v>
      </c>
      <c r="J3956" t="s">
        <v>75</v>
      </c>
    </row>
    <row r="3957" spans="1:10" x14ac:dyDescent="0.25">
      <c r="A3957" t="s">
        <v>7354</v>
      </c>
      <c r="B3957">
        <f>144335.30943979*(1/100/100)</f>
        <v>14.433530943979001</v>
      </c>
      <c r="C3957">
        <v>45413</v>
      </c>
      <c r="D3957" t="s">
        <v>1299</v>
      </c>
      <c r="E3957">
        <v>41619</v>
      </c>
      <c r="F3957" t="s">
        <v>1299</v>
      </c>
      <c r="G3957">
        <v>416</v>
      </c>
      <c r="H3957" t="s">
        <v>90</v>
      </c>
      <c r="I3957">
        <v>4</v>
      </c>
      <c r="J3957" t="s">
        <v>75</v>
      </c>
    </row>
    <row r="3958" spans="1:10" x14ac:dyDescent="0.25">
      <c r="A3958" t="s">
        <v>7354</v>
      </c>
      <c r="B3958">
        <f>147437.123013843*(1/100/100)</f>
        <v>14.743712301384301</v>
      </c>
      <c r="C3958">
        <v>45414</v>
      </c>
      <c r="D3958" t="s">
        <v>1300</v>
      </c>
      <c r="E3958">
        <v>41620</v>
      </c>
      <c r="F3958" t="s">
        <v>1300</v>
      </c>
      <c r="G3958">
        <v>416</v>
      </c>
      <c r="H3958" t="s">
        <v>90</v>
      </c>
      <c r="I3958">
        <v>4</v>
      </c>
      <c r="J3958" t="s">
        <v>75</v>
      </c>
    </row>
    <row r="3959" spans="1:10" x14ac:dyDescent="0.25">
      <c r="A3959" t="s">
        <v>7354</v>
      </c>
      <c r="B3959">
        <f>131072.275301043*(1/100/100)</f>
        <v>13.107227530104302</v>
      </c>
      <c r="C3959">
        <v>45415</v>
      </c>
      <c r="D3959" t="s">
        <v>1301</v>
      </c>
      <c r="E3959">
        <v>41622</v>
      </c>
      <c r="F3959" t="s">
        <v>1301</v>
      </c>
      <c r="G3959">
        <v>416</v>
      </c>
      <c r="H3959" t="s">
        <v>90</v>
      </c>
      <c r="I3959">
        <v>4</v>
      </c>
      <c r="J3959" t="s">
        <v>75</v>
      </c>
    </row>
    <row r="3960" spans="1:10" x14ac:dyDescent="0.25">
      <c r="A3960" t="s">
        <v>7354</v>
      </c>
      <c r="B3960">
        <f>93994.0902681766*(1/100/100)</f>
        <v>9.3994090268176613</v>
      </c>
      <c r="C3960">
        <v>45416</v>
      </c>
      <c r="D3960" t="s">
        <v>5757</v>
      </c>
      <c r="E3960">
        <v>41603</v>
      </c>
      <c r="F3960" t="s">
        <v>1283</v>
      </c>
      <c r="G3960">
        <v>416</v>
      </c>
      <c r="H3960" t="s">
        <v>90</v>
      </c>
      <c r="I3960">
        <v>4</v>
      </c>
      <c r="J3960" t="s">
        <v>75</v>
      </c>
    </row>
    <row r="3961" spans="1:10" x14ac:dyDescent="0.25">
      <c r="A3961" t="s">
        <v>7354</v>
      </c>
      <c r="B3961">
        <f>88186.0019332111*(1/100/100)</f>
        <v>8.8186001933211102</v>
      </c>
      <c r="C3961">
        <v>45417</v>
      </c>
      <c r="D3961" t="s">
        <v>5777</v>
      </c>
      <c r="E3961">
        <v>41620</v>
      </c>
      <c r="F3961" t="s">
        <v>1300</v>
      </c>
      <c r="G3961">
        <v>416</v>
      </c>
      <c r="H3961" t="s">
        <v>90</v>
      </c>
      <c r="I3961">
        <v>4</v>
      </c>
      <c r="J3961" t="s">
        <v>75</v>
      </c>
    </row>
    <row r="3962" spans="1:10" x14ac:dyDescent="0.25">
      <c r="A3962" t="s">
        <v>7354</v>
      </c>
      <c r="B3962">
        <f>92228.1909983853*(1/100/100)</f>
        <v>9.2228190998385298</v>
      </c>
      <c r="C3962">
        <v>45418</v>
      </c>
      <c r="D3962" t="s">
        <v>5773</v>
      </c>
      <c r="E3962">
        <v>41615</v>
      </c>
      <c r="F3962" t="s">
        <v>1295</v>
      </c>
      <c r="G3962">
        <v>416</v>
      </c>
      <c r="H3962" t="s">
        <v>90</v>
      </c>
      <c r="I3962">
        <v>4</v>
      </c>
      <c r="J3962" t="s">
        <v>75</v>
      </c>
    </row>
    <row r="3963" spans="1:10" x14ac:dyDescent="0.25">
      <c r="A3963" t="s">
        <v>7354</v>
      </c>
      <c r="B3963">
        <f>112761.748373119*(1/100/100)</f>
        <v>11.276174837311901</v>
      </c>
      <c r="C3963">
        <v>45419</v>
      </c>
      <c r="D3963" t="s">
        <v>5774</v>
      </c>
      <c r="E3963">
        <v>41615</v>
      </c>
      <c r="F3963" t="s">
        <v>1295</v>
      </c>
      <c r="G3963">
        <v>416</v>
      </c>
      <c r="H3963" t="s">
        <v>90</v>
      </c>
      <c r="I3963">
        <v>4</v>
      </c>
      <c r="J3963" t="s">
        <v>75</v>
      </c>
    </row>
    <row r="3964" spans="1:10" x14ac:dyDescent="0.25">
      <c r="A3964" t="s">
        <v>7354</v>
      </c>
      <c r="B3964">
        <f>36545.5498813808*(1/100/100)</f>
        <v>3.6545549881380803</v>
      </c>
      <c r="C3964">
        <v>45420</v>
      </c>
      <c r="D3964" t="s">
        <v>5758</v>
      </c>
      <c r="E3964">
        <v>41603</v>
      </c>
      <c r="F3964" t="s">
        <v>1283</v>
      </c>
      <c r="G3964">
        <v>416</v>
      </c>
      <c r="H3964" t="s">
        <v>90</v>
      </c>
      <c r="I3964">
        <v>4</v>
      </c>
      <c r="J3964" t="s">
        <v>75</v>
      </c>
    </row>
    <row r="3965" spans="1:10" x14ac:dyDescent="0.25">
      <c r="A3965" t="s">
        <v>7354</v>
      </c>
      <c r="B3965">
        <f>131128.233624243*(1/100/100)</f>
        <v>13.112823362424301</v>
      </c>
      <c r="C3965">
        <v>45421</v>
      </c>
      <c r="D3965" t="s">
        <v>73</v>
      </c>
      <c r="E3965">
        <v>41627</v>
      </c>
      <c r="F3965" t="s">
        <v>1305</v>
      </c>
      <c r="G3965">
        <v>416</v>
      </c>
      <c r="H3965" t="s">
        <v>90</v>
      </c>
      <c r="I3965">
        <v>4</v>
      </c>
      <c r="J3965" t="s">
        <v>75</v>
      </c>
    </row>
    <row r="3966" spans="1:10" x14ac:dyDescent="0.25">
      <c r="A3966" t="s">
        <v>7354</v>
      </c>
      <c r="B3966">
        <f>62449.4735153768*(1/100/100)</f>
        <v>6.2449473515376797</v>
      </c>
      <c r="C3966">
        <v>45501</v>
      </c>
      <c r="D3966" t="s">
        <v>5461</v>
      </c>
      <c r="E3966">
        <v>41009</v>
      </c>
      <c r="F3966" t="s">
        <v>1142</v>
      </c>
      <c r="G3966">
        <v>410</v>
      </c>
      <c r="H3966" t="s">
        <v>84</v>
      </c>
      <c r="I3966">
        <v>4</v>
      </c>
      <c r="J3966" t="s">
        <v>75</v>
      </c>
    </row>
    <row r="3967" spans="1:10" x14ac:dyDescent="0.25">
      <c r="A3967" t="s">
        <v>7354</v>
      </c>
      <c r="B3967">
        <f>137854.680907474*(1/100/100)</f>
        <v>13.785468090747399</v>
      </c>
      <c r="C3967">
        <v>45502</v>
      </c>
      <c r="D3967" t="s">
        <v>1134</v>
      </c>
      <c r="E3967">
        <v>41001</v>
      </c>
      <c r="F3967" t="s">
        <v>1134</v>
      </c>
      <c r="G3967">
        <v>410</v>
      </c>
      <c r="H3967" t="s">
        <v>84</v>
      </c>
      <c r="I3967">
        <v>4</v>
      </c>
      <c r="J3967" t="s">
        <v>75</v>
      </c>
    </row>
    <row r="3968" spans="1:10" x14ac:dyDescent="0.25">
      <c r="A3968" t="s">
        <v>7354</v>
      </c>
      <c r="B3968">
        <f>79518.2533072977*(1/100/100)</f>
        <v>7.9518253307297702</v>
      </c>
      <c r="C3968">
        <v>45503</v>
      </c>
      <c r="D3968" t="s">
        <v>4618</v>
      </c>
      <c r="E3968">
        <v>41018</v>
      </c>
      <c r="F3968" t="s">
        <v>1150</v>
      </c>
      <c r="G3968">
        <v>410</v>
      </c>
      <c r="H3968" t="s">
        <v>84</v>
      </c>
      <c r="I3968">
        <v>4</v>
      </c>
      <c r="J3968" t="s">
        <v>75</v>
      </c>
    </row>
    <row r="3969" spans="1:10" x14ac:dyDescent="0.25">
      <c r="A3969" t="s">
        <v>7354</v>
      </c>
      <c r="B3969">
        <f>60606.4509240617*(1/100/100)</f>
        <v>6.0606450924061699</v>
      </c>
      <c r="C3969">
        <v>45504</v>
      </c>
      <c r="D3969" t="s">
        <v>2250</v>
      </c>
      <c r="E3969">
        <v>41009</v>
      </c>
      <c r="F3969" t="s">
        <v>1142</v>
      </c>
      <c r="G3969">
        <v>410</v>
      </c>
      <c r="H3969" t="s">
        <v>84</v>
      </c>
      <c r="I3969">
        <v>4</v>
      </c>
      <c r="J3969" t="s">
        <v>75</v>
      </c>
    </row>
    <row r="3970" spans="1:10" x14ac:dyDescent="0.25">
      <c r="A3970" t="s">
        <v>7354</v>
      </c>
      <c r="B3970">
        <f>117874.521967609*(1/100/100)</f>
        <v>11.787452196760901</v>
      </c>
      <c r="C3970">
        <v>45505</v>
      </c>
      <c r="D3970" t="s">
        <v>5478</v>
      </c>
      <c r="E3970">
        <v>41014</v>
      </c>
      <c r="F3970" t="s">
        <v>1146</v>
      </c>
      <c r="G3970">
        <v>410</v>
      </c>
      <c r="H3970" t="s">
        <v>84</v>
      </c>
      <c r="I3970">
        <v>4</v>
      </c>
      <c r="J3970" t="s">
        <v>75</v>
      </c>
    </row>
    <row r="3971" spans="1:10" x14ac:dyDescent="0.25">
      <c r="A3971" t="s">
        <v>7354</v>
      </c>
      <c r="B3971">
        <f>16895.1776047653*(1/100/100)</f>
        <v>1.6895177604765301</v>
      </c>
      <c r="C3971">
        <v>45506</v>
      </c>
      <c r="D3971" t="s">
        <v>5486</v>
      </c>
      <c r="E3971">
        <v>41020</v>
      </c>
      <c r="F3971" t="s">
        <v>5487</v>
      </c>
      <c r="G3971">
        <v>410</v>
      </c>
      <c r="H3971" t="s">
        <v>84</v>
      </c>
      <c r="I3971">
        <v>4</v>
      </c>
      <c r="J3971" t="s">
        <v>75</v>
      </c>
    </row>
    <row r="3972" spans="1:10" x14ac:dyDescent="0.25">
      <c r="A3972" t="s">
        <v>7354</v>
      </c>
      <c r="B3972">
        <f>116106.64045975*(1/100/100)</f>
        <v>11.610664045975</v>
      </c>
      <c r="C3972">
        <v>45507</v>
      </c>
      <c r="D3972" t="s">
        <v>933</v>
      </c>
      <c r="E3972">
        <v>41004</v>
      </c>
      <c r="F3972" t="s">
        <v>1137</v>
      </c>
      <c r="G3972">
        <v>410</v>
      </c>
      <c r="H3972" t="s">
        <v>84</v>
      </c>
      <c r="I3972">
        <v>4</v>
      </c>
      <c r="J3972" t="s">
        <v>75</v>
      </c>
    </row>
    <row r="3973" spans="1:10" x14ac:dyDescent="0.25">
      <c r="A3973" t="s">
        <v>7354</v>
      </c>
      <c r="B3973">
        <f>105893.31095776*(1/100/100)</f>
        <v>10.589331095776</v>
      </c>
      <c r="C3973">
        <v>45508</v>
      </c>
      <c r="D3973" t="s">
        <v>5479</v>
      </c>
      <c r="E3973">
        <v>41014</v>
      </c>
      <c r="F3973" t="s">
        <v>1146</v>
      </c>
      <c r="G3973">
        <v>410</v>
      </c>
      <c r="H3973" t="s">
        <v>84</v>
      </c>
      <c r="I3973">
        <v>4</v>
      </c>
      <c r="J3973" t="s">
        <v>75</v>
      </c>
    </row>
    <row r="3974" spans="1:10" x14ac:dyDescent="0.25">
      <c r="A3974" t="s">
        <v>7354</v>
      </c>
      <c r="B3974">
        <f>69836.9517436602*(1/100/100)</f>
        <v>6.9836951743660203</v>
      </c>
      <c r="C3974">
        <v>45509</v>
      </c>
      <c r="D3974" t="s">
        <v>2843</v>
      </c>
      <c r="E3974">
        <v>41014</v>
      </c>
      <c r="F3974" t="s">
        <v>1146</v>
      </c>
      <c r="G3974">
        <v>410</v>
      </c>
      <c r="H3974" t="s">
        <v>84</v>
      </c>
      <c r="I3974">
        <v>4</v>
      </c>
      <c r="J3974" t="s">
        <v>75</v>
      </c>
    </row>
    <row r="3975" spans="1:10" x14ac:dyDescent="0.25">
      <c r="A3975" t="s">
        <v>7354</v>
      </c>
      <c r="B3975">
        <f>117220.441273947*(1/100/100)</f>
        <v>11.7220441273947</v>
      </c>
      <c r="C3975">
        <v>45510</v>
      </c>
      <c r="D3975" t="s">
        <v>1142</v>
      </c>
      <c r="E3975">
        <v>41009</v>
      </c>
      <c r="F3975" t="s">
        <v>1142</v>
      </c>
      <c r="G3975">
        <v>410</v>
      </c>
      <c r="H3975" t="s">
        <v>84</v>
      </c>
      <c r="I3975">
        <v>4</v>
      </c>
      <c r="J3975" t="s">
        <v>75</v>
      </c>
    </row>
    <row r="3976" spans="1:10" x14ac:dyDescent="0.25">
      <c r="A3976" t="s">
        <v>7354</v>
      </c>
      <c r="B3976">
        <f>69730.9027169259*(1/100/100)</f>
        <v>6.9730902716925911</v>
      </c>
      <c r="C3976">
        <v>45511</v>
      </c>
      <c r="D3976" t="s">
        <v>5462</v>
      </c>
      <c r="E3976">
        <v>41009</v>
      </c>
      <c r="F3976" t="s">
        <v>1142</v>
      </c>
      <c r="G3976">
        <v>410</v>
      </c>
      <c r="H3976" t="s">
        <v>84</v>
      </c>
      <c r="I3976">
        <v>4</v>
      </c>
      <c r="J3976" t="s">
        <v>75</v>
      </c>
    </row>
    <row r="3977" spans="1:10" x14ac:dyDescent="0.25">
      <c r="A3977" t="s">
        <v>7354</v>
      </c>
      <c r="B3977">
        <f>86377.169784638*(1/100/100)</f>
        <v>8.6377169784637999</v>
      </c>
      <c r="C3977">
        <v>45512</v>
      </c>
      <c r="D3977" t="s">
        <v>5488</v>
      </c>
      <c r="E3977">
        <v>41020</v>
      </c>
      <c r="F3977" t="s">
        <v>5487</v>
      </c>
      <c r="G3977">
        <v>410</v>
      </c>
      <c r="H3977" t="s">
        <v>84</v>
      </c>
      <c r="I3977">
        <v>4</v>
      </c>
      <c r="J3977" t="s">
        <v>75</v>
      </c>
    </row>
    <row r="3978" spans="1:10" x14ac:dyDescent="0.25">
      <c r="A3978" t="s">
        <v>7354</v>
      </c>
      <c r="B3978">
        <f>22967.5059797532*(1/100/100)</f>
        <v>2.2967505979753202</v>
      </c>
      <c r="C3978">
        <v>45513</v>
      </c>
      <c r="D3978" t="s">
        <v>5489</v>
      </c>
      <c r="E3978">
        <v>41020</v>
      </c>
      <c r="F3978" t="s">
        <v>5487</v>
      </c>
      <c r="G3978">
        <v>410</v>
      </c>
      <c r="H3978" t="s">
        <v>84</v>
      </c>
      <c r="I3978">
        <v>4</v>
      </c>
      <c r="J3978" t="s">
        <v>75</v>
      </c>
    </row>
    <row r="3979" spans="1:10" x14ac:dyDescent="0.25">
      <c r="A3979" t="s">
        <v>7354</v>
      </c>
      <c r="B3979">
        <f>69732.2477257363*(1/100/100)</f>
        <v>6.9732247725736309</v>
      </c>
      <c r="C3979">
        <v>45514</v>
      </c>
      <c r="D3979" t="s">
        <v>5450</v>
      </c>
      <c r="E3979">
        <v>41001</v>
      </c>
      <c r="F3979" t="s">
        <v>1134</v>
      </c>
      <c r="G3979">
        <v>410</v>
      </c>
      <c r="H3979" t="s">
        <v>84</v>
      </c>
      <c r="I3979">
        <v>4</v>
      </c>
      <c r="J3979" t="s">
        <v>75</v>
      </c>
    </row>
    <row r="3980" spans="1:10" x14ac:dyDescent="0.25">
      <c r="A3980" t="s">
        <v>7354</v>
      </c>
      <c r="B3980">
        <f>100829.067657652*(1/100/100)</f>
        <v>10.082906765765202</v>
      </c>
      <c r="C3980">
        <v>45515</v>
      </c>
      <c r="D3980" t="s">
        <v>5480</v>
      </c>
      <c r="E3980">
        <v>41014</v>
      </c>
      <c r="F3980" t="s">
        <v>1146</v>
      </c>
      <c r="G3980">
        <v>410</v>
      </c>
      <c r="H3980" t="s">
        <v>84</v>
      </c>
      <c r="I3980">
        <v>4</v>
      </c>
      <c r="J3980" t="s">
        <v>75</v>
      </c>
    </row>
    <row r="3981" spans="1:10" x14ac:dyDescent="0.25">
      <c r="A3981" t="s">
        <v>7354</v>
      </c>
      <c r="B3981">
        <f>102276.502458063*(1/100/100)</f>
        <v>10.2276502458063</v>
      </c>
      <c r="C3981">
        <v>45516</v>
      </c>
      <c r="D3981" t="s">
        <v>1146</v>
      </c>
      <c r="E3981">
        <v>41014</v>
      </c>
      <c r="F3981" t="s">
        <v>1146</v>
      </c>
      <c r="G3981">
        <v>410</v>
      </c>
      <c r="H3981" t="s">
        <v>84</v>
      </c>
      <c r="I3981">
        <v>4</v>
      </c>
      <c r="J3981" t="s">
        <v>75</v>
      </c>
    </row>
    <row r="3982" spans="1:10" x14ac:dyDescent="0.25">
      <c r="A3982" t="s">
        <v>7354</v>
      </c>
      <c r="B3982">
        <f>88707.0935970068*(1/100/100)</f>
        <v>8.8707093597006796</v>
      </c>
      <c r="C3982">
        <v>45517</v>
      </c>
      <c r="D3982" t="s">
        <v>5490</v>
      </c>
      <c r="E3982">
        <v>41020</v>
      </c>
      <c r="F3982" t="s">
        <v>5487</v>
      </c>
      <c r="G3982">
        <v>410</v>
      </c>
      <c r="H3982" t="s">
        <v>84</v>
      </c>
      <c r="I3982">
        <v>4</v>
      </c>
      <c r="J3982" t="s">
        <v>75</v>
      </c>
    </row>
    <row r="3983" spans="1:10" x14ac:dyDescent="0.25">
      <c r="A3983" t="s">
        <v>7354</v>
      </c>
      <c r="B3983">
        <f>130651.89751609*(1/100/100)</f>
        <v>13.065189751609001</v>
      </c>
      <c r="C3983">
        <v>45518</v>
      </c>
      <c r="D3983" t="s">
        <v>3770</v>
      </c>
      <c r="E3983">
        <v>41020</v>
      </c>
      <c r="F3983" t="s">
        <v>5487</v>
      </c>
      <c r="G3983">
        <v>410</v>
      </c>
      <c r="H3983" t="s">
        <v>84</v>
      </c>
      <c r="I3983">
        <v>4</v>
      </c>
      <c r="J3983" t="s">
        <v>75</v>
      </c>
    </row>
    <row r="3984" spans="1:10" x14ac:dyDescent="0.25">
      <c r="A3984" t="s">
        <v>7354</v>
      </c>
      <c r="B3984">
        <f>124156.269770376*(1/100/100)</f>
        <v>12.415626977037601</v>
      </c>
      <c r="C3984">
        <v>45519</v>
      </c>
      <c r="D3984" t="s">
        <v>1150</v>
      </c>
      <c r="E3984">
        <v>41018</v>
      </c>
      <c r="F3984" t="s">
        <v>1150</v>
      </c>
      <c r="G3984">
        <v>410</v>
      </c>
      <c r="H3984" t="s">
        <v>84</v>
      </c>
      <c r="I3984">
        <v>4</v>
      </c>
      <c r="J3984" t="s">
        <v>75</v>
      </c>
    </row>
    <row r="3985" spans="1:10" x14ac:dyDescent="0.25">
      <c r="A3985" t="s">
        <v>7354</v>
      </c>
      <c r="B3985">
        <f>38102.8449279395*(1/100/100)</f>
        <v>3.8102844927939499</v>
      </c>
      <c r="C3985">
        <v>45520</v>
      </c>
      <c r="D3985" t="s">
        <v>5491</v>
      </c>
      <c r="E3985">
        <v>41020</v>
      </c>
      <c r="F3985" t="s">
        <v>5487</v>
      </c>
      <c r="G3985">
        <v>410</v>
      </c>
      <c r="H3985" t="s">
        <v>84</v>
      </c>
      <c r="I3985">
        <v>4</v>
      </c>
      <c r="J3985" t="s">
        <v>75</v>
      </c>
    </row>
    <row r="3986" spans="1:10" x14ac:dyDescent="0.25">
      <c r="A3986" t="s">
        <v>7354</v>
      </c>
      <c r="B3986">
        <f>220969.201934395*(1/100/100)</f>
        <v>22.096920193439502</v>
      </c>
      <c r="C3986">
        <v>45521</v>
      </c>
      <c r="D3986" t="s">
        <v>5482</v>
      </c>
      <c r="E3986">
        <v>41019</v>
      </c>
      <c r="F3986" t="s">
        <v>1151</v>
      </c>
      <c r="G3986">
        <v>410</v>
      </c>
      <c r="H3986" t="s">
        <v>84</v>
      </c>
      <c r="I3986">
        <v>4</v>
      </c>
      <c r="J3986" t="s">
        <v>75</v>
      </c>
    </row>
    <row r="3987" spans="1:10" x14ac:dyDescent="0.25">
      <c r="A3987" t="s">
        <v>7354</v>
      </c>
      <c r="B3987">
        <f>79125.938679127*(1/100/100)</f>
        <v>7.9125938679127001</v>
      </c>
      <c r="C3987">
        <v>45522</v>
      </c>
      <c r="D3987" t="s">
        <v>5483</v>
      </c>
      <c r="E3987">
        <v>41019</v>
      </c>
      <c r="F3987" t="s">
        <v>1151</v>
      </c>
      <c r="G3987">
        <v>410</v>
      </c>
      <c r="H3987" t="s">
        <v>84</v>
      </c>
      <c r="I3987">
        <v>4</v>
      </c>
      <c r="J3987" t="s">
        <v>75</v>
      </c>
    </row>
    <row r="3988" spans="1:10" x14ac:dyDescent="0.25">
      <c r="A3988" t="s">
        <v>7354</v>
      </c>
      <c r="B3988">
        <f>42933.2478436419*(1/100/100)</f>
        <v>4.2933247843641897</v>
      </c>
      <c r="C3988">
        <v>45523</v>
      </c>
      <c r="D3988" t="s">
        <v>5484</v>
      </c>
      <c r="E3988">
        <v>41019</v>
      </c>
      <c r="F3988" t="s">
        <v>1151</v>
      </c>
      <c r="G3988">
        <v>410</v>
      </c>
      <c r="H3988" t="s">
        <v>84</v>
      </c>
      <c r="I3988">
        <v>4</v>
      </c>
      <c r="J3988" t="s">
        <v>75</v>
      </c>
    </row>
    <row r="3989" spans="1:10" x14ac:dyDescent="0.25">
      <c r="A3989" t="s">
        <v>7354</v>
      </c>
      <c r="B3989">
        <f>56311.6150669862*(1/100/100)</f>
        <v>5.6311615066986205</v>
      </c>
      <c r="C3989">
        <v>45524</v>
      </c>
      <c r="D3989" t="s">
        <v>5485</v>
      </c>
      <c r="E3989">
        <v>41019</v>
      </c>
      <c r="F3989" t="s">
        <v>1151</v>
      </c>
      <c r="G3989">
        <v>410</v>
      </c>
      <c r="H3989" t="s">
        <v>84</v>
      </c>
      <c r="I3989">
        <v>4</v>
      </c>
      <c r="J3989" t="s">
        <v>75</v>
      </c>
    </row>
    <row r="3990" spans="1:10" x14ac:dyDescent="0.25">
      <c r="A3990" t="s">
        <v>7354</v>
      </c>
      <c r="B3990">
        <f>29617.5289643513*(1/100/100)</f>
        <v>2.9617528964351298</v>
      </c>
      <c r="C3990">
        <v>45525</v>
      </c>
      <c r="D3990" t="s">
        <v>5492</v>
      </c>
      <c r="E3990">
        <v>41020</v>
      </c>
      <c r="F3990" t="s">
        <v>5487</v>
      </c>
      <c r="G3990">
        <v>410</v>
      </c>
      <c r="H3990" t="s">
        <v>84</v>
      </c>
      <c r="I3990">
        <v>4</v>
      </c>
      <c r="J3990" t="s">
        <v>75</v>
      </c>
    </row>
    <row r="3991" spans="1:10" x14ac:dyDescent="0.25">
      <c r="A3991" t="s">
        <v>7354</v>
      </c>
      <c r="B3991">
        <f>83610.4044996416*(1/100/100)</f>
        <v>8.3610404499641611</v>
      </c>
      <c r="C3991">
        <v>45526</v>
      </c>
      <c r="D3991" t="s">
        <v>5493</v>
      </c>
      <c r="E3991">
        <v>41020</v>
      </c>
      <c r="F3991" t="s">
        <v>5487</v>
      </c>
      <c r="G3991">
        <v>410</v>
      </c>
      <c r="H3991" t="s">
        <v>84</v>
      </c>
      <c r="I3991">
        <v>4</v>
      </c>
      <c r="J3991" t="s">
        <v>75</v>
      </c>
    </row>
    <row r="3992" spans="1:10" x14ac:dyDescent="0.25">
      <c r="A3992" t="s">
        <v>7354</v>
      </c>
      <c r="B3992">
        <f>32650.0084043804*(1/100/100)</f>
        <v>3.2650008404380402</v>
      </c>
      <c r="C3992">
        <v>45527</v>
      </c>
      <c r="D3992" t="s">
        <v>2796</v>
      </c>
      <c r="E3992">
        <v>41014</v>
      </c>
      <c r="F3992" t="s">
        <v>1146</v>
      </c>
      <c r="G3992">
        <v>410</v>
      </c>
      <c r="H3992" t="s">
        <v>84</v>
      </c>
      <c r="I3992">
        <v>4</v>
      </c>
      <c r="J3992" t="s">
        <v>75</v>
      </c>
    </row>
    <row r="3993" spans="1:10" x14ac:dyDescent="0.25">
      <c r="A3993" t="s">
        <v>7354</v>
      </c>
      <c r="B3993">
        <f>53002.675260335*(1/100/100)</f>
        <v>5.3002675260335002</v>
      </c>
      <c r="C3993">
        <v>45601</v>
      </c>
      <c r="D3993" t="s">
        <v>1394</v>
      </c>
      <c r="E3993">
        <v>41606</v>
      </c>
      <c r="F3993" t="s">
        <v>1286</v>
      </c>
      <c r="G3993">
        <v>416</v>
      </c>
      <c r="H3993" t="s">
        <v>90</v>
      </c>
      <c r="I3993">
        <v>4</v>
      </c>
      <c r="J3993" t="s">
        <v>75</v>
      </c>
    </row>
    <row r="3994" spans="1:10" x14ac:dyDescent="0.25">
      <c r="A3994" t="s">
        <v>7354</v>
      </c>
      <c r="B3994">
        <f>121270.453163567*(1/100/100)</f>
        <v>12.1270453163567</v>
      </c>
      <c r="C3994">
        <v>45602</v>
      </c>
      <c r="D3994" t="s">
        <v>5769</v>
      </c>
      <c r="E3994">
        <v>41612</v>
      </c>
      <c r="F3994" t="s">
        <v>1292</v>
      </c>
      <c r="G3994">
        <v>416</v>
      </c>
      <c r="H3994" t="s">
        <v>90</v>
      </c>
      <c r="I3994">
        <v>4</v>
      </c>
      <c r="J3994" t="s">
        <v>75</v>
      </c>
    </row>
    <row r="3995" spans="1:10" x14ac:dyDescent="0.25">
      <c r="A3995" t="s">
        <v>7354</v>
      </c>
      <c r="B3995">
        <f>136015.338874116*(1/100/100)</f>
        <v>13.6015338874116</v>
      </c>
      <c r="C3995">
        <v>45603</v>
      </c>
      <c r="D3995" t="s">
        <v>1284</v>
      </c>
      <c r="E3995">
        <v>41604</v>
      </c>
      <c r="F3995" t="s">
        <v>1284</v>
      </c>
      <c r="G3995">
        <v>416</v>
      </c>
      <c r="H3995" t="s">
        <v>90</v>
      </c>
      <c r="I3995">
        <v>4</v>
      </c>
      <c r="J3995" t="s">
        <v>75</v>
      </c>
    </row>
    <row r="3996" spans="1:10" x14ac:dyDescent="0.25">
      <c r="A3996" t="s">
        <v>7354</v>
      </c>
      <c r="B3996">
        <f>148164.167015262*(1/100/100)</f>
        <v>14.816416701526201</v>
      </c>
      <c r="C3996">
        <v>45604</v>
      </c>
      <c r="D3996" t="s">
        <v>5770</v>
      </c>
      <c r="E3996">
        <v>41612</v>
      </c>
      <c r="F3996" t="s">
        <v>1292</v>
      </c>
      <c r="G3996">
        <v>416</v>
      </c>
      <c r="H3996" t="s">
        <v>90</v>
      </c>
      <c r="I3996">
        <v>4</v>
      </c>
      <c r="J3996" t="s">
        <v>75</v>
      </c>
    </row>
    <row r="3997" spans="1:10" x14ac:dyDescent="0.25">
      <c r="A3997" t="s">
        <v>7354</v>
      </c>
      <c r="B3997">
        <f>137739.789425101*(1/100/100)</f>
        <v>13.7739789425101</v>
      </c>
      <c r="C3997">
        <v>45605</v>
      </c>
      <c r="D3997" t="s">
        <v>1286</v>
      </c>
      <c r="E3997">
        <v>41606</v>
      </c>
      <c r="F3997" t="s">
        <v>1286</v>
      </c>
      <c r="G3997">
        <v>416</v>
      </c>
      <c r="H3997" t="s">
        <v>90</v>
      </c>
      <c r="I3997">
        <v>4</v>
      </c>
      <c r="J3997" t="s">
        <v>75</v>
      </c>
    </row>
    <row r="3998" spans="1:10" x14ac:dyDescent="0.25">
      <c r="A3998" t="s">
        <v>7354</v>
      </c>
      <c r="B3998">
        <f>160696.052974125*(1/100/100)</f>
        <v>16.069605297412501</v>
      </c>
      <c r="C3998">
        <v>45606</v>
      </c>
      <c r="D3998" t="s">
        <v>5767</v>
      </c>
      <c r="E3998">
        <v>41609</v>
      </c>
      <c r="F3998" t="s">
        <v>1289</v>
      </c>
      <c r="G3998">
        <v>416</v>
      </c>
      <c r="H3998" t="s">
        <v>90</v>
      </c>
      <c r="I3998">
        <v>4</v>
      </c>
      <c r="J3998" t="s">
        <v>75</v>
      </c>
    </row>
    <row r="3999" spans="1:10" x14ac:dyDescent="0.25">
      <c r="A3999" t="s">
        <v>7354</v>
      </c>
      <c r="B3999">
        <f>85484.4430421022*(1/100/100)</f>
        <v>8.5484443042102196</v>
      </c>
      <c r="C3999">
        <v>45607</v>
      </c>
      <c r="D3999" t="s">
        <v>5763</v>
      </c>
      <c r="E3999">
        <v>41606</v>
      </c>
      <c r="F3999" t="s">
        <v>1286</v>
      </c>
      <c r="G3999">
        <v>416</v>
      </c>
      <c r="H3999" t="s">
        <v>90</v>
      </c>
      <c r="I3999">
        <v>4</v>
      </c>
      <c r="J3999" t="s">
        <v>75</v>
      </c>
    </row>
    <row r="4000" spans="1:10" x14ac:dyDescent="0.25">
      <c r="A4000" t="s">
        <v>7354</v>
      </c>
      <c r="B4000">
        <f>123768.137146324*(1/100/100)</f>
        <v>12.376813714632402</v>
      </c>
      <c r="C4000">
        <v>45608</v>
      </c>
      <c r="D4000" t="s">
        <v>5759</v>
      </c>
      <c r="E4000">
        <v>41604</v>
      </c>
      <c r="F4000" t="s">
        <v>1284</v>
      </c>
      <c r="G4000">
        <v>416</v>
      </c>
      <c r="H4000" t="s">
        <v>90</v>
      </c>
      <c r="I4000">
        <v>4</v>
      </c>
      <c r="J4000" t="s">
        <v>75</v>
      </c>
    </row>
    <row r="4001" spans="1:10" x14ac:dyDescent="0.25">
      <c r="A4001" t="s">
        <v>7354</v>
      </c>
      <c r="B4001">
        <f>92107.5991328143*(1/100/100)</f>
        <v>9.2107599132814304</v>
      </c>
      <c r="C4001">
        <v>45609</v>
      </c>
      <c r="D4001" t="s">
        <v>1288</v>
      </c>
      <c r="E4001">
        <v>41608</v>
      </c>
      <c r="F4001" t="s">
        <v>1288</v>
      </c>
      <c r="G4001">
        <v>416</v>
      </c>
      <c r="H4001" t="s">
        <v>90</v>
      </c>
      <c r="I4001">
        <v>4</v>
      </c>
      <c r="J4001" t="s">
        <v>75</v>
      </c>
    </row>
    <row r="4002" spans="1:10" x14ac:dyDescent="0.25">
      <c r="A4002" t="s">
        <v>7354</v>
      </c>
      <c r="B4002">
        <f>149612.140792029*(1/100/100)</f>
        <v>14.961214079202902</v>
      </c>
      <c r="C4002">
        <v>45610</v>
      </c>
      <c r="D4002" t="s">
        <v>4110</v>
      </c>
      <c r="E4002">
        <v>41621</v>
      </c>
      <c r="F4002" t="s">
        <v>5778</v>
      </c>
      <c r="G4002">
        <v>416</v>
      </c>
      <c r="H4002" t="s">
        <v>90</v>
      </c>
      <c r="I4002">
        <v>4</v>
      </c>
      <c r="J4002" t="s">
        <v>75</v>
      </c>
    </row>
    <row r="4003" spans="1:10" x14ac:dyDescent="0.25">
      <c r="A4003" t="s">
        <v>7354</v>
      </c>
      <c r="B4003">
        <f>346201.314272359*(1/100/100)</f>
        <v>34.620131427235904</v>
      </c>
      <c r="C4003">
        <v>45611</v>
      </c>
      <c r="D4003" t="s">
        <v>1289</v>
      </c>
      <c r="E4003">
        <v>41609</v>
      </c>
      <c r="F4003" t="s">
        <v>1289</v>
      </c>
      <c r="G4003">
        <v>416</v>
      </c>
      <c r="H4003" t="s">
        <v>90</v>
      </c>
      <c r="I4003">
        <v>4</v>
      </c>
      <c r="J4003" t="s">
        <v>75</v>
      </c>
    </row>
    <row r="4004" spans="1:10" x14ac:dyDescent="0.25">
      <c r="A4004" t="s">
        <v>7354</v>
      </c>
      <c r="B4004">
        <f>116614.658560894*(1/100/100)</f>
        <v>11.6614658560894</v>
      </c>
      <c r="C4004">
        <v>45612</v>
      </c>
      <c r="D4004" t="s">
        <v>5764</v>
      </c>
      <c r="E4004">
        <v>41606</v>
      </c>
      <c r="F4004" t="s">
        <v>1286</v>
      </c>
      <c r="G4004">
        <v>416</v>
      </c>
      <c r="H4004" t="s">
        <v>90</v>
      </c>
      <c r="I4004">
        <v>4</v>
      </c>
      <c r="J4004" t="s">
        <v>75</v>
      </c>
    </row>
    <row r="4005" spans="1:10" x14ac:dyDescent="0.25">
      <c r="A4005" t="s">
        <v>7354</v>
      </c>
      <c r="B4005">
        <f>60138.832835731*(1/100/100)</f>
        <v>6.0138832835731009</v>
      </c>
      <c r="C4005">
        <v>45613</v>
      </c>
      <c r="D4005" t="s">
        <v>5765</v>
      </c>
      <c r="E4005">
        <v>41606</v>
      </c>
      <c r="F4005" t="s">
        <v>1286</v>
      </c>
      <c r="G4005">
        <v>416</v>
      </c>
      <c r="H4005" t="s">
        <v>90</v>
      </c>
      <c r="I4005">
        <v>4</v>
      </c>
      <c r="J4005" t="s">
        <v>75</v>
      </c>
    </row>
    <row r="4006" spans="1:10" x14ac:dyDescent="0.25">
      <c r="A4006" t="s">
        <v>7354</v>
      </c>
      <c r="B4006">
        <f>140917.707484536*(1/100/100)</f>
        <v>14.0917707484536</v>
      </c>
      <c r="C4006">
        <v>45614</v>
      </c>
      <c r="D4006" t="s">
        <v>5783</v>
      </c>
      <c r="E4006">
        <v>41626</v>
      </c>
      <c r="F4006" t="s">
        <v>1304</v>
      </c>
      <c r="G4006">
        <v>416</v>
      </c>
      <c r="H4006" t="s">
        <v>90</v>
      </c>
      <c r="I4006">
        <v>4</v>
      </c>
      <c r="J4006" t="s">
        <v>75</v>
      </c>
    </row>
    <row r="4007" spans="1:10" x14ac:dyDescent="0.25">
      <c r="A4007" t="s">
        <v>7354</v>
      </c>
      <c r="B4007">
        <f>80247.2545065463*(1/100/100)</f>
        <v>8.0247254506546302</v>
      </c>
      <c r="C4007">
        <v>45615</v>
      </c>
      <c r="D4007" t="s">
        <v>399</v>
      </c>
      <c r="E4007">
        <v>41606</v>
      </c>
      <c r="F4007" t="s">
        <v>1286</v>
      </c>
      <c r="G4007">
        <v>416</v>
      </c>
      <c r="H4007" t="s">
        <v>90</v>
      </c>
      <c r="I4007">
        <v>4</v>
      </c>
      <c r="J4007" t="s">
        <v>75</v>
      </c>
    </row>
    <row r="4008" spans="1:10" x14ac:dyDescent="0.25">
      <c r="A4008" t="s">
        <v>7354</v>
      </c>
      <c r="B4008">
        <f>63636.1425641069*(1/100/100)</f>
        <v>6.3636142564106901</v>
      </c>
      <c r="C4008">
        <v>45616</v>
      </c>
      <c r="D4008" t="s">
        <v>5766</v>
      </c>
      <c r="E4008">
        <v>41606</v>
      </c>
      <c r="F4008" t="s">
        <v>1286</v>
      </c>
      <c r="G4008">
        <v>416</v>
      </c>
      <c r="H4008" t="s">
        <v>90</v>
      </c>
      <c r="I4008">
        <v>4</v>
      </c>
      <c r="J4008" t="s">
        <v>75</v>
      </c>
    </row>
    <row r="4009" spans="1:10" x14ac:dyDescent="0.25">
      <c r="A4009" t="s">
        <v>7354</v>
      </c>
      <c r="B4009">
        <f>102889.481632207*(1/100/100)</f>
        <v>10.2889481632207</v>
      </c>
      <c r="C4009">
        <v>45617</v>
      </c>
      <c r="D4009" t="s">
        <v>5775</v>
      </c>
      <c r="E4009">
        <v>41617</v>
      </c>
      <c r="F4009" t="s">
        <v>1297</v>
      </c>
      <c r="G4009">
        <v>416</v>
      </c>
      <c r="H4009" t="s">
        <v>90</v>
      </c>
      <c r="I4009">
        <v>4</v>
      </c>
      <c r="J4009" t="s">
        <v>75</v>
      </c>
    </row>
    <row r="4010" spans="1:10" x14ac:dyDescent="0.25">
      <c r="A4010" t="s">
        <v>7354</v>
      </c>
      <c r="B4010">
        <f>224506.65922993*(1/100/100)</f>
        <v>22.450665922993</v>
      </c>
      <c r="C4010">
        <v>45618</v>
      </c>
      <c r="D4010" t="s">
        <v>5776</v>
      </c>
      <c r="E4010">
        <v>41617</v>
      </c>
      <c r="F4010" t="s">
        <v>1297</v>
      </c>
      <c r="G4010">
        <v>416</v>
      </c>
      <c r="H4010" t="s">
        <v>90</v>
      </c>
      <c r="I4010">
        <v>4</v>
      </c>
      <c r="J4010" t="s">
        <v>75</v>
      </c>
    </row>
    <row r="4011" spans="1:10" x14ac:dyDescent="0.25">
      <c r="A4011" t="s">
        <v>7354</v>
      </c>
      <c r="B4011">
        <f>288599.456577206*(1/100/100)</f>
        <v>28.859945657720598</v>
      </c>
      <c r="C4011">
        <v>45619</v>
      </c>
      <c r="D4011" t="s">
        <v>1298</v>
      </c>
      <c r="E4011">
        <v>41618</v>
      </c>
      <c r="F4011" t="s">
        <v>1298</v>
      </c>
      <c r="G4011">
        <v>416</v>
      </c>
      <c r="H4011" t="s">
        <v>90</v>
      </c>
      <c r="I4011">
        <v>4</v>
      </c>
      <c r="J4011" t="s">
        <v>75</v>
      </c>
    </row>
    <row r="4012" spans="1:10" x14ac:dyDescent="0.25">
      <c r="A4012" t="s">
        <v>7354</v>
      </c>
      <c r="B4012">
        <f>143526.59547509*(1/100/100)</f>
        <v>14.352659547509001</v>
      </c>
      <c r="C4012">
        <v>45620</v>
      </c>
      <c r="D4012" t="s">
        <v>5771</v>
      </c>
      <c r="E4012">
        <v>41612</v>
      </c>
      <c r="F4012" t="s">
        <v>1292</v>
      </c>
      <c r="G4012">
        <v>416</v>
      </c>
      <c r="H4012" t="s">
        <v>90</v>
      </c>
      <c r="I4012">
        <v>4</v>
      </c>
      <c r="J4012" t="s">
        <v>75</v>
      </c>
    </row>
    <row r="4013" spans="1:10" x14ac:dyDescent="0.25">
      <c r="A4013" t="s">
        <v>7354</v>
      </c>
      <c r="B4013">
        <f>264828.516264177*(1/100/100)</f>
        <v>26.482851626417698</v>
      </c>
      <c r="C4013">
        <v>45621</v>
      </c>
      <c r="D4013" t="s">
        <v>1304</v>
      </c>
      <c r="E4013">
        <v>41626</v>
      </c>
      <c r="F4013" t="s">
        <v>1304</v>
      </c>
      <c r="G4013">
        <v>416</v>
      </c>
      <c r="H4013" t="s">
        <v>90</v>
      </c>
      <c r="I4013">
        <v>4</v>
      </c>
      <c r="J4013" t="s">
        <v>75</v>
      </c>
    </row>
    <row r="4014" spans="1:10" x14ac:dyDescent="0.25">
      <c r="A4014" t="s">
        <v>7354</v>
      </c>
      <c r="B4014">
        <f>265269.453150022*(1/100/100)</f>
        <v>26.526945315002202</v>
      </c>
      <c r="C4014">
        <v>45622</v>
      </c>
      <c r="D4014" t="s">
        <v>4723</v>
      </c>
      <c r="E4014">
        <v>41602</v>
      </c>
      <c r="F4014" t="s">
        <v>1282</v>
      </c>
      <c r="G4014">
        <v>416</v>
      </c>
      <c r="H4014" t="s">
        <v>90</v>
      </c>
      <c r="I4014">
        <v>4</v>
      </c>
      <c r="J4014" t="s">
        <v>75</v>
      </c>
    </row>
    <row r="4015" spans="1:10" x14ac:dyDescent="0.25">
      <c r="A4015" t="s">
        <v>7354</v>
      </c>
      <c r="B4015">
        <f>254515.398431585*(1/100/100)</f>
        <v>25.4515398431585</v>
      </c>
      <c r="C4015">
        <v>45623</v>
      </c>
      <c r="D4015" t="s">
        <v>1285</v>
      </c>
      <c r="E4015">
        <v>41605</v>
      </c>
      <c r="F4015" t="s">
        <v>1285</v>
      </c>
      <c r="G4015">
        <v>416</v>
      </c>
      <c r="H4015" t="s">
        <v>90</v>
      </c>
      <c r="I4015">
        <v>4</v>
      </c>
      <c r="J4015" t="s">
        <v>75</v>
      </c>
    </row>
    <row r="4016" spans="1:10" x14ac:dyDescent="0.25">
      <c r="A4016" t="s">
        <v>7354</v>
      </c>
      <c r="B4016">
        <f>383741.302013698*(1/100/100)</f>
        <v>38.374130201369802</v>
      </c>
      <c r="C4016">
        <v>45624</v>
      </c>
      <c r="D4016" t="s">
        <v>1287</v>
      </c>
      <c r="E4016">
        <v>41607</v>
      </c>
      <c r="F4016" t="s">
        <v>1287</v>
      </c>
      <c r="G4016">
        <v>416</v>
      </c>
      <c r="H4016" t="s">
        <v>90</v>
      </c>
      <c r="I4016">
        <v>4</v>
      </c>
      <c r="J4016" t="s">
        <v>75</v>
      </c>
    </row>
    <row r="4017" spans="1:10" x14ac:dyDescent="0.25">
      <c r="A4017" t="s">
        <v>7354</v>
      </c>
      <c r="B4017">
        <f>188120.348218991*(1/100/100)</f>
        <v>18.812034821899104</v>
      </c>
      <c r="C4017">
        <v>45625</v>
      </c>
      <c r="D4017" t="s">
        <v>1291</v>
      </c>
      <c r="E4017">
        <v>41611</v>
      </c>
      <c r="F4017" t="s">
        <v>1291</v>
      </c>
      <c r="G4017">
        <v>416</v>
      </c>
      <c r="H4017" t="s">
        <v>90</v>
      </c>
      <c r="I4017">
        <v>4</v>
      </c>
      <c r="J4017" t="s">
        <v>75</v>
      </c>
    </row>
    <row r="4018" spans="1:10" x14ac:dyDescent="0.25">
      <c r="A4018" t="s">
        <v>7354</v>
      </c>
      <c r="B4018">
        <f>139649.866391765*(1/100/100)</f>
        <v>13.964986639176502</v>
      </c>
      <c r="C4018">
        <v>45626</v>
      </c>
      <c r="D4018" t="s">
        <v>5760</v>
      </c>
      <c r="E4018">
        <v>41605</v>
      </c>
      <c r="F4018" t="s">
        <v>1285</v>
      </c>
      <c r="G4018">
        <v>416</v>
      </c>
      <c r="H4018" t="s">
        <v>90</v>
      </c>
      <c r="I4018">
        <v>4</v>
      </c>
      <c r="J4018" t="s">
        <v>75</v>
      </c>
    </row>
    <row r="4019" spans="1:10" x14ac:dyDescent="0.25">
      <c r="A4019" t="s">
        <v>7354</v>
      </c>
      <c r="B4019">
        <f>111917.845901959*(1/100/100)</f>
        <v>11.191784590195899</v>
      </c>
      <c r="C4019">
        <v>45627</v>
      </c>
      <c r="D4019" t="s">
        <v>5753</v>
      </c>
      <c r="E4019">
        <v>41602</v>
      </c>
      <c r="F4019" t="s">
        <v>1282</v>
      </c>
      <c r="G4019">
        <v>416</v>
      </c>
      <c r="H4019" t="s">
        <v>90</v>
      </c>
      <c r="I4019">
        <v>4</v>
      </c>
      <c r="J4019" t="s">
        <v>75</v>
      </c>
    </row>
    <row r="4020" spans="1:10" x14ac:dyDescent="0.25">
      <c r="A4020" t="s">
        <v>7354</v>
      </c>
      <c r="B4020">
        <f>178912.942195094*(1/100/100)</f>
        <v>17.891294219509401</v>
      </c>
      <c r="C4020">
        <v>45628</v>
      </c>
      <c r="D4020" t="s">
        <v>974</v>
      </c>
      <c r="E4020">
        <v>41613</v>
      </c>
      <c r="F4020" t="s">
        <v>1293</v>
      </c>
      <c r="G4020">
        <v>416</v>
      </c>
      <c r="H4020" t="s">
        <v>90</v>
      </c>
      <c r="I4020">
        <v>4</v>
      </c>
      <c r="J4020" t="s">
        <v>75</v>
      </c>
    </row>
    <row r="4021" spans="1:10" x14ac:dyDescent="0.25">
      <c r="A4021" t="s">
        <v>7354</v>
      </c>
      <c r="B4021">
        <f>151115.387879441*(1/100/100)</f>
        <v>15.111538787944101</v>
      </c>
      <c r="C4021">
        <v>45629</v>
      </c>
      <c r="D4021" t="s">
        <v>5761</v>
      </c>
      <c r="E4021">
        <v>41605</v>
      </c>
      <c r="F4021" t="s">
        <v>1285</v>
      </c>
      <c r="G4021">
        <v>416</v>
      </c>
      <c r="H4021" t="s">
        <v>90</v>
      </c>
      <c r="I4021">
        <v>4</v>
      </c>
      <c r="J4021" t="s">
        <v>75</v>
      </c>
    </row>
    <row r="4022" spans="1:10" x14ac:dyDescent="0.25">
      <c r="A4022" t="s">
        <v>7354</v>
      </c>
      <c r="B4022">
        <f>125715.565343814*(1/100/100)</f>
        <v>12.571556534381401</v>
      </c>
      <c r="C4022">
        <v>45630</v>
      </c>
      <c r="D4022" t="s">
        <v>5781</v>
      </c>
      <c r="E4022">
        <v>41624</v>
      </c>
      <c r="F4022" t="s">
        <v>1303</v>
      </c>
      <c r="G4022">
        <v>416</v>
      </c>
      <c r="H4022" t="s">
        <v>90</v>
      </c>
      <c r="I4022">
        <v>4</v>
      </c>
      <c r="J4022" t="s">
        <v>75</v>
      </c>
    </row>
    <row r="4023" spans="1:10" x14ac:dyDescent="0.25">
      <c r="A4023" t="s">
        <v>7354</v>
      </c>
      <c r="B4023">
        <f>272887.905349331*(1/100/100)</f>
        <v>27.288790534933099</v>
      </c>
      <c r="C4023">
        <v>45631</v>
      </c>
      <c r="D4023" t="s">
        <v>1294</v>
      </c>
      <c r="E4023">
        <v>41614</v>
      </c>
      <c r="F4023" t="s">
        <v>1294</v>
      </c>
      <c r="G4023">
        <v>416</v>
      </c>
      <c r="H4023" t="s">
        <v>90</v>
      </c>
      <c r="I4023">
        <v>4</v>
      </c>
      <c r="J4023" t="s">
        <v>75</v>
      </c>
    </row>
    <row r="4024" spans="1:10" x14ac:dyDescent="0.25">
      <c r="A4024" t="s">
        <v>7354</v>
      </c>
      <c r="B4024">
        <f>219445.252967477*(1/100/100)</f>
        <v>21.944525296747699</v>
      </c>
      <c r="C4024">
        <v>45632</v>
      </c>
      <c r="D4024" t="s">
        <v>5762</v>
      </c>
      <c r="E4024">
        <v>41605</v>
      </c>
      <c r="F4024" t="s">
        <v>1285</v>
      </c>
      <c r="G4024">
        <v>416</v>
      </c>
      <c r="H4024" t="s">
        <v>90</v>
      </c>
      <c r="I4024">
        <v>4</v>
      </c>
      <c r="J4024" t="s">
        <v>75</v>
      </c>
    </row>
    <row r="4025" spans="1:10" x14ac:dyDescent="0.25">
      <c r="A4025" t="s">
        <v>7354</v>
      </c>
      <c r="B4025">
        <f>101006.923030502*(1/100/100)</f>
        <v>10.1006923030502</v>
      </c>
      <c r="C4025">
        <v>45633</v>
      </c>
      <c r="D4025" t="s">
        <v>5754</v>
      </c>
      <c r="E4025">
        <v>41602</v>
      </c>
      <c r="F4025" t="s">
        <v>1282</v>
      </c>
      <c r="G4025">
        <v>416</v>
      </c>
      <c r="H4025" t="s">
        <v>90</v>
      </c>
      <c r="I4025">
        <v>4</v>
      </c>
      <c r="J4025" t="s">
        <v>75</v>
      </c>
    </row>
    <row r="4026" spans="1:10" x14ac:dyDescent="0.25">
      <c r="A4026" t="s">
        <v>7354</v>
      </c>
      <c r="B4026">
        <f>107293.842768268*(1/100/100)</f>
        <v>10.729384276826801</v>
      </c>
      <c r="C4026">
        <v>45634</v>
      </c>
      <c r="D4026" t="s">
        <v>3770</v>
      </c>
      <c r="E4026">
        <v>41601</v>
      </c>
      <c r="F4026" t="s">
        <v>1281</v>
      </c>
      <c r="G4026">
        <v>416</v>
      </c>
      <c r="H4026" t="s">
        <v>90</v>
      </c>
      <c r="I4026">
        <v>4</v>
      </c>
      <c r="J4026" t="s">
        <v>75</v>
      </c>
    </row>
    <row r="4027" spans="1:10" x14ac:dyDescent="0.25">
      <c r="A4027" t="s">
        <v>7354</v>
      </c>
      <c r="B4027">
        <f>46645.9895891291*(1/100/100)</f>
        <v>4.6645989589129107</v>
      </c>
      <c r="C4027">
        <v>45635</v>
      </c>
      <c r="D4027" t="s">
        <v>5768</v>
      </c>
      <c r="E4027">
        <v>41611</v>
      </c>
      <c r="F4027" t="s">
        <v>1291</v>
      </c>
      <c r="G4027">
        <v>416</v>
      </c>
      <c r="H4027" t="s">
        <v>90</v>
      </c>
      <c r="I4027">
        <v>4</v>
      </c>
      <c r="J4027" t="s">
        <v>75</v>
      </c>
    </row>
    <row r="4028" spans="1:10" x14ac:dyDescent="0.25">
      <c r="A4028" t="s">
        <v>7354</v>
      </c>
      <c r="B4028">
        <f>202826.267366379*(1/100/100)</f>
        <v>20.282626736637901</v>
      </c>
      <c r="C4028">
        <v>45636</v>
      </c>
      <c r="D4028" t="s">
        <v>5752</v>
      </c>
      <c r="E4028">
        <v>41601</v>
      </c>
      <c r="F4028" t="s">
        <v>1281</v>
      </c>
      <c r="G4028">
        <v>416</v>
      </c>
      <c r="H4028" t="s">
        <v>90</v>
      </c>
      <c r="I4028">
        <v>4</v>
      </c>
      <c r="J4028" t="s">
        <v>75</v>
      </c>
    </row>
    <row r="4029" spans="1:10" x14ac:dyDescent="0.25">
      <c r="A4029" t="s">
        <v>7354</v>
      </c>
      <c r="B4029">
        <f>65326.330679464*(1/100/100)</f>
        <v>6.5326330679464002</v>
      </c>
      <c r="C4029">
        <v>45637</v>
      </c>
      <c r="D4029" t="s">
        <v>5782</v>
      </c>
      <c r="E4029">
        <v>41624</v>
      </c>
      <c r="F4029" t="s">
        <v>1303</v>
      </c>
      <c r="G4029">
        <v>416</v>
      </c>
      <c r="H4029" t="s">
        <v>90</v>
      </c>
      <c r="I4029">
        <v>4</v>
      </c>
      <c r="J4029" t="s">
        <v>75</v>
      </c>
    </row>
    <row r="4030" spans="1:10" x14ac:dyDescent="0.25">
      <c r="A4030" t="s">
        <v>7354</v>
      </c>
      <c r="B4030">
        <f>53791.0290815727*(1/100/100)</f>
        <v>5.3791029081572699</v>
      </c>
      <c r="C4030">
        <v>45638</v>
      </c>
      <c r="D4030" t="s">
        <v>5772</v>
      </c>
      <c r="E4030">
        <v>41613</v>
      </c>
      <c r="F4030" t="s">
        <v>1293</v>
      </c>
      <c r="G4030">
        <v>416</v>
      </c>
      <c r="H4030" t="s">
        <v>90</v>
      </c>
      <c r="I4030">
        <v>4</v>
      </c>
      <c r="J4030" t="s">
        <v>75</v>
      </c>
    </row>
    <row r="4031" spans="1:10" x14ac:dyDescent="0.25">
      <c r="A4031" t="s">
        <v>7354</v>
      </c>
      <c r="B4031">
        <f>134529.081463847*(1/100/100)</f>
        <v>13.452908146384699</v>
      </c>
      <c r="C4031">
        <v>45639</v>
      </c>
      <c r="D4031" t="s">
        <v>2607</v>
      </c>
      <c r="E4031">
        <v>41623</v>
      </c>
      <c r="F4031" t="s">
        <v>1302</v>
      </c>
      <c r="G4031">
        <v>416</v>
      </c>
      <c r="H4031" t="s">
        <v>90</v>
      </c>
      <c r="I4031">
        <v>4</v>
      </c>
      <c r="J4031" t="s">
        <v>75</v>
      </c>
    </row>
    <row r="4032" spans="1:10" x14ac:dyDescent="0.25">
      <c r="A4032" t="s">
        <v>7354</v>
      </c>
      <c r="B4032">
        <f>144680.298651456*(1/100/100)</f>
        <v>14.468029865145599</v>
      </c>
      <c r="C4032">
        <v>45640</v>
      </c>
      <c r="D4032" t="s">
        <v>2228</v>
      </c>
      <c r="E4032">
        <v>41601</v>
      </c>
      <c r="F4032" t="s">
        <v>1281</v>
      </c>
      <c r="G4032">
        <v>416</v>
      </c>
      <c r="H4032" t="s">
        <v>90</v>
      </c>
      <c r="I4032">
        <v>4</v>
      </c>
      <c r="J4032" t="s">
        <v>75</v>
      </c>
    </row>
    <row r="4033" spans="1:10" x14ac:dyDescent="0.25">
      <c r="A4033" t="s">
        <v>7354</v>
      </c>
      <c r="B4033">
        <f>263551.8737569*(1/100/100)</f>
        <v>26.355187375690004</v>
      </c>
      <c r="C4033">
        <v>45641</v>
      </c>
      <c r="D4033" t="s">
        <v>1303</v>
      </c>
      <c r="E4033">
        <v>41624</v>
      </c>
      <c r="F4033" t="s">
        <v>1303</v>
      </c>
      <c r="G4033">
        <v>416</v>
      </c>
      <c r="H4033" t="s">
        <v>90</v>
      </c>
      <c r="I4033">
        <v>4</v>
      </c>
      <c r="J4033" t="s">
        <v>75</v>
      </c>
    </row>
    <row r="4034" spans="1:10" x14ac:dyDescent="0.25">
      <c r="A4034" t="s">
        <v>7354</v>
      </c>
      <c r="B4034">
        <f>28996.5532384864*(1/100/100)</f>
        <v>2.89965532384864</v>
      </c>
      <c r="C4034">
        <v>46001</v>
      </c>
      <c r="D4034" t="s">
        <v>2840</v>
      </c>
      <c r="E4034">
        <v>41220</v>
      </c>
      <c r="F4034" t="s">
        <v>1194</v>
      </c>
      <c r="G4034">
        <v>412</v>
      </c>
      <c r="H4034" t="s">
        <v>86</v>
      </c>
      <c r="I4034">
        <v>4</v>
      </c>
      <c r="J4034" t="s">
        <v>75</v>
      </c>
    </row>
    <row r="4035" spans="1:10" x14ac:dyDescent="0.25">
      <c r="A4035" t="s">
        <v>7354</v>
      </c>
      <c r="B4035">
        <f>132845.575690259*(1/100/100)</f>
        <v>13.2845575690259</v>
      </c>
      <c r="C4035">
        <v>46002</v>
      </c>
      <c r="D4035" t="s">
        <v>1176</v>
      </c>
      <c r="E4035">
        <v>41202</v>
      </c>
      <c r="F4035" t="s">
        <v>1176</v>
      </c>
      <c r="G4035">
        <v>412</v>
      </c>
      <c r="H4035" t="s">
        <v>86</v>
      </c>
      <c r="I4035">
        <v>4</v>
      </c>
      <c r="J4035" t="s">
        <v>75</v>
      </c>
    </row>
    <row r="4036" spans="1:10" x14ac:dyDescent="0.25">
      <c r="A4036" t="s">
        <v>7354</v>
      </c>
      <c r="B4036">
        <f>46156.6511212891*(1/100/100)</f>
        <v>4.6156651121289096</v>
      </c>
      <c r="C4036">
        <v>46003</v>
      </c>
      <c r="D4036" t="s">
        <v>518</v>
      </c>
      <c r="E4036">
        <v>41230</v>
      </c>
      <c r="F4036" t="s">
        <v>1201</v>
      </c>
      <c r="G4036">
        <v>412</v>
      </c>
      <c r="H4036" t="s">
        <v>86</v>
      </c>
      <c r="I4036">
        <v>4</v>
      </c>
      <c r="J4036" t="s">
        <v>75</v>
      </c>
    </row>
    <row r="4037" spans="1:10" x14ac:dyDescent="0.25">
      <c r="A4037" t="s">
        <v>7354</v>
      </c>
      <c r="B4037">
        <f>25789.2790321802*(1/100/100)</f>
        <v>2.5789279032180201</v>
      </c>
      <c r="C4037">
        <v>46004</v>
      </c>
      <c r="D4037" t="s">
        <v>5540</v>
      </c>
      <c r="E4037">
        <v>41212</v>
      </c>
      <c r="F4037" t="s">
        <v>1186</v>
      </c>
      <c r="G4037">
        <v>412</v>
      </c>
      <c r="H4037" t="s">
        <v>86</v>
      </c>
      <c r="I4037">
        <v>4</v>
      </c>
      <c r="J4037" t="s">
        <v>75</v>
      </c>
    </row>
    <row r="4038" spans="1:10" x14ac:dyDescent="0.25">
      <c r="A4038" t="s">
        <v>7354</v>
      </c>
      <c r="B4038">
        <f>43684.2469143792*(1/100/100)</f>
        <v>4.3684246914379194</v>
      </c>
      <c r="C4038">
        <v>46005</v>
      </c>
      <c r="D4038" t="s">
        <v>5345</v>
      </c>
      <c r="E4038">
        <v>41208</v>
      </c>
      <c r="F4038" t="s">
        <v>1182</v>
      </c>
      <c r="G4038">
        <v>412</v>
      </c>
      <c r="H4038" t="s">
        <v>86</v>
      </c>
      <c r="I4038">
        <v>4</v>
      </c>
      <c r="J4038" t="s">
        <v>75</v>
      </c>
    </row>
    <row r="4039" spans="1:10" x14ac:dyDescent="0.25">
      <c r="A4039" t="s">
        <v>7354</v>
      </c>
      <c r="B4039">
        <f>46918.7027411808*(1/100/100)</f>
        <v>4.69187027411808</v>
      </c>
      <c r="C4039">
        <v>46006</v>
      </c>
      <c r="D4039" t="s">
        <v>5576</v>
      </c>
      <c r="E4039">
        <v>41233</v>
      </c>
      <c r="F4039" t="s">
        <v>1204</v>
      </c>
      <c r="G4039">
        <v>412</v>
      </c>
      <c r="H4039" t="s">
        <v>86</v>
      </c>
      <c r="I4039">
        <v>4</v>
      </c>
      <c r="J4039" t="s">
        <v>75</v>
      </c>
    </row>
    <row r="4040" spans="1:10" x14ac:dyDescent="0.25">
      <c r="A4040" t="s">
        <v>7354</v>
      </c>
      <c r="B4040">
        <f>40826.9182398821*(1/100/100)</f>
        <v>4.0826918239882097</v>
      </c>
      <c r="C4040">
        <v>46007</v>
      </c>
      <c r="D4040" t="s">
        <v>5584</v>
      </c>
      <c r="E4040">
        <v>41235</v>
      </c>
      <c r="F4040" t="s">
        <v>1206</v>
      </c>
      <c r="G4040">
        <v>412</v>
      </c>
      <c r="H4040" t="s">
        <v>86</v>
      </c>
      <c r="I4040">
        <v>4</v>
      </c>
      <c r="J4040" t="s">
        <v>75</v>
      </c>
    </row>
    <row r="4041" spans="1:10" x14ac:dyDescent="0.25">
      <c r="A4041" t="s">
        <v>7354</v>
      </c>
      <c r="B4041">
        <f>87392.4449748562*(1/100/100)</f>
        <v>8.73924449748562</v>
      </c>
      <c r="C4041">
        <v>46008</v>
      </c>
      <c r="D4041" t="s">
        <v>3112</v>
      </c>
      <c r="E4041">
        <v>41230</v>
      </c>
      <c r="F4041" t="s">
        <v>1201</v>
      </c>
      <c r="G4041">
        <v>412</v>
      </c>
      <c r="H4041" t="s">
        <v>86</v>
      </c>
      <c r="I4041">
        <v>4</v>
      </c>
      <c r="J4041" t="s">
        <v>75</v>
      </c>
    </row>
    <row r="4042" spans="1:10" x14ac:dyDescent="0.25">
      <c r="A4042" t="s">
        <v>7354</v>
      </c>
      <c r="B4042">
        <f>28782.2795273028*(1/100/100)</f>
        <v>2.8782279527302799</v>
      </c>
      <c r="C4042">
        <v>46009</v>
      </c>
      <c r="D4042" t="s">
        <v>5577</v>
      </c>
      <c r="E4042">
        <v>41233</v>
      </c>
      <c r="F4042" t="s">
        <v>1204</v>
      </c>
      <c r="G4042">
        <v>412</v>
      </c>
      <c r="H4042" t="s">
        <v>86</v>
      </c>
      <c r="I4042">
        <v>4</v>
      </c>
      <c r="J4042" t="s">
        <v>75</v>
      </c>
    </row>
    <row r="4043" spans="1:10" x14ac:dyDescent="0.25">
      <c r="A4043" t="s">
        <v>7354</v>
      </c>
      <c r="B4043">
        <f>228185.812515638*(1/100/100)</f>
        <v>22.818581251563803</v>
      </c>
      <c r="C4043">
        <v>46010</v>
      </c>
      <c r="D4043" t="s">
        <v>1181</v>
      </c>
      <c r="E4043">
        <v>41207</v>
      </c>
      <c r="F4043" t="s">
        <v>1181</v>
      </c>
      <c r="G4043">
        <v>412</v>
      </c>
      <c r="H4043" t="s">
        <v>86</v>
      </c>
      <c r="I4043">
        <v>4</v>
      </c>
      <c r="J4043" t="s">
        <v>75</v>
      </c>
    </row>
    <row r="4044" spans="1:10" x14ac:dyDescent="0.25">
      <c r="A4044" t="s">
        <v>7354</v>
      </c>
      <c r="B4044">
        <f>31862.4980761737*(1/100/100)</f>
        <v>3.18624980761737</v>
      </c>
      <c r="C4044">
        <v>46011</v>
      </c>
      <c r="D4044" t="s">
        <v>5541</v>
      </c>
      <c r="E4044">
        <v>41212</v>
      </c>
      <c r="F4044" t="s">
        <v>1186</v>
      </c>
      <c r="G4044">
        <v>412</v>
      </c>
      <c r="H4044" t="s">
        <v>86</v>
      </c>
      <c r="I4044">
        <v>4</v>
      </c>
      <c r="J4044" t="s">
        <v>75</v>
      </c>
    </row>
    <row r="4045" spans="1:10" x14ac:dyDescent="0.25">
      <c r="A4045" t="s">
        <v>7354</v>
      </c>
      <c r="B4045">
        <f>28485.548554656*(1/100/100)</f>
        <v>2.8485548554656002</v>
      </c>
      <c r="C4045">
        <v>46012</v>
      </c>
      <c r="D4045" t="s">
        <v>5551</v>
      </c>
      <c r="E4045">
        <v>41216</v>
      </c>
      <c r="F4045" t="s">
        <v>1190</v>
      </c>
      <c r="G4045">
        <v>412</v>
      </c>
      <c r="H4045" t="s">
        <v>86</v>
      </c>
      <c r="I4045">
        <v>4</v>
      </c>
      <c r="J4045" t="s">
        <v>75</v>
      </c>
    </row>
    <row r="4046" spans="1:10" x14ac:dyDescent="0.25">
      <c r="A4046" t="s">
        <v>7354</v>
      </c>
      <c r="B4046">
        <f>184714.40182003*(1/100/100)</f>
        <v>18.471440182003001</v>
      </c>
      <c r="C4046">
        <v>46013</v>
      </c>
      <c r="D4046" t="s">
        <v>1182</v>
      </c>
      <c r="E4046">
        <v>41208</v>
      </c>
      <c r="F4046" t="s">
        <v>1182</v>
      </c>
      <c r="G4046">
        <v>412</v>
      </c>
      <c r="H4046" t="s">
        <v>86</v>
      </c>
      <c r="I4046">
        <v>4</v>
      </c>
      <c r="J4046" t="s">
        <v>75</v>
      </c>
    </row>
    <row r="4047" spans="1:10" x14ac:dyDescent="0.25">
      <c r="A4047" t="s">
        <v>7354</v>
      </c>
      <c r="B4047">
        <f>220309.450274983*(1/100/100)</f>
        <v>22.030945027498301</v>
      </c>
      <c r="C4047">
        <v>46014</v>
      </c>
      <c r="D4047" t="s">
        <v>2630</v>
      </c>
      <c r="E4047">
        <v>41224</v>
      </c>
      <c r="F4047" t="s">
        <v>1198</v>
      </c>
      <c r="G4047">
        <v>412</v>
      </c>
      <c r="H4047" t="s">
        <v>86</v>
      </c>
      <c r="I4047">
        <v>4</v>
      </c>
      <c r="J4047" t="s">
        <v>75</v>
      </c>
    </row>
    <row r="4048" spans="1:10" x14ac:dyDescent="0.25">
      <c r="A4048" t="s">
        <v>7354</v>
      </c>
      <c r="B4048">
        <f>57443.9817031847*(1/100/100)</f>
        <v>5.7443981703184699</v>
      </c>
      <c r="C4048">
        <v>46015</v>
      </c>
      <c r="D4048" t="s">
        <v>4401</v>
      </c>
      <c r="E4048">
        <v>41210</v>
      </c>
      <c r="F4048" t="s">
        <v>1184</v>
      </c>
      <c r="G4048">
        <v>412</v>
      </c>
      <c r="H4048" t="s">
        <v>86</v>
      </c>
      <c r="I4048">
        <v>4</v>
      </c>
      <c r="J4048" t="s">
        <v>75</v>
      </c>
    </row>
    <row r="4049" spans="1:10" x14ac:dyDescent="0.25">
      <c r="A4049" t="s">
        <v>7354</v>
      </c>
      <c r="B4049">
        <f>68716.4742087307*(1/100/100)</f>
        <v>6.87164742087307</v>
      </c>
      <c r="C4049">
        <v>46016</v>
      </c>
      <c r="D4049" t="s">
        <v>1184</v>
      </c>
      <c r="E4049">
        <v>41210</v>
      </c>
      <c r="F4049" t="s">
        <v>1184</v>
      </c>
      <c r="G4049">
        <v>412</v>
      </c>
      <c r="H4049" t="s">
        <v>86</v>
      </c>
      <c r="I4049">
        <v>4</v>
      </c>
      <c r="J4049" t="s">
        <v>75</v>
      </c>
    </row>
    <row r="4050" spans="1:10" x14ac:dyDescent="0.25">
      <c r="A4050" t="s">
        <v>7354</v>
      </c>
      <c r="B4050">
        <f>53291.5174602807*(1/100/100)</f>
        <v>5.3291517460280708</v>
      </c>
      <c r="C4050">
        <v>46017</v>
      </c>
      <c r="D4050" t="s">
        <v>5542</v>
      </c>
      <c r="E4050">
        <v>41212</v>
      </c>
      <c r="F4050" t="s">
        <v>1186</v>
      </c>
      <c r="G4050">
        <v>412</v>
      </c>
      <c r="H4050" t="s">
        <v>86</v>
      </c>
      <c r="I4050">
        <v>4</v>
      </c>
      <c r="J4050" t="s">
        <v>75</v>
      </c>
    </row>
    <row r="4051" spans="1:10" x14ac:dyDescent="0.25">
      <c r="A4051" t="s">
        <v>7354</v>
      </c>
      <c r="B4051">
        <f>109056.854569627*(1/100/100)</f>
        <v>10.905685456962701</v>
      </c>
      <c r="C4051">
        <v>46018</v>
      </c>
      <c r="D4051" t="s">
        <v>1186</v>
      </c>
      <c r="E4051">
        <v>41212</v>
      </c>
      <c r="F4051" t="s">
        <v>1186</v>
      </c>
      <c r="G4051">
        <v>412</v>
      </c>
      <c r="H4051" t="s">
        <v>86</v>
      </c>
      <c r="I4051">
        <v>4</v>
      </c>
      <c r="J4051" t="s">
        <v>75</v>
      </c>
    </row>
    <row r="4052" spans="1:10" x14ac:dyDescent="0.25">
      <c r="A4052" t="s">
        <v>7354</v>
      </c>
      <c r="B4052">
        <f>49475.8243897007*(1/100/100)</f>
        <v>4.9475824389700698</v>
      </c>
      <c r="C4052">
        <v>46019</v>
      </c>
      <c r="D4052" t="s">
        <v>1190</v>
      </c>
      <c r="E4052">
        <v>41216</v>
      </c>
      <c r="F4052" t="s">
        <v>1190</v>
      </c>
      <c r="G4052">
        <v>412</v>
      </c>
      <c r="H4052" t="s">
        <v>86</v>
      </c>
      <c r="I4052">
        <v>4</v>
      </c>
      <c r="J4052" t="s">
        <v>75</v>
      </c>
    </row>
    <row r="4053" spans="1:10" x14ac:dyDescent="0.25">
      <c r="A4053" t="s">
        <v>7354</v>
      </c>
      <c r="B4053">
        <f>101476.558120673*(1/100/100)</f>
        <v>10.147655812067301</v>
      </c>
      <c r="C4053">
        <v>46020</v>
      </c>
      <c r="D4053" t="s">
        <v>5552</v>
      </c>
      <c r="E4053">
        <v>41217</v>
      </c>
      <c r="F4053" t="s">
        <v>1191</v>
      </c>
      <c r="G4053">
        <v>412</v>
      </c>
      <c r="H4053" t="s">
        <v>86</v>
      </c>
      <c r="I4053">
        <v>4</v>
      </c>
      <c r="J4053" t="s">
        <v>75</v>
      </c>
    </row>
    <row r="4054" spans="1:10" x14ac:dyDescent="0.25">
      <c r="A4054" t="s">
        <v>7354</v>
      </c>
      <c r="B4054">
        <f>30097.3093967987*(1/100/100)</f>
        <v>3.0097309396798702</v>
      </c>
      <c r="C4054">
        <v>46021</v>
      </c>
      <c r="D4054" t="s">
        <v>107</v>
      </c>
      <c r="E4054">
        <v>41233</v>
      </c>
      <c r="F4054" t="s">
        <v>1204</v>
      </c>
      <c r="G4054">
        <v>412</v>
      </c>
      <c r="H4054" t="s">
        <v>86</v>
      </c>
      <c r="I4054">
        <v>4</v>
      </c>
      <c r="J4054" t="s">
        <v>75</v>
      </c>
    </row>
    <row r="4055" spans="1:10" x14ac:dyDescent="0.25">
      <c r="A4055" t="s">
        <v>7354</v>
      </c>
      <c r="B4055">
        <f>53430.4065145817*(1/100/100)</f>
        <v>5.3430406514581703</v>
      </c>
      <c r="C4055">
        <v>46022</v>
      </c>
      <c r="D4055" t="s">
        <v>441</v>
      </c>
      <c r="E4055">
        <v>41207</v>
      </c>
      <c r="F4055" t="s">
        <v>1181</v>
      </c>
      <c r="G4055">
        <v>412</v>
      </c>
      <c r="H4055" t="s">
        <v>86</v>
      </c>
      <c r="I4055">
        <v>4</v>
      </c>
      <c r="J4055" t="s">
        <v>75</v>
      </c>
    </row>
    <row r="4056" spans="1:10" x14ac:dyDescent="0.25">
      <c r="A4056" t="s">
        <v>7354</v>
      </c>
      <c r="B4056">
        <f>53771.9271305729*(1/100/100)</f>
        <v>5.3771927130572896</v>
      </c>
      <c r="C4056">
        <v>46023</v>
      </c>
      <c r="D4056" t="s">
        <v>5559</v>
      </c>
      <c r="E4056">
        <v>41226</v>
      </c>
      <c r="F4056" t="s">
        <v>5560</v>
      </c>
      <c r="G4056">
        <v>412</v>
      </c>
      <c r="H4056" t="s">
        <v>86</v>
      </c>
      <c r="I4056">
        <v>4</v>
      </c>
      <c r="J4056" t="s">
        <v>75</v>
      </c>
    </row>
    <row r="4057" spans="1:10" x14ac:dyDescent="0.25">
      <c r="A4057" t="s">
        <v>7354</v>
      </c>
      <c r="B4057">
        <f>132348.165385191*(1/100/100)</f>
        <v>13.234816538519102</v>
      </c>
      <c r="C4057">
        <v>46024</v>
      </c>
      <c r="D4057" t="s">
        <v>1193</v>
      </c>
      <c r="E4057">
        <v>41219</v>
      </c>
      <c r="F4057" t="s">
        <v>1193</v>
      </c>
      <c r="G4057">
        <v>412</v>
      </c>
      <c r="H4057" t="s">
        <v>86</v>
      </c>
      <c r="I4057">
        <v>4</v>
      </c>
      <c r="J4057" t="s">
        <v>75</v>
      </c>
    </row>
    <row r="4058" spans="1:10" x14ac:dyDescent="0.25">
      <c r="A4058" t="s">
        <v>7354</v>
      </c>
      <c r="B4058">
        <f>159463.854905226*(1/100/100)</f>
        <v>15.946385490522601</v>
      </c>
      <c r="C4058">
        <v>46025</v>
      </c>
      <c r="D4058" t="s">
        <v>1194</v>
      </c>
      <c r="E4058">
        <v>41220</v>
      </c>
      <c r="F4058" t="s">
        <v>1194</v>
      </c>
      <c r="G4058">
        <v>412</v>
      </c>
      <c r="H4058" t="s">
        <v>86</v>
      </c>
      <c r="I4058">
        <v>4</v>
      </c>
      <c r="J4058" t="s">
        <v>75</v>
      </c>
    </row>
    <row r="4059" spans="1:10" x14ac:dyDescent="0.25">
      <c r="A4059" t="s">
        <v>7354</v>
      </c>
      <c r="B4059">
        <f>31632.0028476736*(1/100/100)</f>
        <v>3.1632002847673601</v>
      </c>
      <c r="C4059">
        <v>46026</v>
      </c>
      <c r="D4059" t="s">
        <v>5543</v>
      </c>
      <c r="E4059">
        <v>41212</v>
      </c>
      <c r="F4059" t="s">
        <v>1186</v>
      </c>
      <c r="G4059">
        <v>412</v>
      </c>
      <c r="H4059" t="s">
        <v>86</v>
      </c>
      <c r="I4059">
        <v>4</v>
      </c>
      <c r="J4059" t="s">
        <v>75</v>
      </c>
    </row>
    <row r="4060" spans="1:10" x14ac:dyDescent="0.25">
      <c r="A4060" t="s">
        <v>7354</v>
      </c>
      <c r="B4060">
        <f>97270.0125897286*(1/100/100)</f>
        <v>9.7270012589728605</v>
      </c>
      <c r="C4060">
        <v>46027</v>
      </c>
      <c r="D4060" t="s">
        <v>1198</v>
      </c>
      <c r="E4060">
        <v>41224</v>
      </c>
      <c r="F4060" t="s">
        <v>1198</v>
      </c>
      <c r="G4060">
        <v>412</v>
      </c>
      <c r="H4060" t="s">
        <v>86</v>
      </c>
      <c r="I4060">
        <v>4</v>
      </c>
      <c r="J4060" t="s">
        <v>75</v>
      </c>
    </row>
    <row r="4061" spans="1:10" x14ac:dyDescent="0.25">
      <c r="A4061" t="s">
        <v>7354</v>
      </c>
      <c r="B4061">
        <f>85950.5445657474*(1/100/100)</f>
        <v>8.5950544565747418</v>
      </c>
      <c r="C4061">
        <v>46028</v>
      </c>
      <c r="D4061" t="s">
        <v>5560</v>
      </c>
      <c r="E4061">
        <v>41226</v>
      </c>
      <c r="F4061" t="s">
        <v>5560</v>
      </c>
      <c r="G4061">
        <v>412</v>
      </c>
      <c r="H4061" t="s">
        <v>86</v>
      </c>
      <c r="I4061">
        <v>4</v>
      </c>
      <c r="J4061" t="s">
        <v>75</v>
      </c>
    </row>
    <row r="4062" spans="1:10" x14ac:dyDescent="0.25">
      <c r="A4062" t="s">
        <v>7354</v>
      </c>
      <c r="B4062">
        <f>246878.279583469*(1/100/100)</f>
        <v>24.687827958346901</v>
      </c>
      <c r="C4062">
        <v>46029</v>
      </c>
      <c r="D4062" t="s">
        <v>5564</v>
      </c>
      <c r="E4062">
        <v>41228</v>
      </c>
      <c r="F4062" t="s">
        <v>5565</v>
      </c>
      <c r="G4062">
        <v>412</v>
      </c>
      <c r="H4062" t="s">
        <v>86</v>
      </c>
      <c r="I4062">
        <v>4</v>
      </c>
      <c r="J4062" t="s">
        <v>75</v>
      </c>
    </row>
    <row r="4063" spans="1:10" x14ac:dyDescent="0.25">
      <c r="A4063" t="s">
        <v>7354</v>
      </c>
      <c r="B4063">
        <f>53355.1273744567*(1/100/100)</f>
        <v>5.3355127374456703</v>
      </c>
      <c r="C4063">
        <v>46030</v>
      </c>
      <c r="D4063" t="s">
        <v>5566</v>
      </c>
      <c r="E4063">
        <v>41228</v>
      </c>
      <c r="F4063" t="s">
        <v>5565</v>
      </c>
      <c r="G4063">
        <v>412</v>
      </c>
      <c r="H4063" t="s">
        <v>86</v>
      </c>
      <c r="I4063">
        <v>4</v>
      </c>
      <c r="J4063" t="s">
        <v>75</v>
      </c>
    </row>
    <row r="4064" spans="1:10" x14ac:dyDescent="0.25">
      <c r="A4064" t="s">
        <v>7354</v>
      </c>
      <c r="B4064">
        <f>27482.6791025574*(1/100/100)</f>
        <v>2.7482679102557399</v>
      </c>
      <c r="C4064">
        <v>46031</v>
      </c>
      <c r="D4064" t="s">
        <v>5558</v>
      </c>
      <c r="E4064">
        <v>41224</v>
      </c>
      <c r="F4064" t="s">
        <v>1198</v>
      </c>
      <c r="G4064">
        <v>412</v>
      </c>
      <c r="H4064" t="s">
        <v>86</v>
      </c>
      <c r="I4064">
        <v>4</v>
      </c>
      <c r="J4064" t="s">
        <v>75</v>
      </c>
    </row>
    <row r="4065" spans="1:10" x14ac:dyDescent="0.25">
      <c r="A4065" t="s">
        <v>7354</v>
      </c>
      <c r="B4065">
        <f>23067.7204909467*(1/100/100)</f>
        <v>2.3067720490946702</v>
      </c>
      <c r="C4065">
        <v>46032</v>
      </c>
      <c r="D4065" t="s">
        <v>5578</v>
      </c>
      <c r="E4065">
        <v>41233</v>
      </c>
      <c r="F4065" t="s">
        <v>1204</v>
      </c>
      <c r="G4065">
        <v>412</v>
      </c>
      <c r="H4065" t="s">
        <v>86</v>
      </c>
      <c r="I4065">
        <v>4</v>
      </c>
      <c r="J4065" t="s">
        <v>75</v>
      </c>
    </row>
    <row r="4066" spans="1:10" x14ac:dyDescent="0.25">
      <c r="A4066" t="s">
        <v>7354</v>
      </c>
      <c r="B4066">
        <f>83579.9378654172*(1/100/100)</f>
        <v>8.3579937865417211</v>
      </c>
      <c r="C4066">
        <v>46033</v>
      </c>
      <c r="D4066" t="s">
        <v>1204</v>
      </c>
      <c r="E4066">
        <v>41233</v>
      </c>
      <c r="F4066" t="s">
        <v>1204</v>
      </c>
      <c r="G4066">
        <v>412</v>
      </c>
      <c r="H4066" t="s">
        <v>86</v>
      </c>
      <c r="I4066">
        <v>4</v>
      </c>
      <c r="J4066" t="s">
        <v>75</v>
      </c>
    </row>
    <row r="4067" spans="1:10" x14ac:dyDescent="0.25">
      <c r="A4067" t="s">
        <v>7354</v>
      </c>
      <c r="B4067">
        <f>81113.7297899342*(1/100/100)</f>
        <v>8.111372978993419</v>
      </c>
      <c r="C4067">
        <v>46034</v>
      </c>
      <c r="D4067" t="s">
        <v>5585</v>
      </c>
      <c r="E4067">
        <v>41235</v>
      </c>
      <c r="F4067" t="s">
        <v>1206</v>
      </c>
      <c r="G4067">
        <v>412</v>
      </c>
      <c r="H4067" t="s">
        <v>86</v>
      </c>
      <c r="I4067">
        <v>4</v>
      </c>
      <c r="J4067" t="s">
        <v>75</v>
      </c>
    </row>
    <row r="4068" spans="1:10" x14ac:dyDescent="0.25">
      <c r="A4068" t="s">
        <v>7354</v>
      </c>
      <c r="B4068">
        <f>30764.6975732708*(1/100/100)</f>
        <v>3.0764697573270805</v>
      </c>
      <c r="C4068">
        <v>46035</v>
      </c>
      <c r="D4068" t="s">
        <v>5579</v>
      </c>
      <c r="E4068">
        <v>41233</v>
      </c>
      <c r="F4068" t="s">
        <v>1204</v>
      </c>
      <c r="G4068">
        <v>412</v>
      </c>
      <c r="H4068" t="s">
        <v>86</v>
      </c>
      <c r="I4068">
        <v>4</v>
      </c>
      <c r="J4068" t="s">
        <v>75</v>
      </c>
    </row>
    <row r="4069" spans="1:10" x14ac:dyDescent="0.25">
      <c r="A4069" t="s">
        <v>7354</v>
      </c>
      <c r="B4069">
        <f>41332.5487618916*(1/100/100)</f>
        <v>4.1332548761891603</v>
      </c>
      <c r="C4069">
        <v>46101</v>
      </c>
      <c r="D4069" t="s">
        <v>5526</v>
      </c>
      <c r="E4069">
        <v>41201</v>
      </c>
      <c r="F4069" t="s">
        <v>1175</v>
      </c>
      <c r="G4069">
        <v>412</v>
      </c>
      <c r="H4069" t="s">
        <v>86</v>
      </c>
      <c r="I4069">
        <v>4</v>
      </c>
      <c r="J4069" t="s">
        <v>75</v>
      </c>
    </row>
    <row r="4070" spans="1:10" x14ac:dyDescent="0.25">
      <c r="A4070" t="s">
        <v>7354</v>
      </c>
      <c r="B4070">
        <f>40038.7657273092*(1/100/100)</f>
        <v>4.0038765727309196</v>
      </c>
      <c r="C4070">
        <v>46102</v>
      </c>
      <c r="D4070" t="s">
        <v>5567</v>
      </c>
      <c r="E4070">
        <v>41231</v>
      </c>
      <c r="F4070" t="s">
        <v>1202</v>
      </c>
      <c r="G4070">
        <v>412</v>
      </c>
      <c r="H4070" t="s">
        <v>86</v>
      </c>
      <c r="I4070">
        <v>4</v>
      </c>
      <c r="J4070" t="s">
        <v>75</v>
      </c>
    </row>
    <row r="4071" spans="1:10" x14ac:dyDescent="0.25">
      <c r="A4071" t="s">
        <v>7354</v>
      </c>
      <c r="B4071">
        <f>64719.540907981*(1/100/100)</f>
        <v>6.4719540907980999</v>
      </c>
      <c r="C4071">
        <v>46103</v>
      </c>
      <c r="D4071" t="s">
        <v>3961</v>
      </c>
      <c r="E4071">
        <v>41214</v>
      </c>
      <c r="F4071" t="s">
        <v>1188</v>
      </c>
      <c r="G4071">
        <v>412</v>
      </c>
      <c r="H4071" t="s">
        <v>86</v>
      </c>
      <c r="I4071">
        <v>4</v>
      </c>
      <c r="J4071" t="s">
        <v>75</v>
      </c>
    </row>
    <row r="4072" spans="1:10" x14ac:dyDescent="0.25">
      <c r="A4072" t="s">
        <v>7354</v>
      </c>
      <c r="B4072">
        <f>68301.7538969743*(1/100/100)</f>
        <v>6.8301753896974304</v>
      </c>
      <c r="C4072">
        <v>46104</v>
      </c>
      <c r="D4072" t="s">
        <v>1177</v>
      </c>
      <c r="E4072">
        <v>41203</v>
      </c>
      <c r="F4072" t="s">
        <v>1177</v>
      </c>
      <c r="G4072">
        <v>412</v>
      </c>
      <c r="H4072" t="s">
        <v>86</v>
      </c>
      <c r="I4072">
        <v>4</v>
      </c>
      <c r="J4072" t="s">
        <v>75</v>
      </c>
    </row>
    <row r="4073" spans="1:10" x14ac:dyDescent="0.25">
      <c r="A4073" t="s">
        <v>7354</v>
      </c>
      <c r="B4073">
        <f>18017.2474491921*(1/100/100)</f>
        <v>1.80172474491921</v>
      </c>
      <c r="C4073">
        <v>46105</v>
      </c>
      <c r="D4073" t="s">
        <v>5568</v>
      </c>
      <c r="E4073">
        <v>41231</v>
      </c>
      <c r="F4073" t="s">
        <v>1202</v>
      </c>
      <c r="G4073">
        <v>412</v>
      </c>
      <c r="H4073" t="s">
        <v>86</v>
      </c>
      <c r="I4073">
        <v>4</v>
      </c>
      <c r="J4073" t="s">
        <v>75</v>
      </c>
    </row>
    <row r="4074" spans="1:10" x14ac:dyDescent="0.25">
      <c r="A4074" t="s">
        <v>7354</v>
      </c>
      <c r="B4074">
        <f>102559.416549913*(1/100/100)</f>
        <v>10.2559416549913</v>
      </c>
      <c r="C4074">
        <v>46106</v>
      </c>
      <c r="D4074" t="s">
        <v>5569</v>
      </c>
      <c r="E4074">
        <v>41231</v>
      </c>
      <c r="F4074" t="s">
        <v>1202</v>
      </c>
      <c r="G4074">
        <v>412</v>
      </c>
      <c r="H4074" t="s">
        <v>86</v>
      </c>
      <c r="I4074">
        <v>4</v>
      </c>
      <c r="J4074" t="s">
        <v>75</v>
      </c>
    </row>
    <row r="4075" spans="1:10" x14ac:dyDescent="0.25">
      <c r="A4075" t="s">
        <v>7354</v>
      </c>
      <c r="B4075">
        <f>20218.3138948581*(1/100/100)</f>
        <v>2.02183138948581</v>
      </c>
      <c r="C4075">
        <v>46107</v>
      </c>
      <c r="D4075" t="s">
        <v>5555</v>
      </c>
      <c r="E4075">
        <v>41222</v>
      </c>
      <c r="F4075" t="s">
        <v>1196</v>
      </c>
      <c r="G4075">
        <v>412</v>
      </c>
      <c r="H4075" t="s">
        <v>86</v>
      </c>
      <c r="I4075">
        <v>4</v>
      </c>
      <c r="J4075" t="s">
        <v>75</v>
      </c>
    </row>
    <row r="4076" spans="1:10" x14ac:dyDescent="0.25">
      <c r="A4076" t="s">
        <v>7354</v>
      </c>
      <c r="B4076">
        <f>101845.462648901*(1/100/100)</f>
        <v>10.1845462648901</v>
      </c>
      <c r="C4076">
        <v>46108</v>
      </c>
      <c r="D4076" t="s">
        <v>1178</v>
      </c>
      <c r="E4076">
        <v>41204</v>
      </c>
      <c r="F4076" t="s">
        <v>1178</v>
      </c>
      <c r="G4076">
        <v>412</v>
      </c>
      <c r="H4076" t="s">
        <v>86</v>
      </c>
      <c r="I4076">
        <v>4</v>
      </c>
      <c r="J4076" t="s">
        <v>75</v>
      </c>
    </row>
    <row r="4077" spans="1:10" x14ac:dyDescent="0.25">
      <c r="A4077" t="s">
        <v>7354</v>
      </c>
      <c r="B4077">
        <f>82290.3785724208*(1/100/100)</f>
        <v>8.2290378572420799</v>
      </c>
      <c r="C4077">
        <v>46109</v>
      </c>
      <c r="D4077" t="s">
        <v>1179</v>
      </c>
      <c r="E4077">
        <v>41205</v>
      </c>
      <c r="F4077" t="s">
        <v>1179</v>
      </c>
      <c r="G4077">
        <v>412</v>
      </c>
      <c r="H4077" t="s">
        <v>86</v>
      </c>
      <c r="I4077">
        <v>4</v>
      </c>
      <c r="J4077" t="s">
        <v>75</v>
      </c>
    </row>
    <row r="4078" spans="1:10" x14ac:dyDescent="0.25">
      <c r="A4078" t="s">
        <v>7354</v>
      </c>
      <c r="B4078">
        <f>69989.2596610001*(1/100/100)</f>
        <v>6.9989259661000105</v>
      </c>
      <c r="C4078">
        <v>46110</v>
      </c>
      <c r="D4078" t="s">
        <v>5535</v>
      </c>
      <c r="E4078">
        <v>41209</v>
      </c>
      <c r="F4078" t="s">
        <v>1183</v>
      </c>
      <c r="G4078">
        <v>412</v>
      </c>
      <c r="H4078" t="s">
        <v>86</v>
      </c>
      <c r="I4078">
        <v>4</v>
      </c>
      <c r="J4078" t="s">
        <v>75</v>
      </c>
    </row>
    <row r="4079" spans="1:10" x14ac:dyDescent="0.25">
      <c r="A4079" t="s">
        <v>7354</v>
      </c>
      <c r="B4079">
        <f>79688.0829181597*(1/100/100)</f>
        <v>7.9688082918159697</v>
      </c>
      <c r="C4079">
        <v>46111</v>
      </c>
      <c r="D4079" t="s">
        <v>2184</v>
      </c>
      <c r="E4079">
        <v>41203</v>
      </c>
      <c r="F4079" t="s">
        <v>1177</v>
      </c>
      <c r="G4079">
        <v>412</v>
      </c>
      <c r="H4079" t="s">
        <v>86</v>
      </c>
      <c r="I4079">
        <v>4</v>
      </c>
      <c r="J4079" t="s">
        <v>75</v>
      </c>
    </row>
    <row r="4080" spans="1:10" x14ac:dyDescent="0.25">
      <c r="A4080" t="s">
        <v>7354</v>
      </c>
      <c r="B4080">
        <f>25411.5151959904*(1/100/100)</f>
        <v>2.54115151959904</v>
      </c>
      <c r="C4080">
        <v>46112</v>
      </c>
      <c r="D4080" t="s">
        <v>5527</v>
      </c>
      <c r="E4080">
        <v>41201</v>
      </c>
      <c r="F4080" t="s">
        <v>1175</v>
      </c>
      <c r="G4080">
        <v>412</v>
      </c>
      <c r="H4080" t="s">
        <v>86</v>
      </c>
      <c r="I4080">
        <v>4</v>
      </c>
      <c r="J4080" t="s">
        <v>75</v>
      </c>
    </row>
    <row r="4081" spans="1:10" x14ac:dyDescent="0.25">
      <c r="A4081" t="s">
        <v>7354</v>
      </c>
      <c r="B4081">
        <f>68793.3399284769*(1/100/100)</f>
        <v>6.8793339928476902</v>
      </c>
      <c r="C4081">
        <v>46113</v>
      </c>
      <c r="D4081" t="s">
        <v>1180</v>
      </c>
      <c r="E4081">
        <v>41206</v>
      </c>
      <c r="F4081" t="s">
        <v>1180</v>
      </c>
      <c r="G4081">
        <v>412</v>
      </c>
      <c r="H4081" t="s">
        <v>86</v>
      </c>
      <c r="I4081">
        <v>4</v>
      </c>
      <c r="J4081" t="s">
        <v>75</v>
      </c>
    </row>
    <row r="4082" spans="1:10" x14ac:dyDescent="0.25">
      <c r="A4082" t="s">
        <v>7354</v>
      </c>
      <c r="B4082">
        <f>74653.0492891979*(1/100/100)</f>
        <v>7.4653049289197897</v>
      </c>
      <c r="C4082">
        <v>46114</v>
      </c>
      <c r="D4082" t="s">
        <v>5580</v>
      </c>
      <c r="E4082">
        <v>41234</v>
      </c>
      <c r="F4082" t="s">
        <v>1205</v>
      </c>
      <c r="G4082">
        <v>412</v>
      </c>
      <c r="H4082" t="s">
        <v>86</v>
      </c>
      <c r="I4082">
        <v>4</v>
      </c>
      <c r="J4082" t="s">
        <v>75</v>
      </c>
    </row>
    <row r="4083" spans="1:10" x14ac:dyDescent="0.25">
      <c r="A4083" t="s">
        <v>7354</v>
      </c>
      <c r="B4083">
        <f>128978.668388176*(1/100/100)</f>
        <v>12.897866838817601</v>
      </c>
      <c r="C4083">
        <v>46115</v>
      </c>
      <c r="D4083" t="s">
        <v>5553</v>
      </c>
      <c r="E4083">
        <v>41218</v>
      </c>
      <c r="F4083" t="s">
        <v>1192</v>
      </c>
      <c r="G4083">
        <v>412</v>
      </c>
      <c r="H4083" t="s">
        <v>86</v>
      </c>
      <c r="I4083">
        <v>4</v>
      </c>
      <c r="J4083" t="s">
        <v>75</v>
      </c>
    </row>
    <row r="4084" spans="1:10" x14ac:dyDescent="0.25">
      <c r="A4084" t="s">
        <v>7354</v>
      </c>
      <c r="B4084">
        <f>80533.1235942625*(1/100/100)</f>
        <v>8.0533123594262506</v>
      </c>
      <c r="C4084">
        <v>46116</v>
      </c>
      <c r="D4084" t="s">
        <v>5536</v>
      </c>
      <c r="E4084">
        <v>41209</v>
      </c>
      <c r="F4084" t="s">
        <v>1183</v>
      </c>
      <c r="G4084">
        <v>412</v>
      </c>
      <c r="H4084" t="s">
        <v>86</v>
      </c>
      <c r="I4084">
        <v>4</v>
      </c>
      <c r="J4084" t="s">
        <v>75</v>
      </c>
    </row>
    <row r="4085" spans="1:10" x14ac:dyDescent="0.25">
      <c r="A4085" t="s">
        <v>7354</v>
      </c>
      <c r="B4085">
        <f>36221.4176215668*(1/100/100)</f>
        <v>3.62214176215668</v>
      </c>
      <c r="C4085">
        <v>46117</v>
      </c>
      <c r="D4085" t="s">
        <v>5561</v>
      </c>
      <c r="E4085">
        <v>41227</v>
      </c>
      <c r="F4085" t="s">
        <v>5562</v>
      </c>
      <c r="G4085">
        <v>412</v>
      </c>
      <c r="H4085" t="s">
        <v>86</v>
      </c>
      <c r="I4085">
        <v>4</v>
      </c>
      <c r="J4085" t="s">
        <v>75</v>
      </c>
    </row>
    <row r="4086" spans="1:10" x14ac:dyDescent="0.25">
      <c r="A4086" t="s">
        <v>7354</v>
      </c>
      <c r="B4086">
        <f>131333.548465788*(1/100/100)</f>
        <v>13.133354846578799</v>
      </c>
      <c r="C4086">
        <v>46118</v>
      </c>
      <c r="D4086" t="s">
        <v>5549</v>
      </c>
      <c r="E4086">
        <v>41215</v>
      </c>
      <c r="F4086" t="s">
        <v>1189</v>
      </c>
      <c r="G4086">
        <v>412</v>
      </c>
      <c r="H4086" t="s">
        <v>86</v>
      </c>
      <c r="I4086">
        <v>4</v>
      </c>
      <c r="J4086" t="s">
        <v>75</v>
      </c>
    </row>
    <row r="4087" spans="1:10" x14ac:dyDescent="0.25">
      <c r="A4087" t="s">
        <v>7354</v>
      </c>
      <c r="B4087">
        <f>121183.704750213*(1/100/100)</f>
        <v>12.118370475021301</v>
      </c>
      <c r="C4087">
        <v>46119</v>
      </c>
      <c r="D4087" t="s">
        <v>5544</v>
      </c>
      <c r="E4087">
        <v>41213</v>
      </c>
      <c r="F4087" t="s">
        <v>1187</v>
      </c>
      <c r="G4087">
        <v>412</v>
      </c>
      <c r="H4087" t="s">
        <v>86</v>
      </c>
      <c r="I4087">
        <v>4</v>
      </c>
      <c r="J4087" t="s">
        <v>75</v>
      </c>
    </row>
    <row r="4088" spans="1:10" x14ac:dyDescent="0.25">
      <c r="A4088" t="s">
        <v>7354</v>
      </c>
      <c r="B4088">
        <f>59023.8968663153*(1/100/100)</f>
        <v>5.9023896866315306</v>
      </c>
      <c r="C4088">
        <v>46120</v>
      </c>
      <c r="D4088" t="s">
        <v>5581</v>
      </c>
      <c r="E4088">
        <v>41234</v>
      </c>
      <c r="F4088" t="s">
        <v>1205</v>
      </c>
      <c r="G4088">
        <v>412</v>
      </c>
      <c r="H4088" t="s">
        <v>86</v>
      </c>
      <c r="I4088">
        <v>4</v>
      </c>
      <c r="J4088" t="s">
        <v>75</v>
      </c>
    </row>
    <row r="4089" spans="1:10" x14ac:dyDescent="0.25">
      <c r="A4089" t="s">
        <v>7354</v>
      </c>
      <c r="B4089">
        <f>51572.1341762931*(1/100/100)</f>
        <v>5.1572134176293103</v>
      </c>
      <c r="C4089">
        <v>46121</v>
      </c>
      <c r="D4089" t="s">
        <v>5582</v>
      </c>
      <c r="E4089">
        <v>41234</v>
      </c>
      <c r="F4089" t="s">
        <v>1205</v>
      </c>
      <c r="G4089">
        <v>412</v>
      </c>
      <c r="H4089" t="s">
        <v>86</v>
      </c>
      <c r="I4089">
        <v>4</v>
      </c>
      <c r="J4089" t="s">
        <v>75</v>
      </c>
    </row>
    <row r="4090" spans="1:10" x14ac:dyDescent="0.25">
      <c r="A4090" t="s">
        <v>7354</v>
      </c>
      <c r="B4090">
        <f>53884.1429144753*(1/100/100)</f>
        <v>5.3884142914475301</v>
      </c>
      <c r="C4090">
        <v>46122</v>
      </c>
      <c r="D4090" t="s">
        <v>5557</v>
      </c>
      <c r="E4090">
        <v>41223</v>
      </c>
      <c r="F4090" t="s">
        <v>1197</v>
      </c>
      <c r="G4090">
        <v>412</v>
      </c>
      <c r="H4090" t="s">
        <v>86</v>
      </c>
      <c r="I4090">
        <v>4</v>
      </c>
      <c r="J4090" t="s">
        <v>75</v>
      </c>
    </row>
    <row r="4091" spans="1:10" x14ac:dyDescent="0.25">
      <c r="A4091" t="s">
        <v>7354</v>
      </c>
      <c r="B4091">
        <f>39818.4738225282*(1/100/100)</f>
        <v>3.9818473822528202</v>
      </c>
      <c r="C4091">
        <v>46123</v>
      </c>
      <c r="D4091" t="s">
        <v>5537</v>
      </c>
      <c r="E4091">
        <v>41209</v>
      </c>
      <c r="F4091" t="s">
        <v>1183</v>
      </c>
      <c r="G4091">
        <v>412</v>
      </c>
      <c r="H4091" t="s">
        <v>86</v>
      </c>
      <c r="I4091">
        <v>4</v>
      </c>
      <c r="J4091" t="s">
        <v>75</v>
      </c>
    </row>
    <row r="4092" spans="1:10" x14ac:dyDescent="0.25">
      <c r="A4092" t="s">
        <v>7354</v>
      </c>
      <c r="B4092">
        <f>85004.352968064*(1/100/100)</f>
        <v>8.5004352968064012</v>
      </c>
      <c r="C4092">
        <v>46124</v>
      </c>
      <c r="D4092" t="s">
        <v>1183</v>
      </c>
      <c r="E4092">
        <v>41209</v>
      </c>
      <c r="F4092" t="s">
        <v>1183</v>
      </c>
      <c r="G4092">
        <v>412</v>
      </c>
      <c r="H4092" t="s">
        <v>86</v>
      </c>
      <c r="I4092">
        <v>4</v>
      </c>
      <c r="J4092" t="s">
        <v>75</v>
      </c>
    </row>
    <row r="4093" spans="1:10" x14ac:dyDescent="0.25">
      <c r="A4093" t="s">
        <v>7354</v>
      </c>
      <c r="B4093">
        <f>25220.8373768563*(1/100/100)</f>
        <v>2.5220837376856302</v>
      </c>
      <c r="C4093">
        <v>46125</v>
      </c>
      <c r="D4093" t="s">
        <v>4082</v>
      </c>
      <c r="E4093">
        <v>41215</v>
      </c>
      <c r="F4093" t="s">
        <v>1189</v>
      </c>
      <c r="G4093">
        <v>412</v>
      </c>
      <c r="H4093" t="s">
        <v>86</v>
      </c>
      <c r="I4093">
        <v>4</v>
      </c>
      <c r="J4093" t="s">
        <v>75</v>
      </c>
    </row>
    <row r="4094" spans="1:10" x14ac:dyDescent="0.25">
      <c r="A4094" t="s">
        <v>7354</v>
      </c>
      <c r="B4094">
        <f>35902.8076735639*(1/100/100)</f>
        <v>3.5902807673563899</v>
      </c>
      <c r="C4094">
        <v>46126</v>
      </c>
      <c r="D4094" t="s">
        <v>5570</v>
      </c>
      <c r="E4094">
        <v>41231</v>
      </c>
      <c r="F4094" t="s">
        <v>1202</v>
      </c>
      <c r="G4094">
        <v>412</v>
      </c>
      <c r="H4094" t="s">
        <v>86</v>
      </c>
      <c r="I4094">
        <v>4</v>
      </c>
      <c r="J4094" t="s">
        <v>75</v>
      </c>
    </row>
    <row r="4095" spans="1:10" x14ac:dyDescent="0.25">
      <c r="A4095" t="s">
        <v>7354</v>
      </c>
      <c r="B4095">
        <f>26410.7559830022*(1/100/100)</f>
        <v>2.6410755983002203</v>
      </c>
      <c r="C4095">
        <v>46127</v>
      </c>
      <c r="D4095" t="s">
        <v>2496</v>
      </c>
      <c r="E4095">
        <v>41205</v>
      </c>
      <c r="F4095" t="s">
        <v>1179</v>
      </c>
      <c r="G4095">
        <v>412</v>
      </c>
      <c r="H4095" t="s">
        <v>86</v>
      </c>
      <c r="I4095">
        <v>4</v>
      </c>
      <c r="J4095" t="s">
        <v>75</v>
      </c>
    </row>
    <row r="4096" spans="1:10" x14ac:dyDescent="0.25">
      <c r="A4096" t="s">
        <v>7354</v>
      </c>
      <c r="B4096">
        <f>128178.256359519*(1/100/100)</f>
        <v>12.8178256359519</v>
      </c>
      <c r="C4096">
        <v>46128</v>
      </c>
      <c r="D4096" t="s">
        <v>1185</v>
      </c>
      <c r="E4096">
        <v>41211</v>
      </c>
      <c r="F4096" t="s">
        <v>1185</v>
      </c>
      <c r="G4096">
        <v>412</v>
      </c>
      <c r="H4096" t="s">
        <v>86</v>
      </c>
      <c r="I4096">
        <v>4</v>
      </c>
      <c r="J4096" t="s">
        <v>75</v>
      </c>
    </row>
    <row r="4097" spans="1:10" x14ac:dyDescent="0.25">
      <c r="A4097" t="s">
        <v>7354</v>
      </c>
      <c r="B4097">
        <f>39574.9737461027*(1/100/100)</f>
        <v>3.9574973746102704</v>
      </c>
      <c r="C4097">
        <v>46129</v>
      </c>
      <c r="D4097" t="s">
        <v>4419</v>
      </c>
      <c r="E4097">
        <v>41204</v>
      </c>
      <c r="F4097" t="s">
        <v>1178</v>
      </c>
      <c r="G4097">
        <v>412</v>
      </c>
      <c r="H4097" t="s">
        <v>86</v>
      </c>
      <c r="I4097">
        <v>4</v>
      </c>
      <c r="J4097" t="s">
        <v>75</v>
      </c>
    </row>
    <row r="4098" spans="1:10" x14ac:dyDescent="0.25">
      <c r="A4098" t="s">
        <v>7354</v>
      </c>
      <c r="B4098">
        <f>32006.4280229931*(1/100/100)</f>
        <v>3.2006428022993099</v>
      </c>
      <c r="C4098">
        <v>46130</v>
      </c>
      <c r="D4098" t="s">
        <v>5571</v>
      </c>
      <c r="E4098">
        <v>41231</v>
      </c>
      <c r="F4098" t="s">
        <v>1202</v>
      </c>
      <c r="G4098">
        <v>412</v>
      </c>
      <c r="H4098" t="s">
        <v>86</v>
      </c>
      <c r="I4098">
        <v>4</v>
      </c>
      <c r="J4098" t="s">
        <v>75</v>
      </c>
    </row>
    <row r="4099" spans="1:10" x14ac:dyDescent="0.25">
      <c r="A4099" t="s">
        <v>7354</v>
      </c>
      <c r="B4099">
        <f>74313.0086836383*(1/100/100)</f>
        <v>7.43130086836383</v>
      </c>
      <c r="C4099">
        <v>46131</v>
      </c>
      <c r="D4099" t="s">
        <v>5545</v>
      </c>
      <c r="E4099">
        <v>41213</v>
      </c>
      <c r="F4099" t="s">
        <v>1187</v>
      </c>
      <c r="G4099">
        <v>412</v>
      </c>
      <c r="H4099" t="s">
        <v>86</v>
      </c>
      <c r="I4099">
        <v>4</v>
      </c>
      <c r="J4099" t="s">
        <v>75</v>
      </c>
    </row>
    <row r="4100" spans="1:10" x14ac:dyDescent="0.25">
      <c r="A4100" t="s">
        <v>7354</v>
      </c>
      <c r="B4100">
        <f>74114.6350218923*(1/100/100)</f>
        <v>7.411463502189231</v>
      </c>
      <c r="C4100">
        <v>46132</v>
      </c>
      <c r="D4100" t="s">
        <v>5530</v>
      </c>
      <c r="E4100">
        <v>41204</v>
      </c>
      <c r="F4100" t="s">
        <v>1178</v>
      </c>
      <c r="G4100">
        <v>412</v>
      </c>
      <c r="H4100" t="s">
        <v>86</v>
      </c>
      <c r="I4100">
        <v>4</v>
      </c>
      <c r="J4100" t="s">
        <v>75</v>
      </c>
    </row>
    <row r="4101" spans="1:10" x14ac:dyDescent="0.25">
      <c r="A4101" t="s">
        <v>7354</v>
      </c>
      <c r="B4101">
        <f>153638.178918995*(1/100/100)</f>
        <v>15.363817891899499</v>
      </c>
      <c r="C4101">
        <v>46133</v>
      </c>
      <c r="D4101" t="s">
        <v>5546</v>
      </c>
      <c r="E4101">
        <v>41213</v>
      </c>
      <c r="F4101" t="s">
        <v>1187</v>
      </c>
      <c r="G4101">
        <v>412</v>
      </c>
      <c r="H4101" t="s">
        <v>86</v>
      </c>
      <c r="I4101">
        <v>4</v>
      </c>
      <c r="J4101" t="s">
        <v>75</v>
      </c>
    </row>
    <row r="4102" spans="1:10" x14ac:dyDescent="0.25">
      <c r="A4102" t="s">
        <v>7354</v>
      </c>
      <c r="B4102">
        <f>89168.9489533613*(1/100/100)</f>
        <v>8.9168948953361298</v>
      </c>
      <c r="C4102">
        <v>46134</v>
      </c>
      <c r="D4102" t="s">
        <v>5182</v>
      </c>
      <c r="E4102">
        <v>41203</v>
      </c>
      <c r="F4102" t="s">
        <v>1177</v>
      </c>
      <c r="G4102">
        <v>412</v>
      </c>
      <c r="H4102" t="s">
        <v>86</v>
      </c>
      <c r="I4102">
        <v>4</v>
      </c>
      <c r="J4102" t="s">
        <v>75</v>
      </c>
    </row>
    <row r="4103" spans="1:10" x14ac:dyDescent="0.25">
      <c r="A4103" t="s">
        <v>7354</v>
      </c>
      <c r="B4103">
        <f>95453.8797677508*(1/100/100)</f>
        <v>9.5453879767750802</v>
      </c>
      <c r="C4103">
        <v>46135</v>
      </c>
      <c r="D4103" t="s">
        <v>1188</v>
      </c>
      <c r="E4103">
        <v>41214</v>
      </c>
      <c r="F4103" t="s">
        <v>1188</v>
      </c>
      <c r="G4103">
        <v>412</v>
      </c>
      <c r="H4103" t="s">
        <v>86</v>
      </c>
      <c r="I4103">
        <v>4</v>
      </c>
      <c r="J4103" t="s">
        <v>75</v>
      </c>
    </row>
    <row r="4104" spans="1:10" x14ac:dyDescent="0.25">
      <c r="A4104" t="s">
        <v>7354</v>
      </c>
      <c r="B4104">
        <f>161320.861986381*(1/100/100)</f>
        <v>16.132086198638103</v>
      </c>
      <c r="C4104">
        <v>46136</v>
      </c>
      <c r="D4104" t="s">
        <v>1189</v>
      </c>
      <c r="E4104">
        <v>41215</v>
      </c>
      <c r="F4104" t="s">
        <v>1189</v>
      </c>
      <c r="G4104">
        <v>412</v>
      </c>
      <c r="H4104" t="s">
        <v>86</v>
      </c>
      <c r="I4104">
        <v>4</v>
      </c>
      <c r="J4104" t="s">
        <v>75</v>
      </c>
    </row>
    <row r="4105" spans="1:10" x14ac:dyDescent="0.25">
      <c r="A4105" t="s">
        <v>7354</v>
      </c>
      <c r="B4105">
        <f>68094.8601008705*(1/100/100)</f>
        <v>6.80948601008705</v>
      </c>
      <c r="C4105">
        <v>46137</v>
      </c>
      <c r="D4105" t="s">
        <v>5531</v>
      </c>
      <c r="E4105">
        <v>41204</v>
      </c>
      <c r="F4105" t="s">
        <v>1178</v>
      </c>
      <c r="G4105">
        <v>412</v>
      </c>
      <c r="H4105" t="s">
        <v>86</v>
      </c>
      <c r="I4105">
        <v>4</v>
      </c>
      <c r="J4105" t="s">
        <v>75</v>
      </c>
    </row>
    <row r="4106" spans="1:10" x14ac:dyDescent="0.25">
      <c r="A4106" t="s">
        <v>7354</v>
      </c>
      <c r="B4106">
        <f>79140.7031615362*(1/100/100)</f>
        <v>7.9140703161536212</v>
      </c>
      <c r="C4106">
        <v>46138</v>
      </c>
      <c r="D4106" t="s">
        <v>5532</v>
      </c>
      <c r="E4106">
        <v>41204</v>
      </c>
      <c r="F4106" t="s">
        <v>1178</v>
      </c>
      <c r="G4106">
        <v>412</v>
      </c>
      <c r="H4106" t="s">
        <v>86</v>
      </c>
      <c r="I4106">
        <v>4</v>
      </c>
      <c r="J4106" t="s">
        <v>75</v>
      </c>
    </row>
    <row r="4107" spans="1:10" x14ac:dyDescent="0.25">
      <c r="A4107" t="s">
        <v>7354</v>
      </c>
      <c r="B4107">
        <f>151720.629001161*(1/100/100)</f>
        <v>15.172062900116101</v>
      </c>
      <c r="C4107">
        <v>46139</v>
      </c>
      <c r="D4107" t="s">
        <v>1192</v>
      </c>
      <c r="E4107">
        <v>41218</v>
      </c>
      <c r="F4107" t="s">
        <v>1192</v>
      </c>
      <c r="G4107">
        <v>412</v>
      </c>
      <c r="H4107" t="s">
        <v>86</v>
      </c>
      <c r="I4107">
        <v>4</v>
      </c>
      <c r="J4107" t="s">
        <v>75</v>
      </c>
    </row>
    <row r="4108" spans="1:10" x14ac:dyDescent="0.25">
      <c r="A4108" t="s">
        <v>7354</v>
      </c>
      <c r="B4108">
        <f>62026.857129071*(1/100/100)</f>
        <v>6.2026857129071002</v>
      </c>
      <c r="C4108">
        <v>46140</v>
      </c>
      <c r="D4108" t="s">
        <v>5550</v>
      </c>
      <c r="E4108">
        <v>41215</v>
      </c>
      <c r="F4108" t="s">
        <v>1189</v>
      </c>
      <c r="G4108">
        <v>412</v>
      </c>
      <c r="H4108" t="s">
        <v>86</v>
      </c>
      <c r="I4108">
        <v>4</v>
      </c>
      <c r="J4108" t="s">
        <v>75</v>
      </c>
    </row>
    <row r="4109" spans="1:10" x14ac:dyDescent="0.25">
      <c r="A4109" t="s">
        <v>7354</v>
      </c>
      <c r="B4109">
        <f>22933.37719742*(1/100/100)</f>
        <v>2.293337719742</v>
      </c>
      <c r="C4109">
        <v>46141</v>
      </c>
      <c r="D4109" t="s">
        <v>5554</v>
      </c>
      <c r="E4109">
        <v>41221</v>
      </c>
      <c r="F4109" t="s">
        <v>1195</v>
      </c>
      <c r="G4109">
        <v>412</v>
      </c>
      <c r="H4109" t="s">
        <v>86</v>
      </c>
      <c r="I4109">
        <v>4</v>
      </c>
      <c r="J4109" t="s">
        <v>75</v>
      </c>
    </row>
    <row r="4110" spans="1:10" x14ac:dyDescent="0.25">
      <c r="A4110" t="s">
        <v>7354</v>
      </c>
      <c r="B4110">
        <f>47189.3928786313*(1/100/100)</f>
        <v>4.7189392878631296</v>
      </c>
      <c r="C4110">
        <v>46142</v>
      </c>
      <c r="D4110" t="s">
        <v>5538</v>
      </c>
      <c r="E4110">
        <v>41209</v>
      </c>
      <c r="F4110" t="s">
        <v>1183</v>
      </c>
      <c r="G4110">
        <v>412</v>
      </c>
      <c r="H4110" t="s">
        <v>86</v>
      </c>
      <c r="I4110">
        <v>4</v>
      </c>
      <c r="J4110" t="s">
        <v>75</v>
      </c>
    </row>
    <row r="4111" spans="1:10" x14ac:dyDescent="0.25">
      <c r="A4111" t="s">
        <v>7354</v>
      </c>
      <c r="B4111">
        <f>94083.7582083681*(1/100/100)</f>
        <v>9.4083758208368113</v>
      </c>
      <c r="C4111">
        <v>46143</v>
      </c>
      <c r="D4111" t="s">
        <v>1195</v>
      </c>
      <c r="E4111">
        <v>41221</v>
      </c>
      <c r="F4111" t="s">
        <v>1195</v>
      </c>
      <c r="G4111">
        <v>412</v>
      </c>
      <c r="H4111" t="s">
        <v>86</v>
      </c>
      <c r="I4111">
        <v>4</v>
      </c>
      <c r="J4111" t="s">
        <v>75</v>
      </c>
    </row>
    <row r="4112" spans="1:10" x14ac:dyDescent="0.25">
      <c r="A4112" t="s">
        <v>7354</v>
      </c>
      <c r="B4112">
        <f>72754.388010538*(1/100/100)</f>
        <v>7.2754388010537996</v>
      </c>
      <c r="C4112">
        <v>46144</v>
      </c>
      <c r="D4112" t="s">
        <v>1196</v>
      </c>
      <c r="E4112">
        <v>41222</v>
      </c>
      <c r="F4112" t="s">
        <v>1196</v>
      </c>
      <c r="G4112">
        <v>412</v>
      </c>
      <c r="H4112" t="s">
        <v>86</v>
      </c>
      <c r="I4112">
        <v>4</v>
      </c>
      <c r="J4112" t="s">
        <v>75</v>
      </c>
    </row>
    <row r="4113" spans="1:10" x14ac:dyDescent="0.25">
      <c r="A4113" t="s">
        <v>7354</v>
      </c>
      <c r="B4113">
        <f>65092.2401580294*(1/100/100)</f>
        <v>6.5092240158029409</v>
      </c>
      <c r="C4113">
        <v>46145</v>
      </c>
      <c r="D4113" t="s">
        <v>1099</v>
      </c>
      <c r="E4113">
        <v>41201</v>
      </c>
      <c r="F4113" t="s">
        <v>1175</v>
      </c>
      <c r="G4113">
        <v>412</v>
      </c>
      <c r="H4113" t="s">
        <v>86</v>
      </c>
      <c r="I4113">
        <v>4</v>
      </c>
      <c r="J4113" t="s">
        <v>75</v>
      </c>
    </row>
    <row r="4114" spans="1:10" x14ac:dyDescent="0.25">
      <c r="A4114" t="s">
        <v>7354</v>
      </c>
      <c r="B4114">
        <f>107473.619936096*(1/100/100)</f>
        <v>10.747361993609601</v>
      </c>
      <c r="C4114">
        <v>46146</v>
      </c>
      <c r="D4114" t="s">
        <v>1197</v>
      </c>
      <c r="E4114">
        <v>41223</v>
      </c>
      <c r="F4114" t="s">
        <v>1197</v>
      </c>
      <c r="G4114">
        <v>412</v>
      </c>
      <c r="H4114" t="s">
        <v>86</v>
      </c>
      <c r="I4114">
        <v>4</v>
      </c>
      <c r="J4114" t="s">
        <v>75</v>
      </c>
    </row>
    <row r="4115" spans="1:10" x14ac:dyDescent="0.25">
      <c r="A4115" t="s">
        <v>7354</v>
      </c>
      <c r="B4115">
        <f>121341.799655026*(1/100/100)</f>
        <v>12.1341799655026</v>
      </c>
      <c r="C4115">
        <v>46147</v>
      </c>
      <c r="D4115" t="s">
        <v>5574</v>
      </c>
      <c r="E4115">
        <v>41232</v>
      </c>
      <c r="F4115" t="s">
        <v>1203</v>
      </c>
      <c r="G4115">
        <v>412</v>
      </c>
      <c r="H4115" t="s">
        <v>86</v>
      </c>
      <c r="I4115">
        <v>4</v>
      </c>
      <c r="J4115" t="s">
        <v>75</v>
      </c>
    </row>
    <row r="4116" spans="1:10" x14ac:dyDescent="0.25">
      <c r="A4116" t="s">
        <v>7354</v>
      </c>
      <c r="B4116">
        <f>57291.8687798149*(1/100/100)</f>
        <v>5.7291868779814896</v>
      </c>
      <c r="C4116">
        <v>46148</v>
      </c>
      <c r="D4116" t="s">
        <v>5547</v>
      </c>
      <c r="E4116">
        <v>41214</v>
      </c>
      <c r="F4116" t="s">
        <v>1188</v>
      </c>
      <c r="G4116">
        <v>412</v>
      </c>
      <c r="H4116" t="s">
        <v>86</v>
      </c>
      <c r="I4116">
        <v>4</v>
      </c>
      <c r="J4116" t="s">
        <v>75</v>
      </c>
    </row>
    <row r="4117" spans="1:10" x14ac:dyDescent="0.25">
      <c r="A4117" t="s">
        <v>7354</v>
      </c>
      <c r="B4117">
        <f>995892.210487316*(1/100/100)</f>
        <v>99.589221048731602</v>
      </c>
      <c r="C4117">
        <v>46149</v>
      </c>
      <c r="D4117" t="s">
        <v>1199</v>
      </c>
      <c r="E4117">
        <v>41225</v>
      </c>
      <c r="F4117" t="s">
        <v>1199</v>
      </c>
      <c r="G4117">
        <v>412</v>
      </c>
      <c r="H4117" t="s">
        <v>86</v>
      </c>
      <c r="I4117">
        <v>4</v>
      </c>
      <c r="J4117" t="s">
        <v>75</v>
      </c>
    </row>
    <row r="4118" spans="1:10" x14ac:dyDescent="0.25">
      <c r="A4118" t="s">
        <v>7354</v>
      </c>
      <c r="B4118">
        <f>44044.7375749346*(1/100/100)</f>
        <v>4.4044737574934603</v>
      </c>
      <c r="C4118">
        <v>46150</v>
      </c>
      <c r="D4118" t="s">
        <v>5548</v>
      </c>
      <c r="E4118">
        <v>41214</v>
      </c>
      <c r="F4118" t="s">
        <v>1188</v>
      </c>
      <c r="G4118">
        <v>412</v>
      </c>
      <c r="H4118" t="s">
        <v>86</v>
      </c>
      <c r="I4118">
        <v>4</v>
      </c>
      <c r="J4118" t="s">
        <v>75</v>
      </c>
    </row>
    <row r="4119" spans="1:10" x14ac:dyDescent="0.25">
      <c r="A4119" t="s">
        <v>7354</v>
      </c>
      <c r="B4119">
        <f>32880.4385607026*(1/100/100)</f>
        <v>3.2880438560702601</v>
      </c>
      <c r="C4119">
        <v>46151</v>
      </c>
      <c r="D4119" t="s">
        <v>2730</v>
      </c>
      <c r="E4119">
        <v>41229</v>
      </c>
      <c r="F4119" t="s">
        <v>1200</v>
      </c>
      <c r="G4119">
        <v>412</v>
      </c>
      <c r="H4119" t="s">
        <v>86</v>
      </c>
      <c r="I4119">
        <v>4</v>
      </c>
      <c r="J4119" t="s">
        <v>75</v>
      </c>
    </row>
    <row r="4120" spans="1:10" x14ac:dyDescent="0.25">
      <c r="A4120" t="s">
        <v>7354</v>
      </c>
      <c r="B4120">
        <f>65106.3718675352*(1/100/100)</f>
        <v>6.5106371867535202</v>
      </c>
      <c r="C4120">
        <v>46152</v>
      </c>
      <c r="D4120" t="s">
        <v>5562</v>
      </c>
      <c r="E4120">
        <v>41227</v>
      </c>
      <c r="F4120" t="s">
        <v>5562</v>
      </c>
      <c r="G4120">
        <v>412</v>
      </c>
      <c r="H4120" t="s">
        <v>86</v>
      </c>
      <c r="I4120">
        <v>4</v>
      </c>
      <c r="J4120" t="s">
        <v>75</v>
      </c>
    </row>
    <row r="4121" spans="1:10" x14ac:dyDescent="0.25">
      <c r="A4121" t="s">
        <v>7354</v>
      </c>
      <c r="B4121">
        <f>27707.5127652857*(1/100/100)</f>
        <v>2.77075127652857</v>
      </c>
      <c r="C4121">
        <v>46153</v>
      </c>
      <c r="D4121" t="s">
        <v>2451</v>
      </c>
      <c r="E4121">
        <v>41221</v>
      </c>
      <c r="F4121" t="s">
        <v>1195</v>
      </c>
      <c r="G4121">
        <v>412</v>
      </c>
      <c r="H4121" t="s">
        <v>86</v>
      </c>
      <c r="I4121">
        <v>4</v>
      </c>
      <c r="J4121" t="s">
        <v>75</v>
      </c>
    </row>
    <row r="4122" spans="1:10" x14ac:dyDescent="0.25">
      <c r="A4122" t="s">
        <v>7354</v>
      </c>
      <c r="B4122">
        <f>51790.0631142255*(1/100/100)</f>
        <v>5.1790063114225502</v>
      </c>
      <c r="C4122">
        <v>46154</v>
      </c>
      <c r="D4122" t="s">
        <v>5528</v>
      </c>
      <c r="E4122">
        <v>41203</v>
      </c>
      <c r="F4122" t="s">
        <v>1177</v>
      </c>
      <c r="G4122">
        <v>412</v>
      </c>
      <c r="H4122" t="s">
        <v>86</v>
      </c>
      <c r="I4122">
        <v>4</v>
      </c>
      <c r="J4122" t="s">
        <v>75</v>
      </c>
    </row>
    <row r="4123" spans="1:10" x14ac:dyDescent="0.25">
      <c r="A4123" t="s">
        <v>7354</v>
      </c>
      <c r="B4123">
        <f>134054.262401556*(1/100/100)</f>
        <v>13.405426240155602</v>
      </c>
      <c r="C4123">
        <v>46155</v>
      </c>
      <c r="D4123" t="s">
        <v>1200</v>
      </c>
      <c r="E4123">
        <v>41229</v>
      </c>
      <c r="F4123" t="s">
        <v>1200</v>
      </c>
      <c r="G4123">
        <v>412</v>
      </c>
      <c r="H4123" t="s">
        <v>86</v>
      </c>
      <c r="I4123">
        <v>4</v>
      </c>
      <c r="J4123" t="s">
        <v>75</v>
      </c>
    </row>
    <row r="4124" spans="1:10" x14ac:dyDescent="0.25">
      <c r="A4124" t="s">
        <v>7354</v>
      </c>
      <c r="B4124">
        <f>26946.3287713555*(1/100/100)</f>
        <v>2.6946328771355503</v>
      </c>
      <c r="C4124">
        <v>46156</v>
      </c>
      <c r="D4124" t="s">
        <v>5563</v>
      </c>
      <c r="E4124">
        <v>41227</v>
      </c>
      <c r="F4124" t="s">
        <v>5562</v>
      </c>
      <c r="G4124">
        <v>412</v>
      </c>
      <c r="H4124" t="s">
        <v>86</v>
      </c>
      <c r="I4124">
        <v>4</v>
      </c>
      <c r="J4124" t="s">
        <v>75</v>
      </c>
    </row>
    <row r="4125" spans="1:10" x14ac:dyDescent="0.25">
      <c r="A4125" t="s">
        <v>7354</v>
      </c>
      <c r="B4125">
        <f>81825.7227772056*(1/100/100)</f>
        <v>8.1825722777205616</v>
      </c>
      <c r="C4125">
        <v>46157</v>
      </c>
      <c r="D4125" t="s">
        <v>5575</v>
      </c>
      <c r="E4125">
        <v>41232</v>
      </c>
      <c r="F4125" t="s">
        <v>1203</v>
      </c>
      <c r="G4125">
        <v>412</v>
      </c>
      <c r="H4125" t="s">
        <v>86</v>
      </c>
      <c r="I4125">
        <v>4</v>
      </c>
      <c r="J4125" t="s">
        <v>75</v>
      </c>
    </row>
    <row r="4126" spans="1:10" x14ac:dyDescent="0.25">
      <c r="A4126" t="s">
        <v>7354</v>
      </c>
      <c r="B4126">
        <f>41118.2165541867*(1/100/100)</f>
        <v>4.1118216554186704</v>
      </c>
      <c r="C4126">
        <v>46158</v>
      </c>
      <c r="D4126" t="s">
        <v>5329</v>
      </c>
      <c r="E4126">
        <v>41214</v>
      </c>
      <c r="F4126" t="s">
        <v>1188</v>
      </c>
      <c r="G4126">
        <v>412</v>
      </c>
      <c r="H4126" t="s">
        <v>86</v>
      </c>
      <c r="I4126">
        <v>4</v>
      </c>
      <c r="J4126" t="s">
        <v>75</v>
      </c>
    </row>
    <row r="4127" spans="1:10" x14ac:dyDescent="0.25">
      <c r="A4127" t="s">
        <v>7354</v>
      </c>
      <c r="B4127">
        <f>104435.683601782*(1/100/100)</f>
        <v>10.443568360178201</v>
      </c>
      <c r="C4127">
        <v>46159</v>
      </c>
      <c r="D4127" t="s">
        <v>1202</v>
      </c>
      <c r="E4127">
        <v>41231</v>
      </c>
      <c r="F4127" t="s">
        <v>1202</v>
      </c>
      <c r="G4127">
        <v>412</v>
      </c>
      <c r="H4127" t="s">
        <v>86</v>
      </c>
      <c r="I4127">
        <v>4</v>
      </c>
      <c r="J4127" t="s">
        <v>75</v>
      </c>
    </row>
    <row r="4128" spans="1:10" x14ac:dyDescent="0.25">
      <c r="A4128" t="s">
        <v>7354</v>
      </c>
      <c r="B4128">
        <f>60929.2705968356*(1/100/100)</f>
        <v>6.0929270596835607</v>
      </c>
      <c r="C4128">
        <v>46160</v>
      </c>
      <c r="D4128" t="s">
        <v>1203</v>
      </c>
      <c r="E4128">
        <v>41232</v>
      </c>
      <c r="F4128" t="s">
        <v>1203</v>
      </c>
      <c r="G4128">
        <v>412</v>
      </c>
      <c r="H4128" t="s">
        <v>86</v>
      </c>
      <c r="I4128">
        <v>4</v>
      </c>
      <c r="J4128" t="s">
        <v>75</v>
      </c>
    </row>
    <row r="4129" spans="1:10" x14ac:dyDescent="0.25">
      <c r="A4129" t="s">
        <v>7354</v>
      </c>
      <c r="B4129">
        <f>29815.9759215446*(1/100/100)</f>
        <v>2.98159759215446</v>
      </c>
      <c r="C4129">
        <v>46161</v>
      </c>
      <c r="D4129" t="s">
        <v>5539</v>
      </c>
      <c r="E4129">
        <v>41209</v>
      </c>
      <c r="F4129" t="s">
        <v>1183</v>
      </c>
      <c r="G4129">
        <v>412</v>
      </c>
      <c r="H4129" t="s">
        <v>86</v>
      </c>
      <c r="I4129">
        <v>4</v>
      </c>
      <c r="J4129" t="s">
        <v>75</v>
      </c>
    </row>
    <row r="4130" spans="1:10" x14ac:dyDescent="0.25">
      <c r="A4130" t="s">
        <v>7354</v>
      </c>
      <c r="B4130">
        <f>21705.3902130798*(1/100/100)</f>
        <v>2.17053902130798</v>
      </c>
      <c r="C4130">
        <v>46162</v>
      </c>
      <c r="D4130" t="s">
        <v>5556</v>
      </c>
      <c r="E4130">
        <v>41222</v>
      </c>
      <c r="F4130" t="s">
        <v>1196</v>
      </c>
      <c r="G4130">
        <v>412</v>
      </c>
      <c r="H4130" t="s">
        <v>86</v>
      </c>
      <c r="I4130">
        <v>4</v>
      </c>
      <c r="J4130" t="s">
        <v>75</v>
      </c>
    </row>
    <row r="4131" spans="1:10" x14ac:dyDescent="0.25">
      <c r="A4131" t="s">
        <v>7354</v>
      </c>
      <c r="B4131">
        <f>32391.0726601468*(1/100/100)</f>
        <v>3.2391072660146802</v>
      </c>
      <c r="C4131">
        <v>46163</v>
      </c>
      <c r="D4131" t="s">
        <v>4341</v>
      </c>
      <c r="E4131">
        <v>41231</v>
      </c>
      <c r="F4131" t="s">
        <v>1202</v>
      </c>
      <c r="G4131">
        <v>412</v>
      </c>
      <c r="H4131" t="s">
        <v>86</v>
      </c>
      <c r="I4131">
        <v>4</v>
      </c>
      <c r="J4131" t="s">
        <v>75</v>
      </c>
    </row>
    <row r="4132" spans="1:10" x14ac:dyDescent="0.25">
      <c r="A4132" t="s">
        <v>7354</v>
      </c>
      <c r="B4132">
        <f>20288.2980010259*(1/100/100)</f>
        <v>2.0288298001025904</v>
      </c>
      <c r="C4132">
        <v>46164</v>
      </c>
      <c r="D4132" t="s">
        <v>5572</v>
      </c>
      <c r="E4132">
        <v>41231</v>
      </c>
      <c r="F4132" t="s">
        <v>1202</v>
      </c>
      <c r="G4132">
        <v>412</v>
      </c>
      <c r="H4132" t="s">
        <v>86</v>
      </c>
      <c r="I4132">
        <v>4</v>
      </c>
      <c r="J4132" t="s">
        <v>75</v>
      </c>
    </row>
    <row r="4133" spans="1:10" x14ac:dyDescent="0.25">
      <c r="A4133" t="s">
        <v>7354</v>
      </c>
      <c r="B4133">
        <f>58311.481467823*(1/100/100)</f>
        <v>5.8311481467823008</v>
      </c>
      <c r="C4133">
        <v>46165</v>
      </c>
      <c r="D4133" t="s">
        <v>5533</v>
      </c>
      <c r="E4133">
        <v>41204</v>
      </c>
      <c r="F4133" t="s">
        <v>1178</v>
      </c>
      <c r="G4133">
        <v>412</v>
      </c>
      <c r="H4133" t="s">
        <v>86</v>
      </c>
      <c r="I4133">
        <v>4</v>
      </c>
      <c r="J4133" t="s">
        <v>75</v>
      </c>
    </row>
    <row r="4134" spans="1:10" x14ac:dyDescent="0.25">
      <c r="A4134" t="s">
        <v>7354</v>
      </c>
      <c r="B4134">
        <f>37745.7357774471*(1/100/100)</f>
        <v>3.7745735777447105</v>
      </c>
      <c r="C4134">
        <v>46166</v>
      </c>
      <c r="D4134" t="s">
        <v>5583</v>
      </c>
      <c r="E4134">
        <v>41234</v>
      </c>
      <c r="F4134" t="s">
        <v>1205</v>
      </c>
      <c r="G4134">
        <v>412</v>
      </c>
      <c r="H4134" t="s">
        <v>86</v>
      </c>
      <c r="I4134">
        <v>4</v>
      </c>
      <c r="J4134" t="s">
        <v>75</v>
      </c>
    </row>
    <row r="4135" spans="1:10" x14ac:dyDescent="0.25">
      <c r="A4135" t="s">
        <v>7354</v>
      </c>
      <c r="B4135">
        <f>112570.114210452*(1/100/100)</f>
        <v>11.257011421045201</v>
      </c>
      <c r="C4135">
        <v>46167</v>
      </c>
      <c r="D4135" t="s">
        <v>1205</v>
      </c>
      <c r="E4135">
        <v>41234</v>
      </c>
      <c r="F4135" t="s">
        <v>1205</v>
      </c>
      <c r="G4135">
        <v>412</v>
      </c>
      <c r="H4135" t="s">
        <v>86</v>
      </c>
      <c r="I4135">
        <v>4</v>
      </c>
      <c r="J4135" t="s">
        <v>75</v>
      </c>
    </row>
    <row r="4136" spans="1:10" x14ac:dyDescent="0.25">
      <c r="A4136" t="s">
        <v>7354</v>
      </c>
      <c r="B4136">
        <f>62919.6415768835*(1/100/100)</f>
        <v>6.2919641576883505</v>
      </c>
      <c r="C4136">
        <v>46168</v>
      </c>
      <c r="D4136" t="s">
        <v>5534</v>
      </c>
      <c r="E4136">
        <v>41204</v>
      </c>
      <c r="F4136" t="s">
        <v>1178</v>
      </c>
      <c r="G4136">
        <v>412</v>
      </c>
      <c r="H4136" t="s">
        <v>86</v>
      </c>
      <c r="I4136">
        <v>4</v>
      </c>
      <c r="J4136" t="s">
        <v>75</v>
      </c>
    </row>
    <row r="4137" spans="1:10" x14ac:dyDescent="0.25">
      <c r="A4137" t="s">
        <v>7354</v>
      </c>
      <c r="B4137">
        <f>69137.0220412633*(1/100/100)</f>
        <v>6.9137022041263307</v>
      </c>
      <c r="C4137">
        <v>46169</v>
      </c>
      <c r="D4137" t="s">
        <v>5529</v>
      </c>
      <c r="E4137">
        <v>41203</v>
      </c>
      <c r="F4137" t="s">
        <v>1177</v>
      </c>
      <c r="G4137">
        <v>412</v>
      </c>
      <c r="H4137" t="s">
        <v>86</v>
      </c>
      <c r="I4137">
        <v>4</v>
      </c>
      <c r="J4137" t="s">
        <v>75</v>
      </c>
    </row>
    <row r="4138" spans="1:10" x14ac:dyDescent="0.25">
      <c r="A4138" t="s">
        <v>7354</v>
      </c>
      <c r="B4138">
        <f>29653.2088797233*(1/100/100)</f>
        <v>2.9653208879723301</v>
      </c>
      <c r="C4138">
        <v>46170</v>
      </c>
      <c r="D4138" t="s">
        <v>5573</v>
      </c>
      <c r="E4138">
        <v>41231</v>
      </c>
      <c r="F4138" t="s">
        <v>1202</v>
      </c>
      <c r="G4138">
        <v>412</v>
      </c>
      <c r="H4138" t="s">
        <v>86</v>
      </c>
      <c r="I4138">
        <v>4</v>
      </c>
      <c r="J4138" t="s">
        <v>75</v>
      </c>
    </row>
    <row r="4139" spans="1:10" x14ac:dyDescent="0.25">
      <c r="A4139" t="s">
        <v>7354</v>
      </c>
      <c r="B4139">
        <f>12844.1370434492*(1/100/100)</f>
        <v>1.28441370434492</v>
      </c>
      <c r="C4139">
        <v>46171</v>
      </c>
      <c r="D4139" t="s">
        <v>4003</v>
      </c>
      <c r="E4139">
        <v>41209</v>
      </c>
      <c r="F4139" t="s">
        <v>1183</v>
      </c>
      <c r="G4139">
        <v>412</v>
      </c>
      <c r="H4139" t="s">
        <v>86</v>
      </c>
      <c r="I4139">
        <v>4</v>
      </c>
      <c r="J4139" t="s">
        <v>75</v>
      </c>
    </row>
    <row r="4140" spans="1:10" x14ac:dyDescent="0.25">
      <c r="A4140" t="s">
        <v>7354</v>
      </c>
      <c r="B4140">
        <f>82263.9345651095*(1/100/100)</f>
        <v>8.2263934565109516</v>
      </c>
      <c r="C4140">
        <v>46172</v>
      </c>
      <c r="D4140" t="s">
        <v>1207</v>
      </c>
      <c r="E4140">
        <v>41236</v>
      </c>
      <c r="F4140" t="s">
        <v>1207</v>
      </c>
      <c r="G4140">
        <v>412</v>
      </c>
      <c r="H4140" t="s">
        <v>86</v>
      </c>
      <c r="I4140">
        <v>4</v>
      </c>
      <c r="J4140" t="s">
        <v>75</v>
      </c>
    </row>
    <row r="4141" spans="1:10" x14ac:dyDescent="0.25">
      <c r="A4141" t="s">
        <v>7354</v>
      </c>
      <c r="B4141">
        <f>228624.241046267*(1/100/100)</f>
        <v>22.862424104626701</v>
      </c>
      <c r="C4141">
        <v>47001</v>
      </c>
      <c r="D4141" t="s">
        <v>3700</v>
      </c>
      <c r="E4141">
        <v>41343</v>
      </c>
      <c r="F4141" t="s">
        <v>1235</v>
      </c>
      <c r="G4141">
        <v>413</v>
      </c>
      <c r="H4141" t="s">
        <v>87</v>
      </c>
      <c r="I4141">
        <v>4</v>
      </c>
      <c r="J4141" t="s">
        <v>75</v>
      </c>
    </row>
    <row r="4142" spans="1:10" x14ac:dyDescent="0.25">
      <c r="A4142" t="s">
        <v>7354</v>
      </c>
      <c r="B4142">
        <f>75045.7593267617*(1/100/100)</f>
        <v>7.504575932676171</v>
      </c>
      <c r="C4142">
        <v>47002</v>
      </c>
      <c r="D4142" t="s">
        <v>5615</v>
      </c>
      <c r="E4142">
        <v>41342</v>
      </c>
      <c r="F4142" t="s">
        <v>1234</v>
      </c>
      <c r="G4142">
        <v>413</v>
      </c>
      <c r="H4142" t="s">
        <v>87</v>
      </c>
      <c r="I4142">
        <v>4</v>
      </c>
      <c r="J4142" t="s">
        <v>75</v>
      </c>
    </row>
    <row r="4143" spans="1:10" x14ac:dyDescent="0.25">
      <c r="A4143" t="s">
        <v>7354</v>
      </c>
      <c r="B4143">
        <f>86430.5913426801*(1/100/100)</f>
        <v>8.643059134268011</v>
      </c>
      <c r="C4143">
        <v>47003</v>
      </c>
      <c r="D4143" t="s">
        <v>5616</v>
      </c>
      <c r="E4143">
        <v>41342</v>
      </c>
      <c r="F4143" t="s">
        <v>1234</v>
      </c>
      <c r="G4143">
        <v>413</v>
      </c>
      <c r="H4143" t="s">
        <v>87</v>
      </c>
      <c r="I4143">
        <v>4</v>
      </c>
      <c r="J4143" t="s">
        <v>75</v>
      </c>
    </row>
    <row r="4144" spans="1:10" x14ac:dyDescent="0.25">
      <c r="A4144" t="s">
        <v>7354</v>
      </c>
      <c r="B4144">
        <f>152574.830855895*(1/100/100)</f>
        <v>15.257483085589502</v>
      </c>
      <c r="C4144">
        <v>47004</v>
      </c>
      <c r="D4144" t="s">
        <v>1215</v>
      </c>
      <c r="E4144">
        <v>41313</v>
      </c>
      <c r="F4144" t="s">
        <v>1215</v>
      </c>
      <c r="G4144">
        <v>413</v>
      </c>
      <c r="H4144" t="s">
        <v>87</v>
      </c>
      <c r="I4144">
        <v>4</v>
      </c>
      <c r="J4144" t="s">
        <v>75</v>
      </c>
    </row>
    <row r="4145" spans="1:10" x14ac:dyDescent="0.25">
      <c r="A4145" t="s">
        <v>7354</v>
      </c>
      <c r="B4145">
        <f>174097.696532246*(1/100/100)</f>
        <v>17.4097696532246</v>
      </c>
      <c r="C4145">
        <v>47005</v>
      </c>
      <c r="D4145" t="s">
        <v>5590</v>
      </c>
      <c r="E4145">
        <v>41315</v>
      </c>
      <c r="F4145" t="s">
        <v>1217</v>
      </c>
      <c r="G4145">
        <v>413</v>
      </c>
      <c r="H4145" t="s">
        <v>87</v>
      </c>
      <c r="I4145">
        <v>4</v>
      </c>
      <c r="J4145" t="s">
        <v>75</v>
      </c>
    </row>
    <row r="4146" spans="1:10" x14ac:dyDescent="0.25">
      <c r="A4146" t="s">
        <v>7354</v>
      </c>
      <c r="B4146">
        <f>49907.050693217*(1/100/100)</f>
        <v>4.9907050693217005</v>
      </c>
      <c r="C4146">
        <v>47006</v>
      </c>
      <c r="D4146" t="s">
        <v>5589</v>
      </c>
      <c r="E4146">
        <v>41313</v>
      </c>
      <c r="F4146" t="s">
        <v>1215</v>
      </c>
      <c r="G4146">
        <v>413</v>
      </c>
      <c r="H4146" t="s">
        <v>87</v>
      </c>
      <c r="I4146">
        <v>4</v>
      </c>
      <c r="J4146" t="s">
        <v>75</v>
      </c>
    </row>
    <row r="4147" spans="1:10" x14ac:dyDescent="0.25">
      <c r="A4147" t="s">
        <v>7354</v>
      </c>
      <c r="B4147">
        <f>41217.2833746265*(1/100/100)</f>
        <v>4.1217283374626508</v>
      </c>
      <c r="C4147">
        <v>47007</v>
      </c>
      <c r="D4147" t="s">
        <v>5617</v>
      </c>
      <c r="E4147">
        <v>41342</v>
      </c>
      <c r="F4147" t="s">
        <v>1234</v>
      </c>
      <c r="G4147">
        <v>413</v>
      </c>
      <c r="H4147" t="s">
        <v>87</v>
      </c>
      <c r="I4147">
        <v>4</v>
      </c>
      <c r="J4147" t="s">
        <v>75</v>
      </c>
    </row>
    <row r="4148" spans="1:10" x14ac:dyDescent="0.25">
      <c r="A4148" t="s">
        <v>7354</v>
      </c>
      <c r="B4148">
        <f>67747.0840385821*(1/100/100)</f>
        <v>6.7747084038582113</v>
      </c>
      <c r="C4148">
        <v>47008</v>
      </c>
      <c r="D4148" t="s">
        <v>5618</v>
      </c>
      <c r="E4148">
        <v>41342</v>
      </c>
      <c r="F4148" t="s">
        <v>1234</v>
      </c>
      <c r="G4148">
        <v>413</v>
      </c>
      <c r="H4148" t="s">
        <v>87</v>
      </c>
      <c r="I4148">
        <v>4</v>
      </c>
      <c r="J4148" t="s">
        <v>75</v>
      </c>
    </row>
    <row r="4149" spans="1:10" x14ac:dyDescent="0.25">
      <c r="A4149" t="s">
        <v>7354</v>
      </c>
      <c r="B4149">
        <f>123385.846695217*(1/100/100)</f>
        <v>12.338584669521701</v>
      </c>
      <c r="C4149">
        <v>47009</v>
      </c>
      <c r="D4149" t="s">
        <v>5619</v>
      </c>
      <c r="E4149">
        <v>41343</v>
      </c>
      <c r="F4149" t="s">
        <v>1235</v>
      </c>
      <c r="G4149">
        <v>413</v>
      </c>
      <c r="H4149" t="s">
        <v>87</v>
      </c>
      <c r="I4149">
        <v>4</v>
      </c>
      <c r="J4149" t="s">
        <v>75</v>
      </c>
    </row>
    <row r="4150" spans="1:10" x14ac:dyDescent="0.25">
      <c r="A4150" t="s">
        <v>7354</v>
      </c>
      <c r="B4150">
        <f>80338.0380120043*(1/100/100)</f>
        <v>8.0338038012004294</v>
      </c>
      <c r="C4150">
        <v>47010</v>
      </c>
      <c r="D4150" t="s">
        <v>2468</v>
      </c>
      <c r="E4150">
        <v>41333</v>
      </c>
      <c r="F4150" t="s">
        <v>5605</v>
      </c>
      <c r="G4150">
        <v>413</v>
      </c>
      <c r="H4150" t="s">
        <v>87</v>
      </c>
      <c r="I4150">
        <v>4</v>
      </c>
      <c r="J4150" t="s">
        <v>75</v>
      </c>
    </row>
    <row r="4151" spans="1:10" x14ac:dyDescent="0.25">
      <c r="A4151" t="s">
        <v>7354</v>
      </c>
      <c r="B4151">
        <f>111550.758681653*(1/100/100)</f>
        <v>11.1550758681653</v>
      </c>
      <c r="C4151">
        <v>47011</v>
      </c>
      <c r="D4151" t="s">
        <v>2087</v>
      </c>
      <c r="E4151">
        <v>41341</v>
      </c>
      <c r="F4151" t="s">
        <v>1233</v>
      </c>
      <c r="G4151">
        <v>413</v>
      </c>
      <c r="H4151" t="s">
        <v>87</v>
      </c>
      <c r="I4151">
        <v>4</v>
      </c>
      <c r="J4151" t="s">
        <v>75</v>
      </c>
    </row>
    <row r="4152" spans="1:10" x14ac:dyDescent="0.25">
      <c r="A4152" t="s">
        <v>7354</v>
      </c>
      <c r="B4152">
        <f>155482.639813789*(1/100/100)</f>
        <v>15.5482639813789</v>
      </c>
      <c r="C4152">
        <v>47012</v>
      </c>
      <c r="D4152" t="s">
        <v>1234</v>
      </c>
      <c r="E4152">
        <v>41342</v>
      </c>
      <c r="F4152" t="s">
        <v>1234</v>
      </c>
      <c r="G4152">
        <v>413</v>
      </c>
      <c r="H4152" t="s">
        <v>87</v>
      </c>
      <c r="I4152">
        <v>4</v>
      </c>
      <c r="J4152" t="s">
        <v>75</v>
      </c>
    </row>
    <row r="4153" spans="1:10" x14ac:dyDescent="0.25">
      <c r="A4153" t="s">
        <v>7354</v>
      </c>
      <c r="B4153">
        <f>85384.0038880468*(1/100/100)</f>
        <v>8.5384003888046802</v>
      </c>
      <c r="C4153">
        <v>47013</v>
      </c>
      <c r="D4153" t="s">
        <v>5620</v>
      </c>
      <c r="E4153">
        <v>41343</v>
      </c>
      <c r="F4153" t="s">
        <v>1235</v>
      </c>
      <c r="G4153">
        <v>413</v>
      </c>
      <c r="H4153" t="s">
        <v>87</v>
      </c>
      <c r="I4153">
        <v>4</v>
      </c>
      <c r="J4153" t="s">
        <v>75</v>
      </c>
    </row>
    <row r="4154" spans="1:10" x14ac:dyDescent="0.25">
      <c r="A4154" t="s">
        <v>7354</v>
      </c>
      <c r="B4154">
        <f>59423.5412795535*(1/100/100)</f>
        <v>5.9423541279553502</v>
      </c>
      <c r="C4154">
        <v>47101</v>
      </c>
      <c r="D4154" t="s">
        <v>3834</v>
      </c>
      <c r="E4154">
        <v>41327</v>
      </c>
      <c r="F4154" t="s">
        <v>1229</v>
      </c>
      <c r="G4154">
        <v>413</v>
      </c>
      <c r="H4154" t="s">
        <v>87</v>
      </c>
      <c r="I4154">
        <v>4</v>
      </c>
      <c r="J4154" t="s">
        <v>75</v>
      </c>
    </row>
    <row r="4155" spans="1:10" x14ac:dyDescent="0.25">
      <c r="A4155" t="s">
        <v>7354</v>
      </c>
      <c r="B4155">
        <f>78697.5098619771*(1/100/100)</f>
        <v>7.8697509861977109</v>
      </c>
      <c r="C4155">
        <v>47102</v>
      </c>
      <c r="D4155" t="s">
        <v>1210</v>
      </c>
      <c r="E4155">
        <v>41306</v>
      </c>
      <c r="F4155" t="s">
        <v>1210</v>
      </c>
      <c r="G4155">
        <v>413</v>
      </c>
      <c r="H4155" t="s">
        <v>87</v>
      </c>
      <c r="I4155">
        <v>4</v>
      </c>
      <c r="J4155" t="s">
        <v>75</v>
      </c>
    </row>
    <row r="4156" spans="1:10" x14ac:dyDescent="0.25">
      <c r="A4156" t="s">
        <v>7354</v>
      </c>
      <c r="B4156">
        <f>163313.640389468*(1/100/100)</f>
        <v>16.331364038946802</v>
      </c>
      <c r="C4156">
        <v>47103</v>
      </c>
      <c r="D4156" t="s">
        <v>3055</v>
      </c>
      <c r="E4156">
        <v>41312</v>
      </c>
      <c r="F4156" t="s">
        <v>1214</v>
      </c>
      <c r="G4156">
        <v>413</v>
      </c>
      <c r="H4156" t="s">
        <v>87</v>
      </c>
      <c r="I4156">
        <v>4</v>
      </c>
      <c r="J4156" t="s">
        <v>75</v>
      </c>
    </row>
    <row r="4157" spans="1:10" x14ac:dyDescent="0.25">
      <c r="A4157" t="s">
        <v>7354</v>
      </c>
      <c r="B4157">
        <f>175375.603089419*(1/100/100)</f>
        <v>17.537560308941899</v>
      </c>
      <c r="C4157">
        <v>47104</v>
      </c>
      <c r="D4157" t="s">
        <v>4877</v>
      </c>
      <c r="E4157">
        <v>41318</v>
      </c>
      <c r="F4157" t="s">
        <v>1220</v>
      </c>
      <c r="G4157">
        <v>413</v>
      </c>
      <c r="H4157" t="s">
        <v>87</v>
      </c>
      <c r="I4157">
        <v>4</v>
      </c>
      <c r="J4157" t="s">
        <v>75</v>
      </c>
    </row>
    <row r="4158" spans="1:10" x14ac:dyDescent="0.25">
      <c r="A4158" t="s">
        <v>7354</v>
      </c>
      <c r="B4158">
        <f>67313.009209113*(1/100/100)</f>
        <v>6.7313009209113011</v>
      </c>
      <c r="C4158">
        <v>47105</v>
      </c>
      <c r="D4158" t="s">
        <v>5588</v>
      </c>
      <c r="E4158">
        <v>41312</v>
      </c>
      <c r="F4158" t="s">
        <v>1214</v>
      </c>
      <c r="G4158">
        <v>413</v>
      </c>
      <c r="H4158" t="s">
        <v>87</v>
      </c>
      <c r="I4158">
        <v>4</v>
      </c>
      <c r="J4158" t="s">
        <v>75</v>
      </c>
    </row>
    <row r="4159" spans="1:10" x14ac:dyDescent="0.25">
      <c r="A4159" t="s">
        <v>7354</v>
      </c>
      <c r="B4159">
        <f>120063.673399045*(1/100/100)</f>
        <v>12.0063673399045</v>
      </c>
      <c r="C4159">
        <v>47106</v>
      </c>
      <c r="D4159" t="s">
        <v>5044</v>
      </c>
      <c r="E4159">
        <v>41329</v>
      </c>
      <c r="F4159" t="s">
        <v>1231</v>
      </c>
      <c r="G4159">
        <v>413</v>
      </c>
      <c r="H4159" t="s">
        <v>87</v>
      </c>
      <c r="I4159">
        <v>4</v>
      </c>
      <c r="J4159" t="s">
        <v>75</v>
      </c>
    </row>
    <row r="4160" spans="1:10" x14ac:dyDescent="0.25">
      <c r="A4160" t="s">
        <v>7354</v>
      </c>
      <c r="B4160">
        <f>97271.196617371*(1/100/100)</f>
        <v>9.7271196617371007</v>
      </c>
      <c r="C4160">
        <v>47107</v>
      </c>
      <c r="D4160" t="s">
        <v>1224</v>
      </c>
      <c r="E4160">
        <v>41322</v>
      </c>
      <c r="F4160" t="s">
        <v>1224</v>
      </c>
      <c r="G4160">
        <v>413</v>
      </c>
      <c r="H4160" t="s">
        <v>87</v>
      </c>
      <c r="I4160">
        <v>4</v>
      </c>
      <c r="J4160" t="s">
        <v>75</v>
      </c>
    </row>
    <row r="4161" spans="1:10" x14ac:dyDescent="0.25">
      <c r="A4161" t="s">
        <v>7354</v>
      </c>
      <c r="B4161">
        <f>95238.9873141684*(1/100/100)</f>
        <v>9.5238987314168391</v>
      </c>
      <c r="C4161">
        <v>47108</v>
      </c>
      <c r="D4161" t="s">
        <v>1226</v>
      </c>
      <c r="E4161">
        <v>41324</v>
      </c>
      <c r="F4161" t="s">
        <v>1226</v>
      </c>
      <c r="G4161">
        <v>413</v>
      </c>
      <c r="H4161" t="s">
        <v>87</v>
      </c>
      <c r="I4161">
        <v>4</v>
      </c>
      <c r="J4161" t="s">
        <v>75</v>
      </c>
    </row>
    <row r="4162" spans="1:10" x14ac:dyDescent="0.25">
      <c r="A4162" t="s">
        <v>7354</v>
      </c>
      <c r="B4162">
        <f>136275.597045876*(1/100/100)</f>
        <v>13.6275597045876</v>
      </c>
      <c r="C4162">
        <v>47109</v>
      </c>
      <c r="D4162" t="s">
        <v>5599</v>
      </c>
      <c r="E4162">
        <v>41328</v>
      </c>
      <c r="F4162" t="s">
        <v>1230</v>
      </c>
      <c r="G4162">
        <v>413</v>
      </c>
      <c r="H4162" t="s">
        <v>87</v>
      </c>
      <c r="I4162">
        <v>4</v>
      </c>
      <c r="J4162" t="s">
        <v>75</v>
      </c>
    </row>
    <row r="4163" spans="1:10" x14ac:dyDescent="0.25">
      <c r="A4163" t="s">
        <v>7354</v>
      </c>
      <c r="B4163">
        <f>77818.0574201111*(1/100/100)</f>
        <v>7.7818057420111106</v>
      </c>
      <c r="C4163">
        <v>47110</v>
      </c>
      <c r="D4163" t="s">
        <v>5597</v>
      </c>
      <c r="E4163">
        <v>41327</v>
      </c>
      <c r="F4163" t="s">
        <v>1229</v>
      </c>
      <c r="G4163">
        <v>413</v>
      </c>
      <c r="H4163" t="s">
        <v>87</v>
      </c>
      <c r="I4163">
        <v>4</v>
      </c>
      <c r="J4163" t="s">
        <v>75</v>
      </c>
    </row>
    <row r="4164" spans="1:10" x14ac:dyDescent="0.25">
      <c r="A4164" t="s">
        <v>7354</v>
      </c>
      <c r="B4164">
        <f>117249.753448985*(1/100/100)</f>
        <v>11.7249753448985</v>
      </c>
      <c r="C4164">
        <v>47111</v>
      </c>
      <c r="D4164" t="s">
        <v>1230</v>
      </c>
      <c r="E4164">
        <v>41328</v>
      </c>
      <c r="F4164" t="s">
        <v>1230</v>
      </c>
      <c r="G4164">
        <v>413</v>
      </c>
      <c r="H4164" t="s">
        <v>87</v>
      </c>
      <c r="I4164">
        <v>4</v>
      </c>
      <c r="J4164" t="s">
        <v>75</v>
      </c>
    </row>
    <row r="4165" spans="1:10" x14ac:dyDescent="0.25">
      <c r="A4165" t="s">
        <v>7354</v>
      </c>
      <c r="B4165">
        <f>85406.9411982478*(1/100/100)</f>
        <v>8.5406941198247814</v>
      </c>
      <c r="C4165">
        <v>47112</v>
      </c>
      <c r="D4165" t="s">
        <v>5600</v>
      </c>
      <c r="E4165">
        <v>41329</v>
      </c>
      <c r="F4165" t="s">
        <v>1231</v>
      </c>
      <c r="G4165">
        <v>413</v>
      </c>
      <c r="H4165" t="s">
        <v>87</v>
      </c>
      <c r="I4165">
        <v>4</v>
      </c>
      <c r="J4165" t="s">
        <v>75</v>
      </c>
    </row>
    <row r="4166" spans="1:10" x14ac:dyDescent="0.25">
      <c r="A4166" t="s">
        <v>7354</v>
      </c>
      <c r="B4166">
        <f>96792.5389716821*(1/100/100)</f>
        <v>9.6792538971682092</v>
      </c>
      <c r="C4166">
        <v>47113</v>
      </c>
      <c r="D4166" t="s">
        <v>5598</v>
      </c>
      <c r="E4166">
        <v>41327</v>
      </c>
      <c r="F4166" t="s">
        <v>1229</v>
      </c>
      <c r="G4166">
        <v>413</v>
      </c>
      <c r="H4166" t="s">
        <v>87</v>
      </c>
      <c r="I4166">
        <v>4</v>
      </c>
      <c r="J4166" t="s">
        <v>75</v>
      </c>
    </row>
    <row r="4167" spans="1:10" x14ac:dyDescent="0.25">
      <c r="A4167" t="s">
        <v>7354</v>
      </c>
      <c r="B4167">
        <f>90116.8220699665*(1/100/100)</f>
        <v>9.0116822069966496</v>
      </c>
      <c r="C4167">
        <v>47114</v>
      </c>
      <c r="D4167" t="s">
        <v>5593</v>
      </c>
      <c r="E4167">
        <v>41322</v>
      </c>
      <c r="F4167" t="s">
        <v>1224</v>
      </c>
      <c r="G4167">
        <v>413</v>
      </c>
      <c r="H4167" t="s">
        <v>87</v>
      </c>
      <c r="I4167">
        <v>4</v>
      </c>
      <c r="J4167" t="s">
        <v>75</v>
      </c>
    </row>
    <row r="4168" spans="1:10" x14ac:dyDescent="0.25">
      <c r="A4168" t="s">
        <v>7354</v>
      </c>
      <c r="B4168">
        <f>77932.7428404603*(1/100/100)</f>
        <v>7.7932742840460305</v>
      </c>
      <c r="C4168">
        <v>47115</v>
      </c>
      <c r="D4168" t="s">
        <v>1213</v>
      </c>
      <c r="E4168">
        <v>41311</v>
      </c>
      <c r="F4168" t="s">
        <v>1213</v>
      </c>
      <c r="G4168">
        <v>413</v>
      </c>
      <c r="H4168" t="s">
        <v>87</v>
      </c>
      <c r="I4168">
        <v>4</v>
      </c>
      <c r="J4168" t="s">
        <v>75</v>
      </c>
    </row>
    <row r="4169" spans="1:10" x14ac:dyDescent="0.25">
      <c r="A4169" t="s">
        <v>7354</v>
      </c>
      <c r="B4169">
        <f>87678.2195987093*(1/100/100)</f>
        <v>8.7678219598709308</v>
      </c>
      <c r="C4169">
        <v>47201</v>
      </c>
      <c r="D4169" t="s">
        <v>2288</v>
      </c>
      <c r="E4169">
        <v>41323</v>
      </c>
      <c r="F4169" t="s">
        <v>1225</v>
      </c>
      <c r="G4169">
        <v>413</v>
      </c>
      <c r="H4169" t="s">
        <v>87</v>
      </c>
      <c r="I4169">
        <v>4</v>
      </c>
      <c r="J4169" t="s">
        <v>75</v>
      </c>
    </row>
    <row r="4170" spans="1:10" x14ac:dyDescent="0.25">
      <c r="A4170" t="s">
        <v>7354</v>
      </c>
      <c r="B4170">
        <f>204101.494416968*(1/100/100)</f>
        <v>20.410149441696799</v>
      </c>
      <c r="C4170">
        <v>47202</v>
      </c>
      <c r="D4170" t="s">
        <v>1208</v>
      </c>
      <c r="E4170">
        <v>41304</v>
      </c>
      <c r="F4170" t="s">
        <v>1208</v>
      </c>
      <c r="G4170">
        <v>413</v>
      </c>
      <c r="H4170" t="s">
        <v>87</v>
      </c>
      <c r="I4170">
        <v>4</v>
      </c>
      <c r="J4170" t="s">
        <v>75</v>
      </c>
    </row>
    <row r="4171" spans="1:10" x14ac:dyDescent="0.25">
      <c r="A4171" t="s">
        <v>7354</v>
      </c>
      <c r="B4171">
        <f>97380.4437865015*(1/100/100)</f>
        <v>9.7380443786501516</v>
      </c>
      <c r="C4171">
        <v>47203</v>
      </c>
      <c r="D4171" t="s">
        <v>1211</v>
      </c>
      <c r="E4171">
        <v>41307</v>
      </c>
      <c r="F4171" t="s">
        <v>1211</v>
      </c>
      <c r="G4171">
        <v>413</v>
      </c>
      <c r="H4171" t="s">
        <v>87</v>
      </c>
      <c r="I4171">
        <v>4</v>
      </c>
      <c r="J4171" t="s">
        <v>75</v>
      </c>
    </row>
    <row r="4172" spans="1:10" x14ac:dyDescent="0.25">
      <c r="A4172" t="s">
        <v>7354</v>
      </c>
      <c r="B4172">
        <f>89591.8282690207*(1/100/100)</f>
        <v>8.9591828269020706</v>
      </c>
      <c r="C4172">
        <v>47204</v>
      </c>
      <c r="D4172" t="s">
        <v>5594</v>
      </c>
      <c r="E4172">
        <v>41323</v>
      </c>
      <c r="F4172" t="s">
        <v>1225</v>
      </c>
      <c r="G4172">
        <v>413</v>
      </c>
      <c r="H4172" t="s">
        <v>87</v>
      </c>
      <c r="I4172">
        <v>4</v>
      </c>
      <c r="J4172" t="s">
        <v>75</v>
      </c>
    </row>
    <row r="4173" spans="1:10" x14ac:dyDescent="0.25">
      <c r="A4173" t="s">
        <v>7354</v>
      </c>
      <c r="B4173">
        <f>72044.0135471093*(1/100/100)</f>
        <v>7.2044013547109298</v>
      </c>
      <c r="C4173">
        <v>47205</v>
      </c>
      <c r="D4173" t="s">
        <v>5606</v>
      </c>
      <c r="E4173">
        <v>41334</v>
      </c>
      <c r="F4173" t="s">
        <v>5607</v>
      </c>
      <c r="G4173">
        <v>413</v>
      </c>
      <c r="H4173" t="s">
        <v>87</v>
      </c>
      <c r="I4173">
        <v>4</v>
      </c>
      <c r="J4173" t="s">
        <v>75</v>
      </c>
    </row>
    <row r="4174" spans="1:10" x14ac:dyDescent="0.25">
      <c r="A4174" t="s">
        <v>7354</v>
      </c>
      <c r="B4174">
        <f>57936.9947451537*(1/100/100)</f>
        <v>5.7936994745153703</v>
      </c>
      <c r="C4174">
        <v>47206</v>
      </c>
      <c r="D4174" t="s">
        <v>3069</v>
      </c>
      <c r="E4174">
        <v>41314</v>
      </c>
      <c r="F4174" t="s">
        <v>1216</v>
      </c>
      <c r="G4174">
        <v>413</v>
      </c>
      <c r="H4174" t="s">
        <v>87</v>
      </c>
      <c r="I4174">
        <v>4</v>
      </c>
      <c r="J4174" t="s">
        <v>75</v>
      </c>
    </row>
    <row r="4175" spans="1:10" x14ac:dyDescent="0.25">
      <c r="A4175" t="s">
        <v>7354</v>
      </c>
      <c r="B4175">
        <f>77598.3664409937*(1/100/100)</f>
        <v>7.7598366440993711</v>
      </c>
      <c r="C4175">
        <v>47207</v>
      </c>
      <c r="D4175" t="s">
        <v>3668</v>
      </c>
      <c r="E4175">
        <v>41304</v>
      </c>
      <c r="F4175" t="s">
        <v>1208</v>
      </c>
      <c r="G4175">
        <v>413</v>
      </c>
      <c r="H4175" t="s">
        <v>87</v>
      </c>
      <c r="I4175">
        <v>4</v>
      </c>
      <c r="J4175" t="s">
        <v>75</v>
      </c>
    </row>
    <row r="4176" spans="1:10" x14ac:dyDescent="0.25">
      <c r="A4176" t="s">
        <v>7354</v>
      </c>
      <c r="B4176">
        <f>52366.2354594365*(1/100/100)</f>
        <v>5.2366235459436501</v>
      </c>
      <c r="C4176">
        <v>47208</v>
      </c>
      <c r="D4176" t="s">
        <v>4418</v>
      </c>
      <c r="E4176">
        <v>41334</v>
      </c>
      <c r="F4176" t="s">
        <v>5607</v>
      </c>
      <c r="G4176">
        <v>413</v>
      </c>
      <c r="H4176" t="s">
        <v>87</v>
      </c>
      <c r="I4176">
        <v>4</v>
      </c>
      <c r="J4176" t="s">
        <v>75</v>
      </c>
    </row>
    <row r="4177" spans="1:10" x14ac:dyDescent="0.25">
      <c r="A4177" t="s">
        <v>7354</v>
      </c>
      <c r="B4177">
        <f>94603.7413384481*(1/100/100)</f>
        <v>9.4603741338448106</v>
      </c>
      <c r="C4177">
        <v>47209</v>
      </c>
      <c r="D4177" t="s">
        <v>2496</v>
      </c>
      <c r="E4177">
        <v>41314</v>
      </c>
      <c r="F4177" t="s">
        <v>1216</v>
      </c>
      <c r="G4177">
        <v>413</v>
      </c>
      <c r="H4177" t="s">
        <v>87</v>
      </c>
      <c r="I4177">
        <v>4</v>
      </c>
      <c r="J4177" t="s">
        <v>75</v>
      </c>
    </row>
    <row r="4178" spans="1:10" x14ac:dyDescent="0.25">
      <c r="A4178" t="s">
        <v>7354</v>
      </c>
      <c r="B4178">
        <f>177437.90974691*(1/100/100)</f>
        <v>17.743790974691002</v>
      </c>
      <c r="C4178">
        <v>47210</v>
      </c>
      <c r="D4178" t="s">
        <v>702</v>
      </c>
      <c r="E4178">
        <v>41316</v>
      </c>
      <c r="F4178" t="s">
        <v>1218</v>
      </c>
      <c r="G4178">
        <v>413</v>
      </c>
      <c r="H4178" t="s">
        <v>87</v>
      </c>
      <c r="I4178">
        <v>4</v>
      </c>
      <c r="J4178" t="s">
        <v>75</v>
      </c>
    </row>
    <row r="4179" spans="1:10" x14ac:dyDescent="0.25">
      <c r="A4179" t="s">
        <v>7354</v>
      </c>
      <c r="B4179">
        <f>38205.4899759434*(1/100/100)</f>
        <v>3.8205489975943401</v>
      </c>
      <c r="C4179">
        <v>47211</v>
      </c>
      <c r="D4179" t="s">
        <v>5586</v>
      </c>
      <c r="E4179">
        <v>41304</v>
      </c>
      <c r="F4179" t="s">
        <v>1208</v>
      </c>
      <c r="G4179">
        <v>413</v>
      </c>
      <c r="H4179" t="s">
        <v>87</v>
      </c>
      <c r="I4179">
        <v>4</v>
      </c>
      <c r="J4179" t="s">
        <v>75</v>
      </c>
    </row>
    <row r="4180" spans="1:10" x14ac:dyDescent="0.25">
      <c r="A4180" t="s">
        <v>7354</v>
      </c>
      <c r="B4180">
        <f>97967.4891615081*(1/100/100)</f>
        <v>9.7967489161508112</v>
      </c>
      <c r="C4180">
        <v>47212</v>
      </c>
      <c r="D4180" t="s">
        <v>1223</v>
      </c>
      <c r="E4180">
        <v>41321</v>
      </c>
      <c r="F4180" t="s">
        <v>1223</v>
      </c>
      <c r="G4180">
        <v>413</v>
      </c>
      <c r="H4180" t="s">
        <v>87</v>
      </c>
      <c r="I4180">
        <v>4</v>
      </c>
      <c r="J4180" t="s">
        <v>75</v>
      </c>
    </row>
    <row r="4181" spans="1:10" x14ac:dyDescent="0.25">
      <c r="A4181" t="s">
        <v>7354</v>
      </c>
      <c r="B4181">
        <f>96186.5619148194*(1/100/100)</f>
        <v>9.6186561914819393</v>
      </c>
      <c r="C4181">
        <v>47213</v>
      </c>
      <c r="D4181" t="s">
        <v>441</v>
      </c>
      <c r="E4181">
        <v>41332</v>
      </c>
      <c r="F4181" t="s">
        <v>5603</v>
      </c>
      <c r="G4181">
        <v>413</v>
      </c>
      <c r="H4181" t="s">
        <v>87</v>
      </c>
      <c r="I4181">
        <v>4</v>
      </c>
      <c r="J4181" t="s">
        <v>75</v>
      </c>
    </row>
    <row r="4182" spans="1:10" x14ac:dyDescent="0.25">
      <c r="A4182" t="s">
        <v>7354</v>
      </c>
      <c r="B4182">
        <f>114229.431650101*(1/100/100)</f>
        <v>11.422943165010102</v>
      </c>
      <c r="C4182">
        <v>47214</v>
      </c>
      <c r="D4182" t="s">
        <v>1225</v>
      </c>
      <c r="E4182">
        <v>41323</v>
      </c>
      <c r="F4182" t="s">
        <v>1225</v>
      </c>
      <c r="G4182">
        <v>413</v>
      </c>
      <c r="H4182" t="s">
        <v>87</v>
      </c>
      <c r="I4182">
        <v>4</v>
      </c>
      <c r="J4182" t="s">
        <v>75</v>
      </c>
    </row>
    <row r="4183" spans="1:10" x14ac:dyDescent="0.25">
      <c r="A4183" t="s">
        <v>7354</v>
      </c>
      <c r="B4183">
        <f>70863.6127408646*(1/100/100)</f>
        <v>7.0863612740864603</v>
      </c>
      <c r="C4183">
        <v>47215</v>
      </c>
      <c r="D4183" t="s">
        <v>5601</v>
      </c>
      <c r="E4183">
        <v>41331</v>
      </c>
      <c r="F4183" t="s">
        <v>5602</v>
      </c>
      <c r="G4183">
        <v>413</v>
      </c>
      <c r="H4183" t="s">
        <v>87</v>
      </c>
      <c r="I4183">
        <v>4</v>
      </c>
      <c r="J4183" t="s">
        <v>75</v>
      </c>
    </row>
    <row r="4184" spans="1:10" x14ac:dyDescent="0.25">
      <c r="A4184" t="s">
        <v>7354</v>
      </c>
      <c r="B4184">
        <f>86413.1440212272*(1/100/100)</f>
        <v>8.6413144021227204</v>
      </c>
      <c r="C4184">
        <v>47216</v>
      </c>
      <c r="D4184" t="s">
        <v>5592</v>
      </c>
      <c r="E4184">
        <v>41321</v>
      </c>
      <c r="F4184" t="s">
        <v>1223</v>
      </c>
      <c r="G4184">
        <v>413</v>
      </c>
      <c r="H4184" t="s">
        <v>87</v>
      </c>
      <c r="I4184">
        <v>4</v>
      </c>
      <c r="J4184" t="s">
        <v>75</v>
      </c>
    </row>
    <row r="4185" spans="1:10" x14ac:dyDescent="0.25">
      <c r="A4185" t="s">
        <v>7354</v>
      </c>
      <c r="B4185">
        <f>24630.3482574898*(1/100/100)</f>
        <v>2.4630348257489802</v>
      </c>
      <c r="C4185">
        <v>47217</v>
      </c>
      <c r="D4185" t="s">
        <v>5609</v>
      </c>
      <c r="E4185">
        <v>41337</v>
      </c>
      <c r="F4185" t="s">
        <v>5610</v>
      </c>
      <c r="G4185">
        <v>413</v>
      </c>
      <c r="H4185" t="s">
        <v>87</v>
      </c>
      <c r="I4185">
        <v>4</v>
      </c>
      <c r="J4185" t="s">
        <v>75</v>
      </c>
    </row>
    <row r="4186" spans="1:10" x14ac:dyDescent="0.25">
      <c r="A4186" t="s">
        <v>7354</v>
      </c>
      <c r="B4186">
        <f>99469.9352359079*(1/100/100)</f>
        <v>9.9469935235907911</v>
      </c>
      <c r="C4186">
        <v>47218</v>
      </c>
      <c r="D4186" t="s">
        <v>2862</v>
      </c>
      <c r="E4186">
        <v>41331</v>
      </c>
      <c r="F4186" t="s">
        <v>5602</v>
      </c>
      <c r="G4186">
        <v>413</v>
      </c>
      <c r="H4186" t="s">
        <v>87</v>
      </c>
      <c r="I4186">
        <v>4</v>
      </c>
      <c r="J4186" t="s">
        <v>75</v>
      </c>
    </row>
    <row r="4187" spans="1:10" x14ac:dyDescent="0.25">
      <c r="A4187" t="s">
        <v>7354</v>
      </c>
      <c r="B4187">
        <f>213281.982467419*(1/100/100)</f>
        <v>21.328198246741902</v>
      </c>
      <c r="C4187">
        <v>47219</v>
      </c>
      <c r="D4187" t="s">
        <v>2218</v>
      </c>
      <c r="E4187">
        <v>41332</v>
      </c>
      <c r="F4187" t="s">
        <v>5603</v>
      </c>
      <c r="G4187">
        <v>413</v>
      </c>
      <c r="H4187" t="s">
        <v>87</v>
      </c>
      <c r="I4187">
        <v>4</v>
      </c>
      <c r="J4187" t="s">
        <v>75</v>
      </c>
    </row>
    <row r="4188" spans="1:10" x14ac:dyDescent="0.25">
      <c r="A4188" t="s">
        <v>7354</v>
      </c>
      <c r="B4188">
        <f>128537.52108972*(1/100/100)</f>
        <v>12.853752108972001</v>
      </c>
      <c r="C4188">
        <v>47220</v>
      </c>
      <c r="D4188" t="s">
        <v>2595</v>
      </c>
      <c r="E4188">
        <v>41334</v>
      </c>
      <c r="F4188" t="s">
        <v>5607</v>
      </c>
      <c r="G4188">
        <v>413</v>
      </c>
      <c r="H4188" t="s">
        <v>87</v>
      </c>
      <c r="I4188">
        <v>4</v>
      </c>
      <c r="J4188" t="s">
        <v>75</v>
      </c>
    </row>
    <row r="4189" spans="1:10" x14ac:dyDescent="0.25">
      <c r="A4189" t="s">
        <v>7354</v>
      </c>
      <c r="B4189">
        <f>110354.158223509*(1/100/100)</f>
        <v>11.035415822350901</v>
      </c>
      <c r="C4189">
        <v>47221</v>
      </c>
      <c r="D4189" t="s">
        <v>2882</v>
      </c>
      <c r="E4189">
        <v>41336</v>
      </c>
      <c r="F4189" t="s">
        <v>5608</v>
      </c>
      <c r="G4189">
        <v>413</v>
      </c>
      <c r="H4189" t="s">
        <v>87</v>
      </c>
      <c r="I4189">
        <v>4</v>
      </c>
      <c r="J4189" t="s">
        <v>75</v>
      </c>
    </row>
    <row r="4190" spans="1:10" x14ac:dyDescent="0.25">
      <c r="A4190" t="s">
        <v>7354</v>
      </c>
      <c r="B4190">
        <f>161030.230636256*(1/100/100)</f>
        <v>16.103023063625599</v>
      </c>
      <c r="C4190">
        <v>47222</v>
      </c>
      <c r="D4190" t="s">
        <v>5611</v>
      </c>
      <c r="E4190">
        <v>41337</v>
      </c>
      <c r="F4190" t="s">
        <v>5610</v>
      </c>
      <c r="G4190">
        <v>413</v>
      </c>
      <c r="H4190" t="s">
        <v>87</v>
      </c>
      <c r="I4190">
        <v>4</v>
      </c>
      <c r="J4190" t="s">
        <v>75</v>
      </c>
    </row>
    <row r="4191" spans="1:10" x14ac:dyDescent="0.25">
      <c r="A4191" t="s">
        <v>7354</v>
      </c>
      <c r="B4191">
        <f>177456.503233761*(1/100/100)</f>
        <v>17.7456503233761</v>
      </c>
      <c r="C4191">
        <v>47223</v>
      </c>
      <c r="D4191" t="s">
        <v>5604</v>
      </c>
      <c r="E4191">
        <v>41332</v>
      </c>
      <c r="F4191" t="s">
        <v>5603</v>
      </c>
      <c r="G4191">
        <v>413</v>
      </c>
      <c r="H4191" t="s">
        <v>87</v>
      </c>
      <c r="I4191">
        <v>4</v>
      </c>
      <c r="J4191" t="s">
        <v>75</v>
      </c>
    </row>
    <row r="4192" spans="1:10" x14ac:dyDescent="0.25">
      <c r="A4192" t="s">
        <v>7354</v>
      </c>
      <c r="B4192">
        <f>61441.2513522004*(1/100/100)</f>
        <v>6.1441251352200403</v>
      </c>
      <c r="C4192">
        <v>47301</v>
      </c>
      <c r="D4192" t="s">
        <v>5625</v>
      </c>
      <c r="E4192">
        <v>41346</v>
      </c>
      <c r="F4192" t="s">
        <v>5626</v>
      </c>
      <c r="G4192">
        <v>413</v>
      </c>
      <c r="H4192" t="s">
        <v>87</v>
      </c>
      <c r="I4192">
        <v>4</v>
      </c>
      <c r="J4192" t="s">
        <v>75</v>
      </c>
    </row>
    <row r="4193" spans="1:10" x14ac:dyDescent="0.25">
      <c r="A4193" t="s">
        <v>7354</v>
      </c>
      <c r="B4193">
        <f>77989.2706430926*(1/100/100)</f>
        <v>7.798927064309261</v>
      </c>
      <c r="C4193">
        <v>47302</v>
      </c>
      <c r="D4193" t="s">
        <v>4591</v>
      </c>
      <c r="E4193">
        <v>41345</v>
      </c>
      <c r="F4193" t="s">
        <v>1237</v>
      </c>
      <c r="G4193">
        <v>413</v>
      </c>
      <c r="H4193" t="s">
        <v>87</v>
      </c>
      <c r="I4193">
        <v>4</v>
      </c>
      <c r="J4193" t="s">
        <v>75</v>
      </c>
    </row>
    <row r="4194" spans="1:10" x14ac:dyDescent="0.25">
      <c r="A4194" t="s">
        <v>7354</v>
      </c>
      <c r="B4194">
        <f>147187.014718953*(1/100/100)</f>
        <v>14.718701471895301</v>
      </c>
      <c r="C4194">
        <v>47303</v>
      </c>
      <c r="D4194" t="s">
        <v>1209</v>
      </c>
      <c r="E4194">
        <v>41305</v>
      </c>
      <c r="F4194" t="s">
        <v>1209</v>
      </c>
      <c r="G4194">
        <v>413</v>
      </c>
      <c r="H4194" t="s">
        <v>87</v>
      </c>
      <c r="I4194">
        <v>4</v>
      </c>
      <c r="J4194" t="s">
        <v>75</v>
      </c>
    </row>
    <row r="4195" spans="1:10" x14ac:dyDescent="0.25">
      <c r="A4195" t="s">
        <v>7354</v>
      </c>
      <c r="B4195">
        <f>157510.259533088*(1/100/100)</f>
        <v>15.751025953308803</v>
      </c>
      <c r="C4195">
        <v>47304</v>
      </c>
      <c r="D4195" t="s">
        <v>518</v>
      </c>
      <c r="E4195">
        <v>41344</v>
      </c>
      <c r="F4195" t="s">
        <v>1236</v>
      </c>
      <c r="G4195">
        <v>413</v>
      </c>
      <c r="H4195" t="s">
        <v>87</v>
      </c>
      <c r="I4195">
        <v>4</v>
      </c>
      <c r="J4195" t="s">
        <v>75</v>
      </c>
    </row>
    <row r="4196" spans="1:10" x14ac:dyDescent="0.25">
      <c r="A4196" t="s">
        <v>7354</v>
      </c>
      <c r="B4196">
        <f>70183.0901195877*(1/100/100)</f>
        <v>7.0183090119587694</v>
      </c>
      <c r="C4196">
        <v>47305</v>
      </c>
      <c r="D4196" t="s">
        <v>5621</v>
      </c>
      <c r="E4196">
        <v>41344</v>
      </c>
      <c r="F4196" t="s">
        <v>1236</v>
      </c>
      <c r="G4196">
        <v>413</v>
      </c>
      <c r="H4196" t="s">
        <v>87</v>
      </c>
      <c r="I4196">
        <v>4</v>
      </c>
      <c r="J4196" t="s">
        <v>75</v>
      </c>
    </row>
    <row r="4197" spans="1:10" x14ac:dyDescent="0.25">
      <c r="A4197" t="s">
        <v>7354</v>
      </c>
      <c r="B4197">
        <f>65859.9725898379*(1/100/100)</f>
        <v>6.5859972589837898</v>
      </c>
      <c r="C4197">
        <v>47306</v>
      </c>
      <c r="D4197" t="s">
        <v>3142</v>
      </c>
      <c r="E4197">
        <v>41325</v>
      </c>
      <c r="F4197" t="s">
        <v>1227</v>
      </c>
      <c r="G4197">
        <v>413</v>
      </c>
      <c r="H4197" t="s">
        <v>87</v>
      </c>
      <c r="I4197">
        <v>4</v>
      </c>
      <c r="J4197" t="s">
        <v>75</v>
      </c>
    </row>
    <row r="4198" spans="1:10" x14ac:dyDescent="0.25">
      <c r="A4198" t="s">
        <v>7354</v>
      </c>
      <c r="B4198">
        <f>260048.862553122*(1/100/100)</f>
        <v>26.004886255312201</v>
      </c>
      <c r="C4198">
        <v>47307</v>
      </c>
      <c r="D4198" t="s">
        <v>3415</v>
      </c>
      <c r="E4198">
        <v>41309</v>
      </c>
      <c r="F4198" t="s">
        <v>1212</v>
      </c>
      <c r="G4198">
        <v>413</v>
      </c>
      <c r="H4198" t="s">
        <v>87</v>
      </c>
      <c r="I4198">
        <v>4</v>
      </c>
      <c r="J4198" t="s">
        <v>75</v>
      </c>
    </row>
    <row r="4199" spans="1:10" x14ac:dyDescent="0.25">
      <c r="A4199" t="s">
        <v>7354</v>
      </c>
      <c r="B4199">
        <f>108001.972024397*(1/100/100)</f>
        <v>10.800197202439699</v>
      </c>
      <c r="C4199">
        <v>47308</v>
      </c>
      <c r="D4199" t="s">
        <v>1237</v>
      </c>
      <c r="E4199">
        <v>41345</v>
      </c>
      <c r="F4199" t="s">
        <v>1237</v>
      </c>
      <c r="G4199">
        <v>413</v>
      </c>
      <c r="H4199" t="s">
        <v>87</v>
      </c>
      <c r="I4199">
        <v>4</v>
      </c>
      <c r="J4199" t="s">
        <v>75</v>
      </c>
    </row>
    <row r="4200" spans="1:10" x14ac:dyDescent="0.25">
      <c r="A4200" t="s">
        <v>7354</v>
      </c>
      <c r="B4200">
        <f>60334.9430769914*(1/100/100)</f>
        <v>6.033494307699141</v>
      </c>
      <c r="C4200">
        <v>47310</v>
      </c>
      <c r="D4200" t="s">
        <v>5622</v>
      </c>
      <c r="E4200">
        <v>41344</v>
      </c>
      <c r="F4200" t="s">
        <v>1236</v>
      </c>
      <c r="G4200">
        <v>413</v>
      </c>
      <c r="H4200" t="s">
        <v>87</v>
      </c>
      <c r="I4200">
        <v>4</v>
      </c>
      <c r="J4200" t="s">
        <v>75</v>
      </c>
    </row>
    <row r="4201" spans="1:10" x14ac:dyDescent="0.25">
      <c r="A4201" t="s">
        <v>7354</v>
      </c>
      <c r="B4201">
        <f>64191.7023568801*(1/100/100)</f>
        <v>6.4191702356880107</v>
      </c>
      <c r="C4201">
        <v>47311</v>
      </c>
      <c r="D4201" t="s">
        <v>3942</v>
      </c>
      <c r="E4201">
        <v>41326</v>
      </c>
      <c r="F4201" t="s">
        <v>1228</v>
      </c>
      <c r="G4201">
        <v>413</v>
      </c>
      <c r="H4201" t="s">
        <v>87</v>
      </c>
      <c r="I4201">
        <v>4</v>
      </c>
      <c r="J4201" t="s">
        <v>75</v>
      </c>
    </row>
    <row r="4202" spans="1:10" x14ac:dyDescent="0.25">
      <c r="A4202" t="s">
        <v>7354</v>
      </c>
      <c r="B4202">
        <f>90827.2747011579*(1/100/100)</f>
        <v>9.0827274701157901</v>
      </c>
      <c r="C4202">
        <v>47312</v>
      </c>
      <c r="D4202" t="s">
        <v>345</v>
      </c>
      <c r="E4202">
        <v>41326</v>
      </c>
      <c r="F4202" t="s">
        <v>1228</v>
      </c>
      <c r="G4202">
        <v>413</v>
      </c>
      <c r="H4202" t="s">
        <v>87</v>
      </c>
      <c r="I4202">
        <v>4</v>
      </c>
      <c r="J4202" t="s">
        <v>75</v>
      </c>
    </row>
    <row r="4203" spans="1:10" x14ac:dyDescent="0.25">
      <c r="A4203" t="s">
        <v>7354</v>
      </c>
      <c r="B4203">
        <f>146697.460581641*(1/100/100)</f>
        <v>14.669746058164101</v>
      </c>
      <c r="C4203">
        <v>47313</v>
      </c>
      <c r="D4203" t="s">
        <v>1219</v>
      </c>
      <c r="E4203">
        <v>41317</v>
      </c>
      <c r="F4203" t="s">
        <v>1219</v>
      </c>
      <c r="G4203">
        <v>413</v>
      </c>
      <c r="H4203" t="s">
        <v>87</v>
      </c>
      <c r="I4203">
        <v>4</v>
      </c>
      <c r="J4203" t="s">
        <v>75</v>
      </c>
    </row>
    <row r="4204" spans="1:10" x14ac:dyDescent="0.25">
      <c r="A4204" t="s">
        <v>7354</v>
      </c>
      <c r="B4204">
        <f>84942.1837650716*(1/100/100)</f>
        <v>8.4942183765071615</v>
      </c>
      <c r="C4204">
        <v>47314</v>
      </c>
      <c r="D4204" t="s">
        <v>3751</v>
      </c>
      <c r="E4204">
        <v>41319</v>
      </c>
      <c r="F4204" t="s">
        <v>1221</v>
      </c>
      <c r="G4204">
        <v>413</v>
      </c>
      <c r="H4204" t="s">
        <v>87</v>
      </c>
      <c r="I4204">
        <v>4</v>
      </c>
      <c r="J4204" t="s">
        <v>75</v>
      </c>
    </row>
    <row r="4205" spans="1:10" x14ac:dyDescent="0.25">
      <c r="A4205" t="s">
        <v>7354</v>
      </c>
      <c r="B4205">
        <f>106767.485105335*(1/100/100)</f>
        <v>10.6767485105335</v>
      </c>
      <c r="C4205">
        <v>47315</v>
      </c>
      <c r="D4205" t="s">
        <v>1222</v>
      </c>
      <c r="E4205">
        <v>41320</v>
      </c>
      <c r="F4205" t="s">
        <v>1222</v>
      </c>
      <c r="G4205">
        <v>413</v>
      </c>
      <c r="H4205" t="s">
        <v>87</v>
      </c>
      <c r="I4205">
        <v>4</v>
      </c>
      <c r="J4205" t="s">
        <v>75</v>
      </c>
    </row>
    <row r="4206" spans="1:10" x14ac:dyDescent="0.25">
      <c r="A4206" t="s">
        <v>7354</v>
      </c>
      <c r="B4206">
        <f>61774.1759097113*(1/100/100)</f>
        <v>6.1774175909711309</v>
      </c>
      <c r="C4206">
        <v>47316</v>
      </c>
      <c r="D4206" t="s">
        <v>5595</v>
      </c>
      <c r="E4206">
        <v>41325</v>
      </c>
      <c r="F4206" t="s">
        <v>1227</v>
      </c>
      <c r="G4206">
        <v>413</v>
      </c>
      <c r="H4206" t="s">
        <v>87</v>
      </c>
      <c r="I4206">
        <v>4</v>
      </c>
      <c r="J4206" t="s">
        <v>75</v>
      </c>
    </row>
    <row r="4207" spans="1:10" x14ac:dyDescent="0.25">
      <c r="A4207" t="s">
        <v>7354</v>
      </c>
      <c r="B4207">
        <f>128169.966285054*(1/100/100)</f>
        <v>12.8169966285054</v>
      </c>
      <c r="C4207">
        <v>47317</v>
      </c>
      <c r="D4207" t="s">
        <v>1227</v>
      </c>
      <c r="E4207">
        <v>41325</v>
      </c>
      <c r="F4207" t="s">
        <v>1227</v>
      </c>
      <c r="G4207">
        <v>413</v>
      </c>
      <c r="H4207" t="s">
        <v>87</v>
      </c>
      <c r="I4207">
        <v>4</v>
      </c>
      <c r="J4207" t="s">
        <v>75</v>
      </c>
    </row>
    <row r="4208" spans="1:10" x14ac:dyDescent="0.25">
      <c r="A4208" t="s">
        <v>7354</v>
      </c>
      <c r="B4208">
        <f>88941.2626161892*(1/100/100)</f>
        <v>8.8941262616189203</v>
      </c>
      <c r="C4208">
        <v>47318</v>
      </c>
      <c r="D4208" t="s">
        <v>5596</v>
      </c>
      <c r="E4208">
        <v>41326</v>
      </c>
      <c r="F4208" t="s">
        <v>1228</v>
      </c>
      <c r="G4208">
        <v>413</v>
      </c>
      <c r="H4208" t="s">
        <v>87</v>
      </c>
      <c r="I4208">
        <v>4</v>
      </c>
      <c r="J4208" t="s">
        <v>75</v>
      </c>
    </row>
    <row r="4209" spans="1:10" x14ac:dyDescent="0.25">
      <c r="A4209" t="s">
        <v>7354</v>
      </c>
      <c r="B4209">
        <f>40543.6036908326*(1/100/100)</f>
        <v>4.0543603690832599</v>
      </c>
      <c r="C4209">
        <v>47319</v>
      </c>
      <c r="D4209" t="s">
        <v>5612</v>
      </c>
      <c r="E4209">
        <v>41338</v>
      </c>
      <c r="F4209" t="s">
        <v>1232</v>
      </c>
      <c r="G4209">
        <v>413</v>
      </c>
      <c r="H4209" t="s">
        <v>87</v>
      </c>
      <c r="I4209">
        <v>4</v>
      </c>
      <c r="J4209" t="s">
        <v>75</v>
      </c>
    </row>
    <row r="4210" spans="1:10" x14ac:dyDescent="0.25">
      <c r="A4210" t="s">
        <v>7354</v>
      </c>
      <c r="B4210">
        <f>284598.182462517*(1/100/100)</f>
        <v>28.4598182462517</v>
      </c>
      <c r="C4210">
        <v>47320</v>
      </c>
      <c r="D4210" t="s">
        <v>87</v>
      </c>
      <c r="E4210">
        <v>41344</v>
      </c>
      <c r="F4210" t="s">
        <v>1236</v>
      </c>
      <c r="G4210">
        <v>413</v>
      </c>
      <c r="H4210" t="s">
        <v>87</v>
      </c>
      <c r="I4210">
        <v>4</v>
      </c>
      <c r="J4210" t="s">
        <v>75</v>
      </c>
    </row>
    <row r="4211" spans="1:10" x14ac:dyDescent="0.25">
      <c r="A4211" t="s">
        <v>7354</v>
      </c>
      <c r="B4211">
        <f>63713.76187585*(1/100/100)</f>
        <v>6.3713761875850006</v>
      </c>
      <c r="C4211">
        <v>47321</v>
      </c>
      <c r="D4211" t="s">
        <v>2875</v>
      </c>
      <c r="E4211">
        <v>41338</v>
      </c>
      <c r="F4211" t="s">
        <v>1232</v>
      </c>
      <c r="G4211">
        <v>413</v>
      </c>
      <c r="H4211" t="s">
        <v>87</v>
      </c>
      <c r="I4211">
        <v>4</v>
      </c>
      <c r="J4211" t="s">
        <v>75</v>
      </c>
    </row>
    <row r="4212" spans="1:10" x14ac:dyDescent="0.25">
      <c r="A4212" t="s">
        <v>7354</v>
      </c>
      <c r="B4212">
        <f>83620.2516352566*(1/100/100)</f>
        <v>8.3620251635256597</v>
      </c>
      <c r="C4212">
        <v>47322</v>
      </c>
      <c r="D4212" t="s">
        <v>5627</v>
      </c>
      <c r="E4212">
        <v>41346</v>
      </c>
      <c r="F4212" t="s">
        <v>5626</v>
      </c>
      <c r="G4212">
        <v>413</v>
      </c>
      <c r="H4212" t="s">
        <v>87</v>
      </c>
      <c r="I4212">
        <v>4</v>
      </c>
      <c r="J4212" t="s">
        <v>75</v>
      </c>
    </row>
    <row r="4213" spans="1:10" x14ac:dyDescent="0.25">
      <c r="A4213" t="s">
        <v>7354</v>
      </c>
      <c r="B4213">
        <f>156589.264753119*(1/100/100)</f>
        <v>15.658926475311901</v>
      </c>
      <c r="C4213">
        <v>47323</v>
      </c>
      <c r="D4213" t="s">
        <v>1232</v>
      </c>
      <c r="E4213">
        <v>41338</v>
      </c>
      <c r="F4213" t="s">
        <v>1232</v>
      </c>
      <c r="G4213">
        <v>413</v>
      </c>
      <c r="H4213" t="s">
        <v>87</v>
      </c>
      <c r="I4213">
        <v>4</v>
      </c>
      <c r="J4213" t="s">
        <v>75</v>
      </c>
    </row>
    <row r="4214" spans="1:10" x14ac:dyDescent="0.25">
      <c r="A4214" t="s">
        <v>7354</v>
      </c>
      <c r="B4214">
        <f>56733.9598119227*(1/100/100)</f>
        <v>5.6733959811922707</v>
      </c>
      <c r="C4214">
        <v>47324</v>
      </c>
      <c r="D4214" t="s">
        <v>5613</v>
      </c>
      <c r="E4214">
        <v>41338</v>
      </c>
      <c r="F4214" t="s">
        <v>1232</v>
      </c>
      <c r="G4214">
        <v>413</v>
      </c>
      <c r="H4214" t="s">
        <v>87</v>
      </c>
      <c r="I4214">
        <v>4</v>
      </c>
      <c r="J4214" t="s">
        <v>75</v>
      </c>
    </row>
    <row r="4215" spans="1:10" x14ac:dyDescent="0.25">
      <c r="A4215" t="s">
        <v>7354</v>
      </c>
      <c r="B4215">
        <f>103723.674216492*(1/100/100)</f>
        <v>10.3723674216492</v>
      </c>
      <c r="C4215">
        <v>47325</v>
      </c>
      <c r="D4215" t="s">
        <v>5788</v>
      </c>
      <c r="E4215">
        <v>41628</v>
      </c>
      <c r="F4215" t="s">
        <v>1306</v>
      </c>
      <c r="G4215">
        <v>416</v>
      </c>
      <c r="H4215" t="s">
        <v>90</v>
      </c>
      <c r="I4215">
        <v>4</v>
      </c>
      <c r="J4215" t="s">
        <v>75</v>
      </c>
    </row>
    <row r="4216" spans="1:10" x14ac:dyDescent="0.25">
      <c r="A4216" t="s">
        <v>7354</v>
      </c>
      <c r="B4216">
        <f>38583.2162099059*(1/100/100)</f>
        <v>3.8583216209905902</v>
      </c>
      <c r="C4216">
        <v>47326</v>
      </c>
      <c r="D4216" t="s">
        <v>5624</v>
      </c>
      <c r="E4216">
        <v>41345</v>
      </c>
      <c r="F4216" t="s">
        <v>1237</v>
      </c>
      <c r="G4216">
        <v>413</v>
      </c>
      <c r="H4216" t="s">
        <v>87</v>
      </c>
      <c r="I4216">
        <v>4</v>
      </c>
      <c r="J4216" t="s">
        <v>75</v>
      </c>
    </row>
    <row r="4217" spans="1:10" x14ac:dyDescent="0.25">
      <c r="A4217" t="s">
        <v>7354</v>
      </c>
      <c r="B4217">
        <f>58861.9392472931*(1/100/100)</f>
        <v>5.8861939247293105</v>
      </c>
      <c r="C4217">
        <v>47327</v>
      </c>
      <c r="D4217" t="s">
        <v>5614</v>
      </c>
      <c r="E4217">
        <v>41338</v>
      </c>
      <c r="F4217" t="s">
        <v>1232</v>
      </c>
      <c r="G4217">
        <v>413</v>
      </c>
      <c r="H4217" t="s">
        <v>87</v>
      </c>
      <c r="I4217">
        <v>4</v>
      </c>
      <c r="J4217" t="s">
        <v>75</v>
      </c>
    </row>
    <row r="4218" spans="1:10" x14ac:dyDescent="0.25">
      <c r="A4218" t="s">
        <v>7354</v>
      </c>
      <c r="B4218">
        <f>42392.1288037358*(1/100/100)</f>
        <v>4.2392128803735805</v>
      </c>
      <c r="C4218">
        <v>47328</v>
      </c>
      <c r="D4218" t="s">
        <v>5623</v>
      </c>
      <c r="E4218">
        <v>41344</v>
      </c>
      <c r="F4218" t="s">
        <v>1236</v>
      </c>
      <c r="G4218">
        <v>413</v>
      </c>
      <c r="H4218" t="s">
        <v>87</v>
      </c>
      <c r="I4218">
        <v>4</v>
      </c>
      <c r="J4218" t="s">
        <v>75</v>
      </c>
    </row>
    <row r="4219" spans="1:10" x14ac:dyDescent="0.25">
      <c r="A4219" t="s">
        <v>7354</v>
      </c>
      <c r="B4219">
        <f>34875.6910042352*(1/100/100)</f>
        <v>3.4875691004235203</v>
      </c>
      <c r="C4219">
        <v>47329</v>
      </c>
      <c r="D4219" t="s">
        <v>5587</v>
      </c>
      <c r="E4219">
        <v>41305</v>
      </c>
      <c r="F4219" t="s">
        <v>1209</v>
      </c>
      <c r="G4219">
        <v>413</v>
      </c>
      <c r="H4219" t="s">
        <v>87</v>
      </c>
      <c r="I4219">
        <v>4</v>
      </c>
      <c r="J4219" t="s">
        <v>75</v>
      </c>
    </row>
    <row r="4220" spans="1:10" x14ac:dyDescent="0.25">
      <c r="A4220" t="s">
        <v>7354</v>
      </c>
      <c r="B4220">
        <f>50222.3556028353*(1/100/100)</f>
        <v>5.02223556028353</v>
      </c>
      <c r="C4220">
        <v>47330</v>
      </c>
      <c r="D4220" t="s">
        <v>5628</v>
      </c>
      <c r="E4220">
        <v>41346</v>
      </c>
      <c r="F4220" t="s">
        <v>5626</v>
      </c>
      <c r="G4220">
        <v>413</v>
      </c>
      <c r="H4220" t="s">
        <v>87</v>
      </c>
      <c r="I4220">
        <v>4</v>
      </c>
      <c r="J4220" t="s">
        <v>75</v>
      </c>
    </row>
    <row r="4221" spans="1:10" x14ac:dyDescent="0.25">
      <c r="A4221" t="s">
        <v>7354</v>
      </c>
      <c r="B4221">
        <f>46339.2727130374*(1/100/100)</f>
        <v>4.6339272713037403</v>
      </c>
      <c r="C4221">
        <v>47331</v>
      </c>
      <c r="D4221" t="s">
        <v>5591</v>
      </c>
      <c r="E4221">
        <v>41317</v>
      </c>
      <c r="F4221" t="s">
        <v>1219</v>
      </c>
      <c r="G4221">
        <v>413</v>
      </c>
      <c r="H4221" t="s">
        <v>87</v>
      </c>
      <c r="I4221">
        <v>4</v>
      </c>
      <c r="J4221" t="s">
        <v>75</v>
      </c>
    </row>
    <row r="4222" spans="1:10" x14ac:dyDescent="0.25">
      <c r="A4222" t="s">
        <v>7354</v>
      </c>
      <c r="B4222">
        <f>56700.1810000334*(1/100/100)</f>
        <v>5.6700181000033405</v>
      </c>
      <c r="C4222">
        <v>48001</v>
      </c>
      <c r="D4222" t="s">
        <v>797</v>
      </c>
      <c r="E4222">
        <v>41420</v>
      </c>
      <c r="F4222" t="s">
        <v>5677</v>
      </c>
      <c r="G4222">
        <v>414</v>
      </c>
      <c r="H4222" t="s">
        <v>88</v>
      </c>
      <c r="I4222">
        <v>4</v>
      </c>
      <c r="J4222" t="s">
        <v>75</v>
      </c>
    </row>
    <row r="4223" spans="1:10" x14ac:dyDescent="0.25">
      <c r="A4223" t="s">
        <v>7354</v>
      </c>
      <c r="B4223">
        <f>41164.1519797623*(1/100/100)</f>
        <v>4.11641519797623</v>
      </c>
      <c r="C4223">
        <v>48002</v>
      </c>
      <c r="D4223" t="s">
        <v>5678</v>
      </c>
      <c r="E4223">
        <v>41420</v>
      </c>
      <c r="F4223" t="s">
        <v>5677</v>
      </c>
      <c r="G4223">
        <v>414</v>
      </c>
      <c r="H4223" t="s">
        <v>88</v>
      </c>
      <c r="I4223">
        <v>4</v>
      </c>
      <c r="J4223" t="s">
        <v>75</v>
      </c>
    </row>
    <row r="4224" spans="1:10" x14ac:dyDescent="0.25">
      <c r="A4224" t="s">
        <v>7354</v>
      </c>
      <c r="B4224">
        <f>32915.5237589146*(1/100/100)</f>
        <v>3.29155237589146</v>
      </c>
      <c r="C4224">
        <v>48003</v>
      </c>
      <c r="D4224" t="s">
        <v>2056</v>
      </c>
      <c r="E4224">
        <v>41420</v>
      </c>
      <c r="F4224" t="s">
        <v>5677</v>
      </c>
      <c r="G4224">
        <v>414</v>
      </c>
      <c r="H4224" t="s">
        <v>88</v>
      </c>
      <c r="I4224">
        <v>4</v>
      </c>
      <c r="J4224" t="s">
        <v>75</v>
      </c>
    </row>
    <row r="4225" spans="1:10" x14ac:dyDescent="0.25">
      <c r="A4225" t="s">
        <v>7354</v>
      </c>
      <c r="B4225">
        <f>81819.567025394*(1/100/100)</f>
        <v>8.1819567025394004</v>
      </c>
      <c r="C4225">
        <v>48004</v>
      </c>
      <c r="D4225" t="s">
        <v>1244</v>
      </c>
      <c r="E4225">
        <v>41407</v>
      </c>
      <c r="F4225" t="s">
        <v>1244</v>
      </c>
      <c r="G4225">
        <v>414</v>
      </c>
      <c r="H4225" t="s">
        <v>88</v>
      </c>
      <c r="I4225">
        <v>4</v>
      </c>
      <c r="J4225" t="s">
        <v>75</v>
      </c>
    </row>
    <row r="4226" spans="1:10" x14ac:dyDescent="0.25">
      <c r="A4226" t="s">
        <v>7354</v>
      </c>
      <c r="B4226">
        <f>48977.5782786657*(1/100/100)</f>
        <v>4.8977578278665703</v>
      </c>
      <c r="C4226">
        <v>48005</v>
      </c>
      <c r="D4226" t="s">
        <v>5650</v>
      </c>
      <c r="E4226">
        <v>41411</v>
      </c>
      <c r="F4226" t="s">
        <v>1248</v>
      </c>
      <c r="G4226">
        <v>414</v>
      </c>
      <c r="H4226" t="s">
        <v>88</v>
      </c>
      <c r="I4226">
        <v>4</v>
      </c>
      <c r="J4226" t="s">
        <v>75</v>
      </c>
    </row>
    <row r="4227" spans="1:10" x14ac:dyDescent="0.25">
      <c r="A4227" t="s">
        <v>7354</v>
      </c>
      <c r="B4227">
        <f>52255.056259369*(1/100/100)</f>
        <v>5.2255056259368997</v>
      </c>
      <c r="C4227">
        <v>48006</v>
      </c>
      <c r="D4227" t="s">
        <v>5679</v>
      </c>
      <c r="E4227">
        <v>41420</v>
      </c>
      <c r="F4227" t="s">
        <v>5677</v>
      </c>
      <c r="G4227">
        <v>414</v>
      </c>
      <c r="H4227" t="s">
        <v>88</v>
      </c>
      <c r="I4227">
        <v>4</v>
      </c>
      <c r="J4227" t="s">
        <v>75</v>
      </c>
    </row>
    <row r="4228" spans="1:10" x14ac:dyDescent="0.25">
      <c r="A4228" t="s">
        <v>7354</v>
      </c>
      <c r="B4228">
        <f>94143.9733085293*(1/100/100)</f>
        <v>9.4143973308529301</v>
      </c>
      <c r="C4228">
        <v>48007</v>
      </c>
      <c r="D4228" t="s">
        <v>5651</v>
      </c>
      <c r="E4228">
        <v>41411</v>
      </c>
      <c r="F4228" t="s">
        <v>1248</v>
      </c>
      <c r="G4228">
        <v>414</v>
      </c>
      <c r="H4228" t="s">
        <v>88</v>
      </c>
      <c r="I4228">
        <v>4</v>
      </c>
      <c r="J4228" t="s">
        <v>75</v>
      </c>
    </row>
    <row r="4229" spans="1:10" x14ac:dyDescent="0.25">
      <c r="A4229" t="s">
        <v>7354</v>
      </c>
      <c r="B4229">
        <f>47131.9068889919*(1/100/100)</f>
        <v>4.7131906888991901</v>
      </c>
      <c r="C4229">
        <v>48008</v>
      </c>
      <c r="D4229" t="s">
        <v>5665</v>
      </c>
      <c r="E4229">
        <v>41417</v>
      </c>
      <c r="F4229" t="s">
        <v>5666</v>
      </c>
      <c r="G4229">
        <v>414</v>
      </c>
      <c r="H4229" t="s">
        <v>88</v>
      </c>
      <c r="I4229">
        <v>4</v>
      </c>
      <c r="J4229" t="s">
        <v>75</v>
      </c>
    </row>
    <row r="4230" spans="1:10" x14ac:dyDescent="0.25">
      <c r="A4230" t="s">
        <v>7354</v>
      </c>
      <c r="B4230">
        <f>172899.520109141*(1/100/100)</f>
        <v>17.289952010914103</v>
      </c>
      <c r="C4230">
        <v>48009</v>
      </c>
      <c r="D4230" t="s">
        <v>5646</v>
      </c>
      <c r="E4230">
        <v>41409</v>
      </c>
      <c r="F4230" t="s">
        <v>1246</v>
      </c>
      <c r="G4230">
        <v>414</v>
      </c>
      <c r="H4230" t="s">
        <v>88</v>
      </c>
      <c r="I4230">
        <v>4</v>
      </c>
      <c r="J4230" t="s">
        <v>75</v>
      </c>
    </row>
    <row r="4231" spans="1:10" x14ac:dyDescent="0.25">
      <c r="A4231" t="s">
        <v>7354</v>
      </c>
      <c r="B4231">
        <f>41497.2904648231*(1/100/100)</f>
        <v>4.1497290464823102</v>
      </c>
      <c r="C4231">
        <v>48010</v>
      </c>
      <c r="D4231" t="s">
        <v>5680</v>
      </c>
      <c r="E4231">
        <v>41420</v>
      </c>
      <c r="F4231" t="s">
        <v>5677</v>
      </c>
      <c r="G4231">
        <v>414</v>
      </c>
      <c r="H4231" t="s">
        <v>88</v>
      </c>
      <c r="I4231">
        <v>4</v>
      </c>
      <c r="J4231" t="s">
        <v>75</v>
      </c>
    </row>
    <row r="4232" spans="1:10" x14ac:dyDescent="0.25">
      <c r="A4232" t="s">
        <v>7354</v>
      </c>
      <c r="B4232">
        <f>113401.21588223*(1/100/100)</f>
        <v>11.340121588223001</v>
      </c>
      <c r="C4232">
        <v>48011</v>
      </c>
      <c r="D4232" t="s">
        <v>5652</v>
      </c>
      <c r="E4232">
        <v>41411</v>
      </c>
      <c r="F4232" t="s">
        <v>1248</v>
      </c>
      <c r="G4232">
        <v>414</v>
      </c>
      <c r="H4232" t="s">
        <v>88</v>
      </c>
      <c r="I4232">
        <v>4</v>
      </c>
      <c r="J4232" t="s">
        <v>75</v>
      </c>
    </row>
    <row r="4233" spans="1:10" x14ac:dyDescent="0.25">
      <c r="A4233" t="s">
        <v>7354</v>
      </c>
      <c r="B4233">
        <f>72831.9138800503*(1/100/100)</f>
        <v>7.2831913880050303</v>
      </c>
      <c r="C4233">
        <v>48012</v>
      </c>
      <c r="D4233" t="s">
        <v>5653</v>
      </c>
      <c r="E4233">
        <v>41411</v>
      </c>
      <c r="F4233" t="s">
        <v>1248</v>
      </c>
      <c r="G4233">
        <v>414</v>
      </c>
      <c r="H4233" t="s">
        <v>88</v>
      </c>
      <c r="I4233">
        <v>4</v>
      </c>
      <c r="J4233" t="s">
        <v>75</v>
      </c>
    </row>
    <row r="4234" spans="1:10" x14ac:dyDescent="0.25">
      <c r="A4234" t="s">
        <v>7354</v>
      </c>
      <c r="B4234">
        <f>105057.915478494*(1/100/100)</f>
        <v>10.505791547849402</v>
      </c>
      <c r="C4234">
        <v>48013</v>
      </c>
      <c r="D4234" t="s">
        <v>5697</v>
      </c>
      <c r="E4234">
        <v>41428</v>
      </c>
      <c r="F4234" t="s">
        <v>1259</v>
      </c>
      <c r="G4234">
        <v>414</v>
      </c>
      <c r="H4234" t="s">
        <v>88</v>
      </c>
      <c r="I4234">
        <v>4</v>
      </c>
      <c r="J4234" t="s">
        <v>75</v>
      </c>
    </row>
    <row r="4235" spans="1:10" x14ac:dyDescent="0.25">
      <c r="A4235" t="s">
        <v>7354</v>
      </c>
      <c r="B4235">
        <f>55767.9025768913*(1/100/100)</f>
        <v>5.5767902576891304</v>
      </c>
      <c r="C4235">
        <v>48014</v>
      </c>
      <c r="D4235" t="s">
        <v>5647</v>
      </c>
      <c r="E4235">
        <v>41409</v>
      </c>
      <c r="F4235" t="s">
        <v>1246</v>
      </c>
      <c r="G4235">
        <v>414</v>
      </c>
      <c r="H4235" t="s">
        <v>88</v>
      </c>
      <c r="I4235">
        <v>4</v>
      </c>
      <c r="J4235" t="s">
        <v>75</v>
      </c>
    </row>
    <row r="4236" spans="1:10" x14ac:dyDescent="0.25">
      <c r="A4236" t="s">
        <v>7354</v>
      </c>
      <c r="B4236">
        <f>53073.354989*(1/100/100)</f>
        <v>5.3073354989000006</v>
      </c>
      <c r="C4236">
        <v>48015</v>
      </c>
      <c r="D4236" t="s">
        <v>86</v>
      </c>
      <c r="E4236">
        <v>41420</v>
      </c>
      <c r="F4236" t="s">
        <v>5677</v>
      </c>
      <c r="G4236">
        <v>414</v>
      </c>
      <c r="H4236" t="s">
        <v>88</v>
      </c>
      <c r="I4236">
        <v>4</v>
      </c>
      <c r="J4236" t="s">
        <v>75</v>
      </c>
    </row>
    <row r="4237" spans="1:10" x14ac:dyDescent="0.25">
      <c r="A4237" t="s">
        <v>7354</v>
      </c>
      <c r="B4237">
        <f>133955.173496275*(1/100/100)</f>
        <v>13.395517349627502</v>
      </c>
      <c r="C4237">
        <v>48016</v>
      </c>
      <c r="D4237" t="s">
        <v>5666</v>
      </c>
      <c r="E4237">
        <v>41417</v>
      </c>
      <c r="F4237" t="s">
        <v>5666</v>
      </c>
      <c r="G4237">
        <v>414</v>
      </c>
      <c r="H4237" t="s">
        <v>88</v>
      </c>
      <c r="I4237">
        <v>4</v>
      </c>
      <c r="J4237" t="s">
        <v>75</v>
      </c>
    </row>
    <row r="4238" spans="1:10" x14ac:dyDescent="0.25">
      <c r="A4238" t="s">
        <v>7354</v>
      </c>
      <c r="B4238">
        <f>88682.0184757053*(1/100/100)</f>
        <v>8.8682018475705302</v>
      </c>
      <c r="C4238">
        <v>48017</v>
      </c>
      <c r="D4238" t="s">
        <v>5667</v>
      </c>
      <c r="E4238">
        <v>41417</v>
      </c>
      <c r="F4238" t="s">
        <v>5666</v>
      </c>
      <c r="G4238">
        <v>414</v>
      </c>
      <c r="H4238" t="s">
        <v>88</v>
      </c>
      <c r="I4238">
        <v>4</v>
      </c>
      <c r="J4238" t="s">
        <v>75</v>
      </c>
    </row>
    <row r="4239" spans="1:10" x14ac:dyDescent="0.25">
      <c r="A4239" t="s">
        <v>7354</v>
      </c>
      <c r="B4239">
        <f>48273.6559383212*(1/100/100)</f>
        <v>4.8273655938321207</v>
      </c>
      <c r="C4239">
        <v>48018</v>
      </c>
      <c r="D4239" t="s">
        <v>5212</v>
      </c>
      <c r="E4239">
        <v>41407</v>
      </c>
      <c r="F4239" t="s">
        <v>1244</v>
      </c>
      <c r="G4239">
        <v>414</v>
      </c>
      <c r="H4239" t="s">
        <v>88</v>
      </c>
      <c r="I4239">
        <v>4</v>
      </c>
      <c r="J4239" t="s">
        <v>75</v>
      </c>
    </row>
    <row r="4240" spans="1:10" x14ac:dyDescent="0.25">
      <c r="A4240" t="s">
        <v>7354</v>
      </c>
      <c r="B4240">
        <f>3376.37345137953*(1/100/100)</f>
        <v>0.33763734513795302</v>
      </c>
      <c r="C4240">
        <v>48019</v>
      </c>
      <c r="D4240" t="s">
        <v>5698</v>
      </c>
      <c r="E4240">
        <v>41428</v>
      </c>
      <c r="F4240" t="s">
        <v>1259</v>
      </c>
      <c r="G4240">
        <v>414</v>
      </c>
      <c r="H4240" t="s">
        <v>88</v>
      </c>
      <c r="I4240">
        <v>4</v>
      </c>
      <c r="J4240" t="s">
        <v>75</v>
      </c>
    </row>
    <row r="4241" spans="1:10" x14ac:dyDescent="0.25">
      <c r="A4241" t="s">
        <v>7354</v>
      </c>
      <c r="B4241">
        <f>82973.7713258892*(1/100/100)</f>
        <v>8.2973771325889203</v>
      </c>
      <c r="C4241">
        <v>48020</v>
      </c>
      <c r="D4241" t="s">
        <v>4284</v>
      </c>
      <c r="E4241">
        <v>41409</v>
      </c>
      <c r="F4241" t="s">
        <v>1246</v>
      </c>
      <c r="G4241">
        <v>414</v>
      </c>
      <c r="H4241" t="s">
        <v>88</v>
      </c>
      <c r="I4241">
        <v>4</v>
      </c>
      <c r="J4241" t="s">
        <v>75</v>
      </c>
    </row>
    <row r="4242" spans="1:10" x14ac:dyDescent="0.25">
      <c r="A4242" t="s">
        <v>7354</v>
      </c>
      <c r="B4242">
        <f>85910.1020167816*(1/100/100)</f>
        <v>8.5910102016781611</v>
      </c>
      <c r="C4242">
        <v>48021</v>
      </c>
      <c r="D4242" t="s">
        <v>1258</v>
      </c>
      <c r="E4242">
        <v>41427</v>
      </c>
      <c r="F4242" t="s">
        <v>1258</v>
      </c>
      <c r="G4242">
        <v>414</v>
      </c>
      <c r="H4242" t="s">
        <v>88</v>
      </c>
      <c r="I4242">
        <v>4</v>
      </c>
      <c r="J4242" t="s">
        <v>75</v>
      </c>
    </row>
    <row r="4243" spans="1:10" x14ac:dyDescent="0.25">
      <c r="A4243" t="s">
        <v>7354</v>
      </c>
      <c r="B4243">
        <f>89674.4300530812*(1/100/100)</f>
        <v>8.9674430053081213</v>
      </c>
      <c r="C4243">
        <v>48022</v>
      </c>
      <c r="D4243" t="s">
        <v>5699</v>
      </c>
      <c r="E4243">
        <v>41428</v>
      </c>
      <c r="F4243" t="s">
        <v>1259</v>
      </c>
      <c r="G4243">
        <v>414</v>
      </c>
      <c r="H4243" t="s">
        <v>88</v>
      </c>
      <c r="I4243">
        <v>4</v>
      </c>
      <c r="J4243" t="s">
        <v>75</v>
      </c>
    </row>
    <row r="4244" spans="1:10" x14ac:dyDescent="0.25">
      <c r="A4244" t="s">
        <v>7354</v>
      </c>
      <c r="B4244">
        <f>62707.1230291883*(1/100/100)</f>
        <v>6.2707123029188301</v>
      </c>
      <c r="C4244">
        <v>48023</v>
      </c>
      <c r="D4244" t="s">
        <v>5648</v>
      </c>
      <c r="E4244">
        <v>41409</v>
      </c>
      <c r="F4244" t="s">
        <v>1246</v>
      </c>
      <c r="G4244">
        <v>414</v>
      </c>
      <c r="H4244" t="s">
        <v>88</v>
      </c>
      <c r="I4244">
        <v>4</v>
      </c>
      <c r="J4244" t="s">
        <v>75</v>
      </c>
    </row>
    <row r="4245" spans="1:10" x14ac:dyDescent="0.25">
      <c r="A4245" t="s">
        <v>7354</v>
      </c>
      <c r="B4245">
        <f>151737.954271445*(1/100/100)</f>
        <v>15.173795427144499</v>
      </c>
      <c r="C4245">
        <v>48101</v>
      </c>
      <c r="D4245" t="s">
        <v>5681</v>
      </c>
      <c r="E4245">
        <v>41421</v>
      </c>
      <c r="F4245" t="s">
        <v>5682</v>
      </c>
      <c r="G4245">
        <v>414</v>
      </c>
      <c r="H4245" t="s">
        <v>88</v>
      </c>
      <c r="I4245">
        <v>4</v>
      </c>
      <c r="J4245" t="s">
        <v>75</v>
      </c>
    </row>
    <row r="4246" spans="1:10" x14ac:dyDescent="0.25">
      <c r="A4246" t="s">
        <v>7354</v>
      </c>
      <c r="B4246">
        <f>25128.3341126392*(1/100/100)</f>
        <v>2.5128334112639203</v>
      </c>
      <c r="C4246">
        <v>48102</v>
      </c>
      <c r="D4246" t="s">
        <v>5704</v>
      </c>
      <c r="E4246">
        <v>41430</v>
      </c>
      <c r="F4246" t="s">
        <v>1261</v>
      </c>
      <c r="G4246">
        <v>414</v>
      </c>
      <c r="H4246" t="s">
        <v>88</v>
      </c>
      <c r="I4246">
        <v>4</v>
      </c>
      <c r="J4246" t="s">
        <v>75</v>
      </c>
    </row>
    <row r="4247" spans="1:10" x14ac:dyDescent="0.25">
      <c r="A4247" t="s">
        <v>7354</v>
      </c>
      <c r="B4247">
        <f>82246.0189483724*(1/100/100)</f>
        <v>8.2246018948372406</v>
      </c>
      <c r="C4247">
        <v>48103</v>
      </c>
      <c r="D4247" t="s">
        <v>1238</v>
      </c>
      <c r="E4247">
        <v>41401</v>
      </c>
      <c r="F4247" t="s">
        <v>1238</v>
      </c>
      <c r="G4247">
        <v>414</v>
      </c>
      <c r="H4247" t="s">
        <v>88</v>
      </c>
      <c r="I4247">
        <v>4</v>
      </c>
      <c r="J4247" t="s">
        <v>75</v>
      </c>
    </row>
    <row r="4248" spans="1:10" x14ac:dyDescent="0.25">
      <c r="A4248" t="s">
        <v>7354</v>
      </c>
      <c r="B4248">
        <f>284887.042967215*(1/100/100)</f>
        <v>28.488704296721501</v>
      </c>
      <c r="C4248">
        <v>48104</v>
      </c>
      <c r="D4248" t="s">
        <v>1239</v>
      </c>
      <c r="E4248">
        <v>41402</v>
      </c>
      <c r="F4248" t="s">
        <v>1239</v>
      </c>
      <c r="G4248">
        <v>414</v>
      </c>
      <c r="H4248" t="s">
        <v>88</v>
      </c>
      <c r="I4248">
        <v>4</v>
      </c>
      <c r="J4248" t="s">
        <v>75</v>
      </c>
    </row>
    <row r="4249" spans="1:10" x14ac:dyDescent="0.25">
      <c r="A4249" t="s">
        <v>7354</v>
      </c>
      <c r="B4249">
        <f>64812.7044566363*(1/100/100)</f>
        <v>6.4812704456636299</v>
      </c>
      <c r="C4249">
        <v>48105</v>
      </c>
      <c r="D4249" t="s">
        <v>5635</v>
      </c>
      <c r="E4249">
        <v>41404</v>
      </c>
      <c r="F4249" t="s">
        <v>1241</v>
      </c>
      <c r="G4249">
        <v>414</v>
      </c>
      <c r="H4249" t="s">
        <v>88</v>
      </c>
      <c r="I4249">
        <v>4</v>
      </c>
      <c r="J4249" t="s">
        <v>75</v>
      </c>
    </row>
    <row r="4250" spans="1:10" x14ac:dyDescent="0.25">
      <c r="A4250" t="s">
        <v>7354</v>
      </c>
      <c r="B4250">
        <f>34045.1885800588*(1/100/100)</f>
        <v>3.4045188580058801</v>
      </c>
      <c r="C4250">
        <v>48106</v>
      </c>
      <c r="D4250" t="s">
        <v>5630</v>
      </c>
      <c r="E4250">
        <v>41402</v>
      </c>
      <c r="F4250" t="s">
        <v>1239</v>
      </c>
      <c r="G4250">
        <v>414</v>
      </c>
      <c r="H4250" t="s">
        <v>88</v>
      </c>
      <c r="I4250">
        <v>4</v>
      </c>
      <c r="J4250" t="s">
        <v>75</v>
      </c>
    </row>
    <row r="4251" spans="1:10" x14ac:dyDescent="0.25">
      <c r="A4251" t="s">
        <v>7354</v>
      </c>
      <c r="B4251">
        <f>42941.3477175301*(1/100/100)</f>
        <v>4.2941347717530105</v>
      </c>
      <c r="C4251">
        <v>48107</v>
      </c>
      <c r="D4251" t="s">
        <v>1241</v>
      </c>
      <c r="E4251">
        <v>41404</v>
      </c>
      <c r="F4251" t="s">
        <v>1241</v>
      </c>
      <c r="G4251">
        <v>414</v>
      </c>
      <c r="H4251" t="s">
        <v>88</v>
      </c>
      <c r="I4251">
        <v>4</v>
      </c>
      <c r="J4251" t="s">
        <v>75</v>
      </c>
    </row>
    <row r="4252" spans="1:10" x14ac:dyDescent="0.25">
      <c r="A4252" t="s">
        <v>7354</v>
      </c>
      <c r="B4252">
        <f>100283.496228345*(1/100/100)</f>
        <v>10.028349622834501</v>
      </c>
      <c r="C4252">
        <v>48108</v>
      </c>
      <c r="D4252" t="s">
        <v>5345</v>
      </c>
      <c r="E4252">
        <v>41405</v>
      </c>
      <c r="F4252" t="s">
        <v>1242</v>
      </c>
      <c r="G4252">
        <v>414</v>
      </c>
      <c r="H4252" t="s">
        <v>88</v>
      </c>
      <c r="I4252">
        <v>4</v>
      </c>
      <c r="J4252" t="s">
        <v>75</v>
      </c>
    </row>
    <row r="4253" spans="1:10" x14ac:dyDescent="0.25">
      <c r="A4253" t="s">
        <v>7354</v>
      </c>
      <c r="B4253">
        <f>105445.112728825*(1/100/100)</f>
        <v>10.544511272882501</v>
      </c>
      <c r="C4253">
        <v>48109</v>
      </c>
      <c r="D4253" t="s">
        <v>1245</v>
      </c>
      <c r="E4253">
        <v>41408</v>
      </c>
      <c r="F4253" t="s">
        <v>1245</v>
      </c>
      <c r="G4253">
        <v>414</v>
      </c>
      <c r="H4253" t="s">
        <v>88</v>
      </c>
      <c r="I4253">
        <v>4</v>
      </c>
      <c r="J4253" t="s">
        <v>75</v>
      </c>
    </row>
    <row r="4254" spans="1:10" x14ac:dyDescent="0.25">
      <c r="A4254" t="s">
        <v>7354</v>
      </c>
      <c r="B4254">
        <f>32298.1880970172*(1/100/100)</f>
        <v>3.2298188097017202</v>
      </c>
      <c r="C4254">
        <v>48110</v>
      </c>
      <c r="D4254" t="s">
        <v>5658</v>
      </c>
      <c r="E4254">
        <v>41414</v>
      </c>
      <c r="F4254" t="s">
        <v>1251</v>
      </c>
      <c r="G4254">
        <v>414</v>
      </c>
      <c r="H4254" t="s">
        <v>88</v>
      </c>
      <c r="I4254">
        <v>4</v>
      </c>
      <c r="J4254" t="s">
        <v>75</v>
      </c>
    </row>
    <row r="4255" spans="1:10" x14ac:dyDescent="0.25">
      <c r="A4255" t="s">
        <v>7354</v>
      </c>
      <c r="B4255">
        <f>24288.1979441386*(1/100/100)</f>
        <v>2.4288197944138599</v>
      </c>
      <c r="C4255">
        <v>48111</v>
      </c>
      <c r="D4255" t="s">
        <v>5683</v>
      </c>
      <c r="E4255">
        <v>41421</v>
      </c>
      <c r="F4255" t="s">
        <v>5682</v>
      </c>
      <c r="G4255">
        <v>414</v>
      </c>
      <c r="H4255" t="s">
        <v>88</v>
      </c>
      <c r="I4255">
        <v>4</v>
      </c>
      <c r="J4255" t="s">
        <v>75</v>
      </c>
    </row>
    <row r="4256" spans="1:10" x14ac:dyDescent="0.25">
      <c r="A4256" t="s">
        <v>7354</v>
      </c>
      <c r="B4256">
        <f>52105.8815912034*(1/100/100)</f>
        <v>5.2105881591203396</v>
      </c>
      <c r="C4256">
        <v>48112</v>
      </c>
      <c r="D4256" t="s">
        <v>5636</v>
      </c>
      <c r="E4256">
        <v>41404</v>
      </c>
      <c r="F4256" t="s">
        <v>1241</v>
      </c>
      <c r="G4256">
        <v>414</v>
      </c>
      <c r="H4256" t="s">
        <v>88</v>
      </c>
      <c r="I4256">
        <v>4</v>
      </c>
      <c r="J4256" t="s">
        <v>75</v>
      </c>
    </row>
    <row r="4257" spans="1:10" x14ac:dyDescent="0.25">
      <c r="A4257" t="s">
        <v>7354</v>
      </c>
      <c r="B4257">
        <f>83101.636819777*(1/100/100)</f>
        <v>8.3101636819777003</v>
      </c>
      <c r="C4257">
        <v>48113</v>
      </c>
      <c r="D4257" t="s">
        <v>5631</v>
      </c>
      <c r="E4257">
        <v>41402</v>
      </c>
      <c r="F4257" t="s">
        <v>1239</v>
      </c>
      <c r="G4257">
        <v>414</v>
      </c>
      <c r="H4257" t="s">
        <v>88</v>
      </c>
      <c r="I4257">
        <v>4</v>
      </c>
      <c r="J4257" t="s">
        <v>75</v>
      </c>
    </row>
    <row r="4258" spans="1:10" x14ac:dyDescent="0.25">
      <c r="A4258" t="s">
        <v>7354</v>
      </c>
      <c r="B4258">
        <f>84314.6006986271*(1/100/100)</f>
        <v>8.4314600698627107</v>
      </c>
      <c r="C4258">
        <v>48114</v>
      </c>
      <c r="D4258" t="s">
        <v>5640</v>
      </c>
      <c r="E4258">
        <v>41405</v>
      </c>
      <c r="F4258" t="s">
        <v>1242</v>
      </c>
      <c r="G4258">
        <v>414</v>
      </c>
      <c r="H4258" t="s">
        <v>88</v>
      </c>
      <c r="I4258">
        <v>4</v>
      </c>
      <c r="J4258" t="s">
        <v>75</v>
      </c>
    </row>
    <row r="4259" spans="1:10" x14ac:dyDescent="0.25">
      <c r="A4259" t="s">
        <v>7354</v>
      </c>
      <c r="B4259">
        <f>65680.6769679815*(1/100/100)</f>
        <v>6.5680676967981508</v>
      </c>
      <c r="C4259">
        <v>48115</v>
      </c>
      <c r="D4259" t="s">
        <v>5643</v>
      </c>
      <c r="E4259">
        <v>41408</v>
      </c>
      <c r="F4259" t="s">
        <v>1245</v>
      </c>
      <c r="G4259">
        <v>414</v>
      </c>
      <c r="H4259" t="s">
        <v>88</v>
      </c>
      <c r="I4259">
        <v>4</v>
      </c>
      <c r="J4259" t="s">
        <v>75</v>
      </c>
    </row>
    <row r="4260" spans="1:10" x14ac:dyDescent="0.25">
      <c r="A4260" t="s">
        <v>7354</v>
      </c>
      <c r="B4260">
        <f>46265.4089500543*(1/100/100)</f>
        <v>4.6265408950054301</v>
      </c>
      <c r="C4260">
        <v>48116</v>
      </c>
      <c r="D4260" t="s">
        <v>5637</v>
      </c>
      <c r="E4260">
        <v>41404</v>
      </c>
      <c r="F4260" t="s">
        <v>1241</v>
      </c>
      <c r="G4260">
        <v>414</v>
      </c>
      <c r="H4260" t="s">
        <v>88</v>
      </c>
      <c r="I4260">
        <v>4</v>
      </c>
      <c r="J4260" t="s">
        <v>75</v>
      </c>
    </row>
    <row r="4261" spans="1:10" x14ac:dyDescent="0.25">
      <c r="A4261" t="s">
        <v>7354</v>
      </c>
      <c r="B4261">
        <f>46019.0724927651*(1/100/100)</f>
        <v>4.6019072492765103</v>
      </c>
      <c r="C4261">
        <v>48117</v>
      </c>
      <c r="D4261" t="s">
        <v>5644</v>
      </c>
      <c r="E4261">
        <v>41408</v>
      </c>
      <c r="F4261" t="s">
        <v>1245</v>
      </c>
      <c r="G4261">
        <v>414</v>
      </c>
      <c r="H4261" t="s">
        <v>88</v>
      </c>
      <c r="I4261">
        <v>4</v>
      </c>
      <c r="J4261" t="s">
        <v>75</v>
      </c>
    </row>
    <row r="4262" spans="1:10" x14ac:dyDescent="0.25">
      <c r="A4262" t="s">
        <v>7354</v>
      </c>
      <c r="B4262">
        <f>34905.78877848*(1/100/100)</f>
        <v>3.4905788778479998</v>
      </c>
      <c r="C4262">
        <v>48118</v>
      </c>
      <c r="D4262" t="s">
        <v>5638</v>
      </c>
      <c r="E4262">
        <v>41404</v>
      </c>
      <c r="F4262" t="s">
        <v>1241</v>
      </c>
      <c r="G4262">
        <v>414</v>
      </c>
      <c r="H4262" t="s">
        <v>88</v>
      </c>
      <c r="I4262">
        <v>4</v>
      </c>
      <c r="J4262" t="s">
        <v>75</v>
      </c>
    </row>
    <row r="4263" spans="1:10" x14ac:dyDescent="0.25">
      <c r="A4263" t="s">
        <v>7354</v>
      </c>
      <c r="B4263">
        <f>16329.2572874006*(1/100/100)</f>
        <v>1.63292572874006</v>
      </c>
      <c r="C4263">
        <v>48119</v>
      </c>
      <c r="D4263" t="s">
        <v>5705</v>
      </c>
      <c r="E4263">
        <v>41430</v>
      </c>
      <c r="F4263" t="s">
        <v>1261</v>
      </c>
      <c r="G4263">
        <v>414</v>
      </c>
      <c r="H4263" t="s">
        <v>88</v>
      </c>
      <c r="I4263">
        <v>4</v>
      </c>
      <c r="J4263" t="s">
        <v>75</v>
      </c>
    </row>
    <row r="4264" spans="1:10" x14ac:dyDescent="0.25">
      <c r="A4264" t="s">
        <v>7354</v>
      </c>
      <c r="B4264">
        <f>90587.0074479494*(1/100/100)</f>
        <v>9.0587007447949404</v>
      </c>
      <c r="C4264">
        <v>48120</v>
      </c>
      <c r="D4264" t="s">
        <v>5489</v>
      </c>
      <c r="E4264">
        <v>41402</v>
      </c>
      <c r="F4264" t="s">
        <v>1239</v>
      </c>
      <c r="G4264">
        <v>414</v>
      </c>
      <c r="H4264" t="s">
        <v>88</v>
      </c>
      <c r="I4264">
        <v>4</v>
      </c>
      <c r="J4264" t="s">
        <v>75</v>
      </c>
    </row>
    <row r="4265" spans="1:10" x14ac:dyDescent="0.25">
      <c r="A4265" t="s">
        <v>7354</v>
      </c>
      <c r="B4265">
        <f>73811.8788204807*(1/100/100)</f>
        <v>7.3811878820480707</v>
      </c>
      <c r="C4265">
        <v>48121</v>
      </c>
      <c r="D4265" t="s">
        <v>5645</v>
      </c>
      <c r="E4265">
        <v>41408</v>
      </c>
      <c r="F4265" t="s">
        <v>1245</v>
      </c>
      <c r="G4265">
        <v>414</v>
      </c>
      <c r="H4265" t="s">
        <v>88</v>
      </c>
      <c r="I4265">
        <v>4</v>
      </c>
      <c r="J4265" t="s">
        <v>75</v>
      </c>
    </row>
    <row r="4266" spans="1:10" x14ac:dyDescent="0.25">
      <c r="A4266" t="s">
        <v>7354</v>
      </c>
      <c r="B4266">
        <f>53857.8591791732*(1/100/100)</f>
        <v>5.3857859179173202</v>
      </c>
      <c r="C4266">
        <v>48122</v>
      </c>
      <c r="D4266" t="s">
        <v>5659</v>
      </c>
      <c r="E4266">
        <v>41414</v>
      </c>
      <c r="F4266" t="s">
        <v>1251</v>
      </c>
      <c r="G4266">
        <v>414</v>
      </c>
      <c r="H4266" t="s">
        <v>88</v>
      </c>
      <c r="I4266">
        <v>4</v>
      </c>
      <c r="J4266" t="s">
        <v>75</v>
      </c>
    </row>
    <row r="4267" spans="1:10" x14ac:dyDescent="0.25">
      <c r="A4267" t="s">
        <v>7354</v>
      </c>
      <c r="B4267">
        <f>38490.0523229659*(1/100/100)</f>
        <v>3.8490052322965904</v>
      </c>
      <c r="C4267">
        <v>48123</v>
      </c>
      <c r="D4267" t="s">
        <v>5706</v>
      </c>
      <c r="E4267">
        <v>41430</v>
      </c>
      <c r="F4267" t="s">
        <v>1261</v>
      </c>
      <c r="G4267">
        <v>414</v>
      </c>
      <c r="H4267" t="s">
        <v>88</v>
      </c>
      <c r="I4267">
        <v>4</v>
      </c>
      <c r="J4267" t="s">
        <v>75</v>
      </c>
    </row>
    <row r="4268" spans="1:10" x14ac:dyDescent="0.25">
      <c r="A4268" t="s">
        <v>7354</v>
      </c>
      <c r="B4268">
        <f>49072.3891442093*(1/100/100)</f>
        <v>4.9072389144209305</v>
      </c>
      <c r="C4268">
        <v>48124</v>
      </c>
      <c r="D4268" t="s">
        <v>3770</v>
      </c>
      <c r="E4268">
        <v>41402</v>
      </c>
      <c r="F4268" t="s">
        <v>1239</v>
      </c>
      <c r="G4268">
        <v>414</v>
      </c>
      <c r="H4268" t="s">
        <v>88</v>
      </c>
      <c r="I4268">
        <v>4</v>
      </c>
      <c r="J4268" t="s">
        <v>75</v>
      </c>
    </row>
    <row r="4269" spans="1:10" x14ac:dyDescent="0.25">
      <c r="A4269" t="s">
        <v>7354</v>
      </c>
      <c r="B4269">
        <f>31542.7414961266*(1/100/100)</f>
        <v>3.1542741496126601</v>
      </c>
      <c r="C4269">
        <v>48125</v>
      </c>
      <c r="D4269" t="s">
        <v>5629</v>
      </c>
      <c r="E4269">
        <v>41401</v>
      </c>
      <c r="F4269" t="s">
        <v>1238</v>
      </c>
      <c r="G4269">
        <v>414</v>
      </c>
      <c r="H4269" t="s">
        <v>88</v>
      </c>
      <c r="I4269">
        <v>4</v>
      </c>
      <c r="J4269" t="s">
        <v>75</v>
      </c>
    </row>
    <row r="4270" spans="1:10" x14ac:dyDescent="0.25">
      <c r="A4270" t="s">
        <v>7354</v>
      </c>
      <c r="B4270">
        <f>34140.6585615425*(1/100/100)</f>
        <v>3.4140658561542501</v>
      </c>
      <c r="C4270">
        <v>48126</v>
      </c>
      <c r="D4270" t="s">
        <v>5660</v>
      </c>
      <c r="E4270">
        <v>41414</v>
      </c>
      <c r="F4270" t="s">
        <v>1251</v>
      </c>
      <c r="G4270">
        <v>414</v>
      </c>
      <c r="H4270" t="s">
        <v>88</v>
      </c>
      <c r="I4270">
        <v>4</v>
      </c>
      <c r="J4270" t="s">
        <v>75</v>
      </c>
    </row>
    <row r="4271" spans="1:10" x14ac:dyDescent="0.25">
      <c r="A4271" t="s">
        <v>7354</v>
      </c>
      <c r="B4271">
        <f>144812.648841104*(1/100/100)</f>
        <v>14.4812648841104</v>
      </c>
      <c r="C4271">
        <v>48127</v>
      </c>
      <c r="D4271" t="s">
        <v>1251</v>
      </c>
      <c r="E4271">
        <v>41414</v>
      </c>
      <c r="F4271" t="s">
        <v>1251</v>
      </c>
      <c r="G4271">
        <v>414</v>
      </c>
      <c r="H4271" t="s">
        <v>88</v>
      </c>
      <c r="I4271">
        <v>4</v>
      </c>
      <c r="J4271" t="s">
        <v>75</v>
      </c>
    </row>
    <row r="4272" spans="1:10" x14ac:dyDescent="0.25">
      <c r="A4272" t="s">
        <v>7354</v>
      </c>
      <c r="B4272">
        <f>41150.3969948601*(1/100/100)</f>
        <v>4.1150396994860099</v>
      </c>
      <c r="C4272">
        <v>48128</v>
      </c>
      <c r="D4272" t="s">
        <v>5707</v>
      </c>
      <c r="E4272">
        <v>41430</v>
      </c>
      <c r="F4272" t="s">
        <v>1261</v>
      </c>
      <c r="G4272">
        <v>414</v>
      </c>
      <c r="H4272" t="s">
        <v>88</v>
      </c>
      <c r="I4272">
        <v>4</v>
      </c>
      <c r="J4272" t="s">
        <v>75</v>
      </c>
    </row>
    <row r="4273" spans="1:10" x14ac:dyDescent="0.25">
      <c r="A4273" t="s">
        <v>7354</v>
      </c>
      <c r="B4273">
        <f>108728.367215854*(1/100/100)</f>
        <v>10.872836721585401</v>
      </c>
      <c r="C4273">
        <v>48129</v>
      </c>
      <c r="D4273" t="s">
        <v>1253</v>
      </c>
      <c r="E4273">
        <v>41416</v>
      </c>
      <c r="F4273" t="s">
        <v>1253</v>
      </c>
      <c r="G4273">
        <v>414</v>
      </c>
      <c r="H4273" t="s">
        <v>88</v>
      </c>
      <c r="I4273">
        <v>4</v>
      </c>
      <c r="J4273" t="s">
        <v>75</v>
      </c>
    </row>
    <row r="4274" spans="1:10" x14ac:dyDescent="0.25">
      <c r="A4274" t="s">
        <v>7354</v>
      </c>
      <c r="B4274">
        <f>58460.5008427459*(1/100/100)</f>
        <v>5.8460500842745908</v>
      </c>
      <c r="C4274">
        <v>48130</v>
      </c>
      <c r="D4274" t="s">
        <v>5661</v>
      </c>
      <c r="E4274">
        <v>41414</v>
      </c>
      <c r="F4274" t="s">
        <v>1251</v>
      </c>
      <c r="G4274">
        <v>414</v>
      </c>
      <c r="H4274" t="s">
        <v>88</v>
      </c>
      <c r="I4274">
        <v>4</v>
      </c>
      <c r="J4274" t="s">
        <v>75</v>
      </c>
    </row>
    <row r="4275" spans="1:10" x14ac:dyDescent="0.25">
      <c r="A4275" t="s">
        <v>7354</v>
      </c>
      <c r="B4275">
        <f>70418.6024748234*(1/100/100)</f>
        <v>7.0418602474823411</v>
      </c>
      <c r="C4275">
        <v>48131</v>
      </c>
      <c r="D4275" t="s">
        <v>5632</v>
      </c>
      <c r="E4275">
        <v>41402</v>
      </c>
      <c r="F4275" t="s">
        <v>1239</v>
      </c>
      <c r="G4275">
        <v>414</v>
      </c>
      <c r="H4275" t="s">
        <v>88</v>
      </c>
      <c r="I4275">
        <v>4</v>
      </c>
      <c r="J4275" t="s">
        <v>75</v>
      </c>
    </row>
    <row r="4276" spans="1:10" x14ac:dyDescent="0.25">
      <c r="A4276" t="s">
        <v>7354</v>
      </c>
      <c r="B4276">
        <f>65925.7228351475*(1/100/100)</f>
        <v>6.5925722835147509</v>
      </c>
      <c r="C4276">
        <v>48132</v>
      </c>
      <c r="D4276" t="s">
        <v>5708</v>
      </c>
      <c r="E4276">
        <v>41430</v>
      </c>
      <c r="F4276" t="s">
        <v>1261</v>
      </c>
      <c r="G4276">
        <v>414</v>
      </c>
      <c r="H4276" t="s">
        <v>88</v>
      </c>
      <c r="I4276">
        <v>4</v>
      </c>
      <c r="J4276" t="s">
        <v>75</v>
      </c>
    </row>
    <row r="4277" spans="1:10" x14ac:dyDescent="0.25">
      <c r="A4277" t="s">
        <v>7354</v>
      </c>
      <c r="B4277">
        <f>40054.0617632954*(1/100/100)</f>
        <v>4.0054061763295401</v>
      </c>
      <c r="C4277">
        <v>48133</v>
      </c>
      <c r="D4277" t="s">
        <v>5639</v>
      </c>
      <c r="E4277">
        <v>41404</v>
      </c>
      <c r="F4277" t="s">
        <v>1241</v>
      </c>
      <c r="G4277">
        <v>414</v>
      </c>
      <c r="H4277" t="s">
        <v>88</v>
      </c>
      <c r="I4277">
        <v>4</v>
      </c>
      <c r="J4277" t="s">
        <v>75</v>
      </c>
    </row>
    <row r="4278" spans="1:10" x14ac:dyDescent="0.25">
      <c r="A4278" t="s">
        <v>7354</v>
      </c>
      <c r="B4278">
        <f>85424.1414794653*(1/100/100)</f>
        <v>8.5424141479465305</v>
      </c>
      <c r="C4278">
        <v>48134</v>
      </c>
      <c r="D4278" t="s">
        <v>5691</v>
      </c>
      <c r="E4278">
        <v>41424</v>
      </c>
      <c r="F4278" t="s">
        <v>1255</v>
      </c>
      <c r="G4278">
        <v>414</v>
      </c>
      <c r="H4278" t="s">
        <v>88</v>
      </c>
      <c r="I4278">
        <v>4</v>
      </c>
      <c r="J4278" t="s">
        <v>75</v>
      </c>
    </row>
    <row r="4279" spans="1:10" x14ac:dyDescent="0.25">
      <c r="A4279" t="s">
        <v>7354</v>
      </c>
      <c r="B4279">
        <f>27755.1746608247*(1/100/100)</f>
        <v>2.7755174660824702</v>
      </c>
      <c r="C4279">
        <v>48135</v>
      </c>
      <c r="D4279" t="s">
        <v>5709</v>
      </c>
      <c r="E4279">
        <v>41430</v>
      </c>
      <c r="F4279" t="s">
        <v>1261</v>
      </c>
      <c r="G4279">
        <v>414</v>
      </c>
      <c r="H4279" t="s">
        <v>88</v>
      </c>
      <c r="I4279">
        <v>4</v>
      </c>
      <c r="J4279" t="s">
        <v>75</v>
      </c>
    </row>
    <row r="4280" spans="1:10" x14ac:dyDescent="0.25">
      <c r="A4280" t="s">
        <v>7354</v>
      </c>
      <c r="B4280">
        <f>62338.1021630311*(1/100/100)</f>
        <v>6.2338102163031106</v>
      </c>
      <c r="C4280">
        <v>48136</v>
      </c>
      <c r="D4280" t="s">
        <v>5633</v>
      </c>
      <c r="E4280">
        <v>41402</v>
      </c>
      <c r="F4280" t="s">
        <v>1239</v>
      </c>
      <c r="G4280">
        <v>414</v>
      </c>
      <c r="H4280" t="s">
        <v>88</v>
      </c>
      <c r="I4280">
        <v>4</v>
      </c>
      <c r="J4280" t="s">
        <v>75</v>
      </c>
    </row>
    <row r="4281" spans="1:10" x14ac:dyDescent="0.25">
      <c r="A4281" t="s">
        <v>7354</v>
      </c>
      <c r="B4281">
        <f>38927.7685594066*(1/100/100)</f>
        <v>3.8927768559406601</v>
      </c>
      <c r="C4281">
        <v>48137</v>
      </c>
      <c r="D4281" t="s">
        <v>5692</v>
      </c>
      <c r="E4281">
        <v>41424</v>
      </c>
      <c r="F4281" t="s">
        <v>1255</v>
      </c>
      <c r="G4281">
        <v>414</v>
      </c>
      <c r="H4281" t="s">
        <v>88</v>
      </c>
      <c r="I4281">
        <v>4</v>
      </c>
      <c r="J4281" t="s">
        <v>75</v>
      </c>
    </row>
    <row r="4282" spans="1:10" x14ac:dyDescent="0.25">
      <c r="A4282" t="s">
        <v>7354</v>
      </c>
      <c r="B4282">
        <f>102189.545467995*(1/100/100)</f>
        <v>10.218954546799502</v>
      </c>
      <c r="C4282">
        <v>48138</v>
      </c>
      <c r="D4282" t="s">
        <v>5664</v>
      </c>
      <c r="E4282">
        <v>41416</v>
      </c>
      <c r="F4282" t="s">
        <v>1253</v>
      </c>
      <c r="G4282">
        <v>414</v>
      </c>
      <c r="H4282" t="s">
        <v>88</v>
      </c>
      <c r="I4282">
        <v>4</v>
      </c>
      <c r="J4282" t="s">
        <v>75</v>
      </c>
    </row>
    <row r="4283" spans="1:10" x14ac:dyDescent="0.25">
      <c r="A4283" t="s">
        <v>7354</v>
      </c>
      <c r="B4283">
        <f>96970.7832894614*(1/100/100)</f>
        <v>9.6970783289461409</v>
      </c>
      <c r="C4283">
        <v>48139</v>
      </c>
      <c r="D4283" t="s">
        <v>1261</v>
      </c>
      <c r="E4283">
        <v>41430</v>
      </c>
      <c r="F4283" t="s">
        <v>1261</v>
      </c>
      <c r="G4283">
        <v>414</v>
      </c>
      <c r="H4283" t="s">
        <v>88</v>
      </c>
      <c r="I4283">
        <v>4</v>
      </c>
      <c r="J4283" t="s">
        <v>75</v>
      </c>
    </row>
    <row r="4284" spans="1:10" x14ac:dyDescent="0.25">
      <c r="A4284" t="s">
        <v>7354</v>
      </c>
      <c r="B4284">
        <f>65095.8897507979*(1/100/100)</f>
        <v>6.5095889750797902</v>
      </c>
      <c r="C4284">
        <v>48201</v>
      </c>
      <c r="D4284" t="s">
        <v>5700</v>
      </c>
      <c r="E4284">
        <v>41429</v>
      </c>
      <c r="F4284" t="s">
        <v>1260</v>
      </c>
      <c r="G4284">
        <v>414</v>
      </c>
      <c r="H4284" t="s">
        <v>88</v>
      </c>
      <c r="I4284">
        <v>4</v>
      </c>
      <c r="J4284" t="s">
        <v>75</v>
      </c>
    </row>
    <row r="4285" spans="1:10" x14ac:dyDescent="0.25">
      <c r="A4285" t="s">
        <v>7354</v>
      </c>
      <c r="B4285">
        <f>22804.5977826968*(1/100/100)</f>
        <v>2.2804597782696803</v>
      </c>
      <c r="C4285">
        <v>48202</v>
      </c>
      <c r="D4285" t="s">
        <v>5686</v>
      </c>
      <c r="E4285">
        <v>41423</v>
      </c>
      <c r="F4285" t="s">
        <v>1254</v>
      </c>
      <c r="G4285">
        <v>414</v>
      </c>
      <c r="H4285" t="s">
        <v>88</v>
      </c>
      <c r="I4285">
        <v>4</v>
      </c>
      <c r="J4285" t="s">
        <v>75</v>
      </c>
    </row>
    <row r="4286" spans="1:10" x14ac:dyDescent="0.25">
      <c r="A4286" t="s">
        <v>7354</v>
      </c>
      <c r="B4286">
        <f>38140.3090850211*(1/100/100)</f>
        <v>3.8140309085021102</v>
      </c>
      <c r="C4286">
        <v>48203</v>
      </c>
      <c r="D4286" t="s">
        <v>5693</v>
      </c>
      <c r="E4286">
        <v>41426</v>
      </c>
      <c r="F4286" t="s">
        <v>1257</v>
      </c>
      <c r="G4286">
        <v>414</v>
      </c>
      <c r="H4286" t="s">
        <v>88</v>
      </c>
      <c r="I4286">
        <v>4</v>
      </c>
      <c r="J4286" t="s">
        <v>75</v>
      </c>
    </row>
    <row r="4287" spans="1:10" x14ac:dyDescent="0.25">
      <c r="A4287" t="s">
        <v>7354</v>
      </c>
      <c r="B4287">
        <f>183638.479354096*(1/100/100)</f>
        <v>18.363847935409602</v>
      </c>
      <c r="C4287">
        <v>48204</v>
      </c>
      <c r="D4287" t="s">
        <v>1240</v>
      </c>
      <c r="E4287">
        <v>41403</v>
      </c>
      <c r="F4287" t="s">
        <v>1240</v>
      </c>
      <c r="G4287">
        <v>414</v>
      </c>
      <c r="H4287" t="s">
        <v>88</v>
      </c>
      <c r="I4287">
        <v>4</v>
      </c>
      <c r="J4287" t="s">
        <v>75</v>
      </c>
    </row>
    <row r="4288" spans="1:10" x14ac:dyDescent="0.25">
      <c r="A4288" t="s">
        <v>7354</v>
      </c>
      <c r="B4288">
        <f>60511.3338130842*(1/100/100)</f>
        <v>6.0511333813084205</v>
      </c>
      <c r="C4288">
        <v>48205</v>
      </c>
      <c r="D4288" t="s">
        <v>5672</v>
      </c>
      <c r="E4288">
        <v>41419</v>
      </c>
      <c r="F4288" t="s">
        <v>5673</v>
      </c>
      <c r="G4288">
        <v>414</v>
      </c>
      <c r="H4288" t="s">
        <v>88</v>
      </c>
      <c r="I4288">
        <v>4</v>
      </c>
      <c r="J4288" t="s">
        <v>75</v>
      </c>
    </row>
    <row r="4289" spans="1:10" x14ac:dyDescent="0.25">
      <c r="A4289" t="s">
        <v>7354</v>
      </c>
      <c r="B4289">
        <f>47742.6653241934*(1/100/100)</f>
        <v>4.7742665324193396</v>
      </c>
      <c r="C4289">
        <v>48206</v>
      </c>
      <c r="D4289" t="s">
        <v>5662</v>
      </c>
      <c r="E4289">
        <v>41415</v>
      </c>
      <c r="F4289" t="s">
        <v>1252</v>
      </c>
      <c r="G4289">
        <v>414</v>
      </c>
      <c r="H4289" t="s">
        <v>88</v>
      </c>
      <c r="I4289">
        <v>4</v>
      </c>
      <c r="J4289" t="s">
        <v>75</v>
      </c>
    </row>
    <row r="4290" spans="1:10" x14ac:dyDescent="0.25">
      <c r="A4290" t="s">
        <v>7354</v>
      </c>
      <c r="B4290">
        <f>70642.9025584599*(1/100/100)</f>
        <v>7.0642902558459904</v>
      </c>
      <c r="C4290">
        <v>48207</v>
      </c>
      <c r="D4290" t="s">
        <v>1243</v>
      </c>
      <c r="E4290">
        <v>41406</v>
      </c>
      <c r="F4290" t="s">
        <v>1243</v>
      </c>
      <c r="G4290">
        <v>414</v>
      </c>
      <c r="H4290" t="s">
        <v>88</v>
      </c>
      <c r="I4290">
        <v>4</v>
      </c>
      <c r="J4290" t="s">
        <v>75</v>
      </c>
    </row>
    <row r="4291" spans="1:10" x14ac:dyDescent="0.25">
      <c r="A4291" t="s">
        <v>7354</v>
      </c>
      <c r="B4291">
        <f>70499.9544124073*(1/100/100)</f>
        <v>7.0499954412407302</v>
      </c>
      <c r="C4291">
        <v>48208</v>
      </c>
      <c r="D4291" t="s">
        <v>5634</v>
      </c>
      <c r="E4291">
        <v>41403</v>
      </c>
      <c r="F4291" t="s">
        <v>1240</v>
      </c>
      <c r="G4291">
        <v>414</v>
      </c>
      <c r="H4291" t="s">
        <v>88</v>
      </c>
      <c r="I4291">
        <v>4</v>
      </c>
      <c r="J4291" t="s">
        <v>75</v>
      </c>
    </row>
    <row r="4292" spans="1:10" x14ac:dyDescent="0.25">
      <c r="A4292" t="s">
        <v>7354</v>
      </c>
      <c r="B4292">
        <f>42774.7751114008*(1/100/100)</f>
        <v>4.2774775111400798</v>
      </c>
      <c r="C4292">
        <v>48209</v>
      </c>
      <c r="D4292" t="s">
        <v>5654</v>
      </c>
      <c r="E4292">
        <v>41413</v>
      </c>
      <c r="F4292" t="s">
        <v>1250</v>
      </c>
      <c r="G4292">
        <v>414</v>
      </c>
      <c r="H4292" t="s">
        <v>88</v>
      </c>
      <c r="I4292">
        <v>4</v>
      </c>
      <c r="J4292" t="s">
        <v>75</v>
      </c>
    </row>
    <row r="4293" spans="1:10" x14ac:dyDescent="0.25">
      <c r="A4293" t="s">
        <v>7354</v>
      </c>
      <c r="B4293">
        <f>65636.4982368987*(1/100/100)</f>
        <v>6.5636498236898699</v>
      </c>
      <c r="C4293">
        <v>48210</v>
      </c>
      <c r="D4293" t="s">
        <v>5687</v>
      </c>
      <c r="E4293">
        <v>41423</v>
      </c>
      <c r="F4293" t="s">
        <v>1254</v>
      </c>
      <c r="G4293">
        <v>414</v>
      </c>
      <c r="H4293" t="s">
        <v>88</v>
      </c>
      <c r="I4293">
        <v>4</v>
      </c>
      <c r="J4293" t="s">
        <v>75</v>
      </c>
    </row>
    <row r="4294" spans="1:10" x14ac:dyDescent="0.25">
      <c r="A4294" t="s">
        <v>7354</v>
      </c>
      <c r="B4294">
        <f>31307.0581216528*(1/100/100)</f>
        <v>3.1307058121652802</v>
      </c>
      <c r="C4294">
        <v>48211</v>
      </c>
      <c r="D4294" t="s">
        <v>4655</v>
      </c>
      <c r="E4294">
        <v>41413</v>
      </c>
      <c r="F4294" t="s">
        <v>1250</v>
      </c>
      <c r="G4294">
        <v>414</v>
      </c>
      <c r="H4294" t="s">
        <v>88</v>
      </c>
      <c r="I4294">
        <v>4</v>
      </c>
      <c r="J4294" t="s">
        <v>75</v>
      </c>
    </row>
    <row r="4295" spans="1:10" x14ac:dyDescent="0.25">
      <c r="A4295" t="s">
        <v>7354</v>
      </c>
      <c r="B4295">
        <f>48453.3198001629*(1/100/100)</f>
        <v>4.8453319800162902</v>
      </c>
      <c r="C4295">
        <v>48212</v>
      </c>
      <c r="D4295" t="s">
        <v>5674</v>
      </c>
      <c r="E4295">
        <v>41419</v>
      </c>
      <c r="F4295" t="s">
        <v>5673</v>
      </c>
      <c r="G4295">
        <v>414</v>
      </c>
      <c r="H4295" t="s">
        <v>88</v>
      </c>
      <c r="I4295">
        <v>4</v>
      </c>
      <c r="J4295" t="s">
        <v>75</v>
      </c>
    </row>
    <row r="4296" spans="1:10" x14ac:dyDescent="0.25">
      <c r="A4296" t="s">
        <v>7354</v>
      </c>
      <c r="B4296">
        <f>74159.9628281522*(1/100/100)</f>
        <v>7.4159962828152208</v>
      </c>
      <c r="C4296">
        <v>48213</v>
      </c>
      <c r="D4296" t="s">
        <v>5688</v>
      </c>
      <c r="E4296">
        <v>41423</v>
      </c>
      <c r="F4296" t="s">
        <v>1254</v>
      </c>
      <c r="G4296">
        <v>414</v>
      </c>
      <c r="H4296" t="s">
        <v>88</v>
      </c>
      <c r="I4296">
        <v>4</v>
      </c>
      <c r="J4296" t="s">
        <v>75</v>
      </c>
    </row>
    <row r="4297" spans="1:10" x14ac:dyDescent="0.25">
      <c r="A4297" t="s">
        <v>7354</v>
      </c>
      <c r="B4297">
        <f>36930.7697943983*(1/100/100)</f>
        <v>3.6930769794398302</v>
      </c>
      <c r="C4297">
        <v>48214</v>
      </c>
      <c r="D4297" t="s">
        <v>3581</v>
      </c>
      <c r="E4297">
        <v>41415</v>
      </c>
      <c r="F4297" t="s">
        <v>1252</v>
      </c>
      <c r="G4297">
        <v>414</v>
      </c>
      <c r="H4297" t="s">
        <v>88</v>
      </c>
      <c r="I4297">
        <v>4</v>
      </c>
      <c r="J4297" t="s">
        <v>75</v>
      </c>
    </row>
    <row r="4298" spans="1:10" x14ac:dyDescent="0.25">
      <c r="A4298" t="s">
        <v>7354</v>
      </c>
      <c r="B4298">
        <f>48667.1264348279*(1/100/100)</f>
        <v>4.8667126434827903</v>
      </c>
      <c r="C4298">
        <v>48215</v>
      </c>
      <c r="D4298" t="s">
        <v>5675</v>
      </c>
      <c r="E4298">
        <v>41419</v>
      </c>
      <c r="F4298" t="s">
        <v>5673</v>
      </c>
      <c r="G4298">
        <v>414</v>
      </c>
      <c r="H4298" t="s">
        <v>88</v>
      </c>
      <c r="I4298">
        <v>4</v>
      </c>
      <c r="J4298" t="s">
        <v>75</v>
      </c>
    </row>
    <row r="4299" spans="1:10" x14ac:dyDescent="0.25">
      <c r="A4299" t="s">
        <v>7354</v>
      </c>
      <c r="B4299">
        <f>139617.906278874*(1/100/100)</f>
        <v>13.9617906278874</v>
      </c>
      <c r="C4299">
        <v>48216</v>
      </c>
      <c r="D4299" t="s">
        <v>5246</v>
      </c>
      <c r="E4299">
        <v>41410</v>
      </c>
      <c r="F4299" t="s">
        <v>1247</v>
      </c>
      <c r="G4299">
        <v>414</v>
      </c>
      <c r="H4299" t="s">
        <v>88</v>
      </c>
      <c r="I4299">
        <v>4</v>
      </c>
      <c r="J4299" t="s">
        <v>75</v>
      </c>
    </row>
    <row r="4300" spans="1:10" x14ac:dyDescent="0.25">
      <c r="A4300" t="s">
        <v>7354</v>
      </c>
      <c r="B4300">
        <f>146303.617582924*(1/100/100)</f>
        <v>14.6303617582924</v>
      </c>
      <c r="C4300">
        <v>48217</v>
      </c>
      <c r="D4300" t="s">
        <v>5649</v>
      </c>
      <c r="E4300">
        <v>41410</v>
      </c>
      <c r="F4300" t="s">
        <v>1247</v>
      </c>
      <c r="G4300">
        <v>414</v>
      </c>
      <c r="H4300" t="s">
        <v>88</v>
      </c>
      <c r="I4300">
        <v>4</v>
      </c>
      <c r="J4300" t="s">
        <v>75</v>
      </c>
    </row>
    <row r="4301" spans="1:10" x14ac:dyDescent="0.25">
      <c r="A4301" t="s">
        <v>7354</v>
      </c>
      <c r="B4301">
        <f>49274.737607294*(1/100/100)</f>
        <v>4.9274737607294004</v>
      </c>
      <c r="C4301">
        <v>48218</v>
      </c>
      <c r="D4301" t="s">
        <v>5694</v>
      </c>
      <c r="E4301">
        <v>41426</v>
      </c>
      <c r="F4301" t="s">
        <v>1257</v>
      </c>
      <c r="G4301">
        <v>414</v>
      </c>
      <c r="H4301" t="s">
        <v>88</v>
      </c>
      <c r="I4301">
        <v>4</v>
      </c>
      <c r="J4301" t="s">
        <v>75</v>
      </c>
    </row>
    <row r="4302" spans="1:10" x14ac:dyDescent="0.25">
      <c r="A4302" t="s">
        <v>7354</v>
      </c>
      <c r="B4302">
        <f>17879.6469594*(1/100/100)</f>
        <v>1.7879646959400002</v>
      </c>
      <c r="C4302">
        <v>48219</v>
      </c>
      <c r="D4302" t="s">
        <v>5655</v>
      </c>
      <c r="E4302">
        <v>41413</v>
      </c>
      <c r="F4302" t="s">
        <v>1250</v>
      </c>
      <c r="G4302">
        <v>414</v>
      </c>
      <c r="H4302" t="s">
        <v>88</v>
      </c>
      <c r="I4302">
        <v>4</v>
      </c>
      <c r="J4302" t="s">
        <v>75</v>
      </c>
    </row>
    <row r="4303" spans="1:10" x14ac:dyDescent="0.25">
      <c r="A4303" t="s">
        <v>7354</v>
      </c>
      <c r="B4303">
        <f>87926.1068543728*(1/100/100)</f>
        <v>8.7926106854372801</v>
      </c>
      <c r="C4303">
        <v>48220</v>
      </c>
      <c r="D4303" t="s">
        <v>5641</v>
      </c>
      <c r="E4303">
        <v>41406</v>
      </c>
      <c r="F4303" t="s">
        <v>1243</v>
      </c>
      <c r="G4303">
        <v>414</v>
      </c>
      <c r="H4303" t="s">
        <v>88</v>
      </c>
      <c r="I4303">
        <v>4</v>
      </c>
      <c r="J4303" t="s">
        <v>75</v>
      </c>
    </row>
    <row r="4304" spans="1:10" x14ac:dyDescent="0.25">
      <c r="A4304" t="s">
        <v>7354</v>
      </c>
      <c r="B4304">
        <f>27970.8884704489*(1/100/100)</f>
        <v>2.7970888470448902</v>
      </c>
      <c r="C4304">
        <v>48221</v>
      </c>
      <c r="D4304" t="s">
        <v>5695</v>
      </c>
      <c r="E4304">
        <v>41426</v>
      </c>
      <c r="F4304" t="s">
        <v>1257</v>
      </c>
      <c r="G4304">
        <v>414</v>
      </c>
      <c r="H4304" t="s">
        <v>88</v>
      </c>
      <c r="I4304">
        <v>4</v>
      </c>
      <c r="J4304" t="s">
        <v>75</v>
      </c>
    </row>
    <row r="4305" spans="1:10" x14ac:dyDescent="0.25">
      <c r="A4305" t="s">
        <v>7354</v>
      </c>
      <c r="B4305">
        <f>40270.4233625254*(1/100/100)</f>
        <v>4.0270423362525403</v>
      </c>
      <c r="C4305">
        <v>48222</v>
      </c>
      <c r="D4305" t="s">
        <v>5656</v>
      </c>
      <c r="E4305">
        <v>41413</v>
      </c>
      <c r="F4305" t="s">
        <v>1250</v>
      </c>
      <c r="G4305">
        <v>414</v>
      </c>
      <c r="H4305" t="s">
        <v>88</v>
      </c>
      <c r="I4305">
        <v>4</v>
      </c>
      <c r="J4305" t="s">
        <v>75</v>
      </c>
    </row>
    <row r="4306" spans="1:10" x14ac:dyDescent="0.25">
      <c r="A4306" t="s">
        <v>7354</v>
      </c>
      <c r="B4306">
        <f>97533.9613848545*(1/100/100)</f>
        <v>9.7533961384854511</v>
      </c>
      <c r="C4306">
        <v>48223</v>
      </c>
      <c r="D4306" t="s">
        <v>5696</v>
      </c>
      <c r="E4306">
        <v>41426</v>
      </c>
      <c r="F4306" t="s">
        <v>1257</v>
      </c>
      <c r="G4306">
        <v>414</v>
      </c>
      <c r="H4306" t="s">
        <v>88</v>
      </c>
      <c r="I4306">
        <v>4</v>
      </c>
      <c r="J4306" t="s">
        <v>75</v>
      </c>
    </row>
    <row r="4307" spans="1:10" x14ac:dyDescent="0.25">
      <c r="A4307" t="s">
        <v>7354</v>
      </c>
      <c r="B4307">
        <f>36429.5950563217*(1/100/100)</f>
        <v>3.6429595056321697</v>
      </c>
      <c r="C4307">
        <v>48224</v>
      </c>
      <c r="D4307" t="s">
        <v>5689</v>
      </c>
      <c r="E4307">
        <v>41423</v>
      </c>
      <c r="F4307" t="s">
        <v>1254</v>
      </c>
      <c r="G4307">
        <v>414</v>
      </c>
      <c r="H4307" t="s">
        <v>88</v>
      </c>
      <c r="I4307">
        <v>4</v>
      </c>
      <c r="J4307" t="s">
        <v>75</v>
      </c>
    </row>
    <row r="4308" spans="1:10" x14ac:dyDescent="0.25">
      <c r="A4308" t="s">
        <v>7354</v>
      </c>
      <c r="B4308">
        <f>40625.2904524711*(1/100/100)</f>
        <v>4.0625290452471097</v>
      </c>
      <c r="C4308">
        <v>48225</v>
      </c>
      <c r="D4308" t="s">
        <v>5690</v>
      </c>
      <c r="E4308">
        <v>41423</v>
      </c>
      <c r="F4308" t="s">
        <v>1254</v>
      </c>
      <c r="G4308">
        <v>414</v>
      </c>
      <c r="H4308" t="s">
        <v>88</v>
      </c>
      <c r="I4308">
        <v>4</v>
      </c>
      <c r="J4308" t="s">
        <v>75</v>
      </c>
    </row>
    <row r="4309" spans="1:10" x14ac:dyDescent="0.25">
      <c r="A4309" t="s">
        <v>7354</v>
      </c>
      <c r="B4309">
        <f>82291.6838178453*(1/100/100)</f>
        <v>8.2291683817845307</v>
      </c>
      <c r="C4309">
        <v>48226</v>
      </c>
      <c r="D4309" t="s">
        <v>5642</v>
      </c>
      <c r="E4309">
        <v>41406</v>
      </c>
      <c r="F4309" t="s">
        <v>1243</v>
      </c>
      <c r="G4309">
        <v>414</v>
      </c>
      <c r="H4309" t="s">
        <v>88</v>
      </c>
      <c r="I4309">
        <v>4</v>
      </c>
      <c r="J4309" t="s">
        <v>75</v>
      </c>
    </row>
    <row r="4310" spans="1:10" x14ac:dyDescent="0.25">
      <c r="A4310" t="s">
        <v>7354</v>
      </c>
      <c r="B4310">
        <f>60505.8021978942*(1/100/100)</f>
        <v>6.0505802197894205</v>
      </c>
      <c r="C4310">
        <v>48227</v>
      </c>
      <c r="D4310" t="s">
        <v>1249</v>
      </c>
      <c r="E4310">
        <v>41412</v>
      </c>
      <c r="F4310" t="s">
        <v>1249</v>
      </c>
      <c r="G4310">
        <v>414</v>
      </c>
      <c r="H4310" t="s">
        <v>88</v>
      </c>
      <c r="I4310">
        <v>4</v>
      </c>
      <c r="J4310" t="s">
        <v>75</v>
      </c>
    </row>
    <row r="4311" spans="1:10" x14ac:dyDescent="0.25">
      <c r="A4311" t="s">
        <v>7354</v>
      </c>
      <c r="B4311">
        <f>158551.009700119*(1/100/100)</f>
        <v>15.8551009700119</v>
      </c>
      <c r="C4311">
        <v>48228</v>
      </c>
      <c r="D4311" t="s">
        <v>1250</v>
      </c>
      <c r="E4311">
        <v>41413</v>
      </c>
      <c r="F4311" t="s">
        <v>1250</v>
      </c>
      <c r="G4311">
        <v>414</v>
      </c>
      <c r="H4311" t="s">
        <v>88</v>
      </c>
      <c r="I4311">
        <v>4</v>
      </c>
      <c r="J4311" t="s">
        <v>75</v>
      </c>
    </row>
    <row r="4312" spans="1:10" x14ac:dyDescent="0.25">
      <c r="A4312" t="s">
        <v>7354</v>
      </c>
      <c r="B4312">
        <f>100536.094248133*(1/100/100)</f>
        <v>10.053609424813301</v>
      </c>
      <c r="C4312">
        <v>48229</v>
      </c>
      <c r="D4312" t="s">
        <v>5668</v>
      </c>
      <c r="E4312">
        <v>41418</v>
      </c>
      <c r="F4312" t="s">
        <v>5669</v>
      </c>
      <c r="G4312">
        <v>414</v>
      </c>
      <c r="H4312" t="s">
        <v>88</v>
      </c>
      <c r="I4312">
        <v>4</v>
      </c>
      <c r="J4312" t="s">
        <v>75</v>
      </c>
    </row>
    <row r="4313" spans="1:10" x14ac:dyDescent="0.25">
      <c r="A4313" t="s">
        <v>7354</v>
      </c>
      <c r="B4313">
        <f>37675.199739993*(1/100/100)</f>
        <v>3.7675199739992999</v>
      </c>
      <c r="C4313">
        <v>48230</v>
      </c>
      <c r="D4313" t="s">
        <v>5670</v>
      </c>
      <c r="E4313">
        <v>41418</v>
      </c>
      <c r="F4313" t="s">
        <v>5669</v>
      </c>
      <c r="G4313">
        <v>414</v>
      </c>
      <c r="H4313" t="s">
        <v>88</v>
      </c>
      <c r="I4313">
        <v>4</v>
      </c>
      <c r="J4313" t="s">
        <v>75</v>
      </c>
    </row>
    <row r="4314" spans="1:10" x14ac:dyDescent="0.25">
      <c r="A4314" t="s">
        <v>7354</v>
      </c>
      <c r="B4314">
        <f>89942.7914102163*(1/100/100)</f>
        <v>8.9942791410216305</v>
      </c>
      <c r="C4314">
        <v>48231</v>
      </c>
      <c r="D4314" t="s">
        <v>5273</v>
      </c>
      <c r="E4314">
        <v>41415</v>
      </c>
      <c r="F4314" t="s">
        <v>1252</v>
      </c>
      <c r="G4314">
        <v>414</v>
      </c>
      <c r="H4314" t="s">
        <v>88</v>
      </c>
      <c r="I4314">
        <v>4</v>
      </c>
      <c r="J4314" t="s">
        <v>75</v>
      </c>
    </row>
    <row r="4315" spans="1:10" x14ac:dyDescent="0.25">
      <c r="A4315" t="s">
        <v>7354</v>
      </c>
      <c r="B4315">
        <f>42955.6385434344*(1/100/100)</f>
        <v>4.29556385434344</v>
      </c>
      <c r="C4315">
        <v>48232</v>
      </c>
      <c r="D4315" t="s">
        <v>5701</v>
      </c>
      <c r="E4315">
        <v>41429</v>
      </c>
      <c r="F4315" t="s">
        <v>1260</v>
      </c>
      <c r="G4315">
        <v>414</v>
      </c>
      <c r="H4315" t="s">
        <v>88</v>
      </c>
      <c r="I4315">
        <v>4</v>
      </c>
      <c r="J4315" t="s">
        <v>75</v>
      </c>
    </row>
    <row r="4316" spans="1:10" x14ac:dyDescent="0.25">
      <c r="A4316" t="s">
        <v>7354</v>
      </c>
      <c r="B4316">
        <f>231848.606970035*(1/100/100)</f>
        <v>23.184860697003501</v>
      </c>
      <c r="C4316">
        <v>48233</v>
      </c>
      <c r="D4316" t="s">
        <v>5669</v>
      </c>
      <c r="E4316">
        <v>41418</v>
      </c>
      <c r="F4316" t="s">
        <v>5669</v>
      </c>
      <c r="G4316">
        <v>414</v>
      </c>
      <c r="H4316" t="s">
        <v>88</v>
      </c>
      <c r="I4316">
        <v>4</v>
      </c>
      <c r="J4316" t="s">
        <v>75</v>
      </c>
    </row>
    <row r="4317" spans="1:10" x14ac:dyDescent="0.25">
      <c r="A4317" t="s">
        <v>7354</v>
      </c>
      <c r="B4317">
        <f>154768.401604632*(1/100/100)</f>
        <v>15.476840160463201</v>
      </c>
      <c r="C4317">
        <v>48234</v>
      </c>
      <c r="D4317" t="s">
        <v>5676</v>
      </c>
      <c r="E4317">
        <v>41419</v>
      </c>
      <c r="F4317" t="s">
        <v>5673</v>
      </c>
      <c r="G4317">
        <v>414</v>
      </c>
      <c r="H4317" t="s">
        <v>88</v>
      </c>
      <c r="I4317">
        <v>4</v>
      </c>
      <c r="J4317" t="s">
        <v>75</v>
      </c>
    </row>
    <row r="4318" spans="1:10" x14ac:dyDescent="0.25">
      <c r="A4318" t="s">
        <v>7354</v>
      </c>
      <c r="B4318">
        <f>21504.2988666582*(1/100/100)</f>
        <v>2.1504298866658198</v>
      </c>
      <c r="C4318">
        <v>48235</v>
      </c>
      <c r="D4318" t="s">
        <v>4930</v>
      </c>
      <c r="E4318">
        <v>41429</v>
      </c>
      <c r="F4318" t="s">
        <v>1260</v>
      </c>
      <c r="G4318">
        <v>414</v>
      </c>
      <c r="H4318" t="s">
        <v>88</v>
      </c>
      <c r="I4318">
        <v>4</v>
      </c>
      <c r="J4318" t="s">
        <v>75</v>
      </c>
    </row>
    <row r="4319" spans="1:10" x14ac:dyDescent="0.25">
      <c r="A4319" t="s">
        <v>7354</v>
      </c>
      <c r="B4319">
        <f>131082.084231406*(1/100/100)</f>
        <v>13.108208423140603</v>
      </c>
      <c r="C4319">
        <v>48236</v>
      </c>
      <c r="D4319" t="s">
        <v>1254</v>
      </c>
      <c r="E4319">
        <v>41423</v>
      </c>
      <c r="F4319" t="s">
        <v>1254</v>
      </c>
      <c r="G4319">
        <v>414</v>
      </c>
      <c r="H4319" t="s">
        <v>88</v>
      </c>
      <c r="I4319">
        <v>4</v>
      </c>
      <c r="J4319" t="s">
        <v>75</v>
      </c>
    </row>
    <row r="4320" spans="1:10" x14ac:dyDescent="0.25">
      <c r="A4320" t="s">
        <v>7354</v>
      </c>
      <c r="B4320">
        <f>62806.1251332515*(1/100/100)</f>
        <v>6.2806125133251509</v>
      </c>
      <c r="C4320">
        <v>48237</v>
      </c>
      <c r="D4320" t="s">
        <v>5684</v>
      </c>
      <c r="E4320">
        <v>41422</v>
      </c>
      <c r="F4320" t="s">
        <v>88</v>
      </c>
      <c r="G4320">
        <v>414</v>
      </c>
      <c r="H4320" t="s">
        <v>88</v>
      </c>
      <c r="I4320">
        <v>4</v>
      </c>
      <c r="J4320" t="s">
        <v>75</v>
      </c>
    </row>
    <row r="4321" spans="1:10" x14ac:dyDescent="0.25">
      <c r="A4321" t="s">
        <v>7354</v>
      </c>
      <c r="B4321">
        <f>327516.781324145*(1/100/100)</f>
        <v>32.751678132414497</v>
      </c>
      <c r="C4321">
        <v>48238</v>
      </c>
      <c r="D4321" t="s">
        <v>5685</v>
      </c>
      <c r="E4321">
        <v>41422</v>
      </c>
      <c r="F4321" t="s">
        <v>88</v>
      </c>
      <c r="G4321">
        <v>414</v>
      </c>
      <c r="H4321" t="s">
        <v>88</v>
      </c>
      <c r="I4321">
        <v>4</v>
      </c>
      <c r="J4321" t="s">
        <v>75</v>
      </c>
    </row>
    <row r="4322" spans="1:10" x14ac:dyDescent="0.25">
      <c r="A4322" t="s">
        <v>7354</v>
      </c>
      <c r="B4322">
        <f>27387.1992954147*(1/100/100)</f>
        <v>2.7387199295414701</v>
      </c>
      <c r="C4322">
        <v>48239</v>
      </c>
      <c r="D4322" t="s">
        <v>5657</v>
      </c>
      <c r="E4322">
        <v>41413</v>
      </c>
      <c r="F4322" t="s">
        <v>1250</v>
      </c>
      <c r="G4322">
        <v>414</v>
      </c>
      <c r="H4322" t="s">
        <v>88</v>
      </c>
      <c r="I4322">
        <v>4</v>
      </c>
      <c r="J4322" t="s">
        <v>75</v>
      </c>
    </row>
    <row r="4323" spans="1:10" x14ac:dyDescent="0.25">
      <c r="A4323" t="s">
        <v>7354</v>
      </c>
      <c r="B4323">
        <f>87780.0929855846*(1/100/100)</f>
        <v>8.7780092985584606</v>
      </c>
      <c r="C4323">
        <v>48240</v>
      </c>
      <c r="D4323" t="s">
        <v>1866</v>
      </c>
      <c r="E4323">
        <v>41426</v>
      </c>
      <c r="F4323" t="s">
        <v>1257</v>
      </c>
      <c r="G4323">
        <v>414</v>
      </c>
      <c r="H4323" t="s">
        <v>88</v>
      </c>
      <c r="I4323">
        <v>4</v>
      </c>
      <c r="J4323" t="s">
        <v>75</v>
      </c>
    </row>
    <row r="4324" spans="1:10" x14ac:dyDescent="0.25">
      <c r="A4324" t="s">
        <v>7354</v>
      </c>
      <c r="B4324">
        <f>148717.273878757*(1/100/100)</f>
        <v>14.871727387875701</v>
      </c>
      <c r="C4324">
        <v>48241</v>
      </c>
      <c r="D4324" t="s">
        <v>1256</v>
      </c>
      <c r="E4324">
        <v>41425</v>
      </c>
      <c r="F4324" t="s">
        <v>1256</v>
      </c>
      <c r="G4324">
        <v>414</v>
      </c>
      <c r="H4324" t="s">
        <v>88</v>
      </c>
      <c r="I4324">
        <v>4</v>
      </c>
      <c r="J4324" t="s">
        <v>75</v>
      </c>
    </row>
    <row r="4325" spans="1:10" x14ac:dyDescent="0.25">
      <c r="A4325" t="s">
        <v>7354</v>
      </c>
      <c r="B4325">
        <f>143915.455482102*(1/100/100)</f>
        <v>14.391545548210201</v>
      </c>
      <c r="C4325">
        <v>48242</v>
      </c>
      <c r="D4325" t="s">
        <v>1257</v>
      </c>
      <c r="E4325">
        <v>41426</v>
      </c>
      <c r="F4325" t="s">
        <v>1257</v>
      </c>
      <c r="G4325">
        <v>414</v>
      </c>
      <c r="H4325" t="s">
        <v>88</v>
      </c>
      <c r="I4325">
        <v>4</v>
      </c>
      <c r="J4325" t="s">
        <v>75</v>
      </c>
    </row>
    <row r="4326" spans="1:10" x14ac:dyDescent="0.25">
      <c r="A4326" t="s">
        <v>7354</v>
      </c>
      <c r="B4326">
        <f>69428.8347858439*(1/100/100)</f>
        <v>6.94288347858439</v>
      </c>
      <c r="C4326">
        <v>48243</v>
      </c>
      <c r="D4326" t="s">
        <v>5671</v>
      </c>
      <c r="E4326">
        <v>41418</v>
      </c>
      <c r="F4326" t="s">
        <v>5669</v>
      </c>
      <c r="G4326">
        <v>414</v>
      </c>
      <c r="H4326" t="s">
        <v>88</v>
      </c>
      <c r="I4326">
        <v>4</v>
      </c>
      <c r="J4326" t="s">
        <v>75</v>
      </c>
    </row>
    <row r="4327" spans="1:10" x14ac:dyDescent="0.25">
      <c r="A4327" t="s">
        <v>7354</v>
      </c>
      <c r="B4327">
        <f>41609.8095118855*(1/100/100)</f>
        <v>4.1609809511885496</v>
      </c>
      <c r="C4327">
        <v>48244</v>
      </c>
      <c r="D4327" t="s">
        <v>5702</v>
      </c>
      <c r="E4327">
        <v>41429</v>
      </c>
      <c r="F4327" t="s">
        <v>1260</v>
      </c>
      <c r="G4327">
        <v>414</v>
      </c>
      <c r="H4327" t="s">
        <v>88</v>
      </c>
      <c r="I4327">
        <v>4</v>
      </c>
      <c r="J4327" t="s">
        <v>75</v>
      </c>
    </row>
    <row r="4328" spans="1:10" x14ac:dyDescent="0.25">
      <c r="A4328" t="s">
        <v>7354</v>
      </c>
      <c r="B4328">
        <f>48827.9100459685*(1/100/100)</f>
        <v>4.8827910045968501</v>
      </c>
      <c r="C4328">
        <v>48245</v>
      </c>
      <c r="D4328" t="s">
        <v>5663</v>
      </c>
      <c r="E4328">
        <v>41415</v>
      </c>
      <c r="F4328" t="s">
        <v>1252</v>
      </c>
      <c r="G4328">
        <v>414</v>
      </c>
      <c r="H4328" t="s">
        <v>88</v>
      </c>
      <c r="I4328">
        <v>4</v>
      </c>
      <c r="J4328" t="s">
        <v>75</v>
      </c>
    </row>
    <row r="4329" spans="1:10" x14ac:dyDescent="0.25">
      <c r="A4329" t="s">
        <v>7354</v>
      </c>
      <c r="B4329">
        <f>48884.6332326029*(1/100/100)</f>
        <v>4.8884633232602903</v>
      </c>
      <c r="C4329">
        <v>48246</v>
      </c>
      <c r="D4329" t="s">
        <v>5703</v>
      </c>
      <c r="E4329">
        <v>41429</v>
      </c>
      <c r="F4329" t="s">
        <v>1260</v>
      </c>
      <c r="G4329">
        <v>414</v>
      </c>
      <c r="H4329" t="s">
        <v>88</v>
      </c>
      <c r="I4329">
        <v>4</v>
      </c>
      <c r="J4329" t="s">
        <v>75</v>
      </c>
    </row>
    <row r="4330" spans="1:10" x14ac:dyDescent="0.25">
      <c r="A4330" t="s">
        <v>7354</v>
      </c>
      <c r="B4330">
        <f>174077.725825888*(1/100/100)</f>
        <v>17.407772582588798</v>
      </c>
      <c r="C4330">
        <v>49001</v>
      </c>
      <c r="D4330" t="s">
        <v>1262</v>
      </c>
      <c r="E4330">
        <v>41501</v>
      </c>
      <c r="F4330" t="s">
        <v>1262</v>
      </c>
      <c r="G4330">
        <v>415</v>
      </c>
      <c r="H4330" t="s">
        <v>89</v>
      </c>
      <c r="I4330">
        <v>4</v>
      </c>
      <c r="J4330" t="s">
        <v>75</v>
      </c>
    </row>
    <row r="4331" spans="1:10" x14ac:dyDescent="0.25">
      <c r="A4331" t="s">
        <v>7354</v>
      </c>
      <c r="B4331">
        <f>107872.364124353*(1/100/100)</f>
        <v>10.7872364124353</v>
      </c>
      <c r="C4331">
        <v>49002</v>
      </c>
      <c r="D4331" t="s">
        <v>5417</v>
      </c>
      <c r="E4331">
        <v>40909</v>
      </c>
      <c r="F4331" t="s">
        <v>1120</v>
      </c>
      <c r="G4331">
        <v>409</v>
      </c>
      <c r="H4331" t="s">
        <v>83</v>
      </c>
      <c r="I4331">
        <v>4</v>
      </c>
      <c r="J4331" t="s">
        <v>75</v>
      </c>
    </row>
    <row r="4332" spans="1:10" x14ac:dyDescent="0.25">
      <c r="A4332" t="s">
        <v>7354</v>
      </c>
      <c r="B4332">
        <f>60974.5195717264*(1/100/100)</f>
        <v>6.0974519571726402</v>
      </c>
      <c r="C4332">
        <v>49003</v>
      </c>
      <c r="D4332" t="s">
        <v>5741</v>
      </c>
      <c r="E4332">
        <v>41518</v>
      </c>
      <c r="F4332" t="s">
        <v>1278</v>
      </c>
      <c r="G4332">
        <v>415</v>
      </c>
      <c r="H4332" t="s">
        <v>89</v>
      </c>
      <c r="I4332">
        <v>4</v>
      </c>
      <c r="J4332" t="s">
        <v>75</v>
      </c>
    </row>
    <row r="4333" spans="1:10" x14ac:dyDescent="0.25">
      <c r="A4333" t="s">
        <v>7354</v>
      </c>
      <c r="B4333">
        <f>41846.6297352675*(1/100/100)</f>
        <v>4.1846629735267502</v>
      </c>
      <c r="C4333">
        <v>49004</v>
      </c>
      <c r="D4333" t="s">
        <v>5710</v>
      </c>
      <c r="E4333">
        <v>41501</v>
      </c>
      <c r="F4333" t="s">
        <v>1262</v>
      </c>
      <c r="G4333">
        <v>415</v>
      </c>
      <c r="H4333" t="s">
        <v>89</v>
      </c>
      <c r="I4333">
        <v>4</v>
      </c>
      <c r="J4333" t="s">
        <v>75</v>
      </c>
    </row>
    <row r="4334" spans="1:10" x14ac:dyDescent="0.25">
      <c r="A4334" t="s">
        <v>7354</v>
      </c>
      <c r="B4334">
        <f>40265.2036313976*(1/100/100)</f>
        <v>4.0265203631397597</v>
      </c>
      <c r="C4334">
        <v>49005</v>
      </c>
      <c r="D4334" t="s">
        <v>1437</v>
      </c>
      <c r="E4334">
        <v>40920</v>
      </c>
      <c r="F4334" t="s">
        <v>1130</v>
      </c>
      <c r="G4334">
        <v>409</v>
      </c>
      <c r="H4334" t="s">
        <v>83</v>
      </c>
      <c r="I4334">
        <v>4</v>
      </c>
      <c r="J4334" t="s">
        <v>75</v>
      </c>
    </row>
    <row r="4335" spans="1:10" x14ac:dyDescent="0.25">
      <c r="A4335" t="s">
        <v>7354</v>
      </c>
      <c r="B4335">
        <f>42484.93575021*(1/100/100)</f>
        <v>4.2484935750210004</v>
      </c>
      <c r="C4335">
        <v>49006</v>
      </c>
      <c r="D4335" t="s">
        <v>5418</v>
      </c>
      <c r="E4335">
        <v>40909</v>
      </c>
      <c r="F4335" t="s">
        <v>1120</v>
      </c>
      <c r="G4335">
        <v>409</v>
      </c>
      <c r="H4335" t="s">
        <v>83</v>
      </c>
      <c r="I4335">
        <v>4</v>
      </c>
      <c r="J4335" t="s">
        <v>75</v>
      </c>
    </row>
    <row r="4336" spans="1:10" x14ac:dyDescent="0.25">
      <c r="A4336" t="s">
        <v>7354</v>
      </c>
      <c r="B4336">
        <f>165814.392802615*(1/100/100)</f>
        <v>16.581439280261502</v>
      </c>
      <c r="C4336">
        <v>49007</v>
      </c>
      <c r="D4336" t="s">
        <v>5399</v>
      </c>
      <c r="E4336">
        <v>40902</v>
      </c>
      <c r="F4336" t="s">
        <v>1113</v>
      </c>
      <c r="G4336">
        <v>409</v>
      </c>
      <c r="H4336" t="s">
        <v>83</v>
      </c>
      <c r="I4336">
        <v>4</v>
      </c>
      <c r="J4336" t="s">
        <v>75</v>
      </c>
    </row>
    <row r="4337" spans="1:10" x14ac:dyDescent="0.25">
      <c r="A4337" t="s">
        <v>7354</v>
      </c>
      <c r="B4337">
        <f>246145.569624967*(1/100/100)</f>
        <v>24.6145569624967</v>
      </c>
      <c r="C4337">
        <v>49008</v>
      </c>
      <c r="D4337" t="s">
        <v>1120</v>
      </c>
      <c r="E4337">
        <v>40909</v>
      </c>
      <c r="F4337" t="s">
        <v>1120</v>
      </c>
      <c r="G4337">
        <v>409</v>
      </c>
      <c r="H4337" t="s">
        <v>83</v>
      </c>
      <c r="I4337">
        <v>4</v>
      </c>
      <c r="J4337" t="s">
        <v>75</v>
      </c>
    </row>
    <row r="4338" spans="1:10" x14ac:dyDescent="0.25">
      <c r="A4338" t="s">
        <v>7354</v>
      </c>
      <c r="B4338">
        <f>59674.4060405025*(1/100/100)</f>
        <v>5.9674406040502506</v>
      </c>
      <c r="C4338">
        <v>49009</v>
      </c>
      <c r="D4338" t="s">
        <v>5400</v>
      </c>
      <c r="E4338">
        <v>40902</v>
      </c>
      <c r="F4338" t="s">
        <v>1113</v>
      </c>
      <c r="G4338">
        <v>409</v>
      </c>
      <c r="H4338" t="s">
        <v>83</v>
      </c>
      <c r="I4338">
        <v>4</v>
      </c>
      <c r="J4338" t="s">
        <v>75</v>
      </c>
    </row>
    <row r="4339" spans="1:10" x14ac:dyDescent="0.25">
      <c r="A4339" t="s">
        <v>7354</v>
      </c>
      <c r="B4339">
        <f>62222.3376510651*(1/100/100)</f>
        <v>6.2222337651065098</v>
      </c>
      <c r="C4339">
        <v>49010</v>
      </c>
      <c r="D4339" t="s">
        <v>5401</v>
      </c>
      <c r="E4339">
        <v>40902</v>
      </c>
      <c r="F4339" t="s">
        <v>1113</v>
      </c>
      <c r="G4339">
        <v>409</v>
      </c>
      <c r="H4339" t="s">
        <v>83</v>
      </c>
      <c r="I4339">
        <v>4</v>
      </c>
      <c r="J4339" t="s">
        <v>75</v>
      </c>
    </row>
    <row r="4340" spans="1:10" x14ac:dyDescent="0.25">
      <c r="A4340" t="s">
        <v>7354</v>
      </c>
      <c r="B4340">
        <f>75957.6045913629*(1/100/100)</f>
        <v>7.5957604591362911</v>
      </c>
      <c r="C4340">
        <v>49011</v>
      </c>
      <c r="D4340" t="s">
        <v>5742</v>
      </c>
      <c r="E4340">
        <v>41518</v>
      </c>
      <c r="F4340" t="s">
        <v>1278</v>
      </c>
      <c r="G4340">
        <v>415</v>
      </c>
      <c r="H4340" t="s">
        <v>89</v>
      </c>
      <c r="I4340">
        <v>4</v>
      </c>
      <c r="J4340" t="s">
        <v>75</v>
      </c>
    </row>
    <row r="4341" spans="1:10" x14ac:dyDescent="0.25">
      <c r="A4341" t="s">
        <v>7354</v>
      </c>
      <c r="B4341">
        <f>47441.6721158361*(1/100/100)</f>
        <v>4.7441672115836102</v>
      </c>
      <c r="C4341">
        <v>49012</v>
      </c>
      <c r="D4341" t="s">
        <v>5444</v>
      </c>
      <c r="E4341">
        <v>40920</v>
      </c>
      <c r="F4341" t="s">
        <v>1130</v>
      </c>
      <c r="G4341">
        <v>409</v>
      </c>
      <c r="H4341" t="s">
        <v>83</v>
      </c>
      <c r="I4341">
        <v>4</v>
      </c>
      <c r="J4341" t="s">
        <v>75</v>
      </c>
    </row>
    <row r="4342" spans="1:10" x14ac:dyDescent="0.25">
      <c r="A4342" t="s">
        <v>7354</v>
      </c>
      <c r="B4342">
        <f>122403.079303587*(1/100/100)</f>
        <v>12.2403079303587</v>
      </c>
      <c r="C4342">
        <v>49013</v>
      </c>
      <c r="D4342" t="s">
        <v>704</v>
      </c>
      <c r="E4342">
        <v>40909</v>
      </c>
      <c r="F4342" t="s">
        <v>1120</v>
      </c>
      <c r="G4342">
        <v>409</v>
      </c>
      <c r="H4342" t="s">
        <v>83</v>
      </c>
      <c r="I4342">
        <v>4</v>
      </c>
      <c r="J4342" t="s">
        <v>75</v>
      </c>
    </row>
    <row r="4343" spans="1:10" x14ac:dyDescent="0.25">
      <c r="A4343" t="s">
        <v>7354</v>
      </c>
      <c r="B4343">
        <f>41760.365608712*(1/100/100)</f>
        <v>4.1760365608712009</v>
      </c>
      <c r="C4343">
        <v>49014</v>
      </c>
      <c r="D4343" t="s">
        <v>5743</v>
      </c>
      <c r="E4343">
        <v>41518</v>
      </c>
      <c r="F4343" t="s">
        <v>1278</v>
      </c>
      <c r="G4343">
        <v>415</v>
      </c>
      <c r="H4343" t="s">
        <v>89</v>
      </c>
      <c r="I4343">
        <v>4</v>
      </c>
      <c r="J4343" t="s">
        <v>75</v>
      </c>
    </row>
    <row r="4344" spans="1:10" x14ac:dyDescent="0.25">
      <c r="A4344" t="s">
        <v>7354</v>
      </c>
      <c r="B4344">
        <f>70777.5798242668*(1/100/100)</f>
        <v>7.0777579824266796</v>
      </c>
      <c r="C4344">
        <v>49015</v>
      </c>
      <c r="D4344" t="s">
        <v>1130</v>
      </c>
      <c r="E4344">
        <v>40920</v>
      </c>
      <c r="F4344" t="s">
        <v>1130</v>
      </c>
      <c r="G4344">
        <v>409</v>
      </c>
      <c r="H4344" t="s">
        <v>83</v>
      </c>
      <c r="I4344">
        <v>4</v>
      </c>
      <c r="J4344" t="s">
        <v>75</v>
      </c>
    </row>
    <row r="4345" spans="1:10" x14ac:dyDescent="0.25">
      <c r="A4345" t="s">
        <v>7354</v>
      </c>
      <c r="B4345">
        <f>49684.0137100113*(1/100/100)</f>
        <v>4.9684013710011303</v>
      </c>
      <c r="C4345">
        <v>49016</v>
      </c>
      <c r="D4345" t="s">
        <v>5744</v>
      </c>
      <c r="E4345">
        <v>41518</v>
      </c>
      <c r="F4345" t="s">
        <v>1278</v>
      </c>
      <c r="G4345">
        <v>415</v>
      </c>
      <c r="H4345" t="s">
        <v>89</v>
      </c>
      <c r="I4345">
        <v>4</v>
      </c>
      <c r="J4345" t="s">
        <v>75</v>
      </c>
    </row>
    <row r="4346" spans="1:10" x14ac:dyDescent="0.25">
      <c r="A4346" t="s">
        <v>7354</v>
      </c>
      <c r="B4346">
        <f>76092.3764538921*(1/100/100)</f>
        <v>7.6092376453892099</v>
      </c>
      <c r="C4346">
        <v>49017</v>
      </c>
      <c r="D4346" t="s">
        <v>5402</v>
      </c>
      <c r="E4346">
        <v>40902</v>
      </c>
      <c r="F4346" t="s">
        <v>1113</v>
      </c>
      <c r="G4346">
        <v>409</v>
      </c>
      <c r="H4346" t="s">
        <v>83</v>
      </c>
      <c r="I4346">
        <v>4</v>
      </c>
      <c r="J4346" t="s">
        <v>75</v>
      </c>
    </row>
    <row r="4347" spans="1:10" x14ac:dyDescent="0.25">
      <c r="A4347" t="s">
        <v>7354</v>
      </c>
      <c r="B4347">
        <f>72187.9672781996*(1/100/100)</f>
        <v>7.218796727819961</v>
      </c>
      <c r="C4347">
        <v>49018</v>
      </c>
      <c r="D4347" t="s">
        <v>5403</v>
      </c>
      <c r="E4347">
        <v>40902</v>
      </c>
      <c r="F4347" t="s">
        <v>1113</v>
      </c>
      <c r="G4347">
        <v>409</v>
      </c>
      <c r="H4347" t="s">
        <v>83</v>
      </c>
      <c r="I4347">
        <v>4</v>
      </c>
      <c r="J4347" t="s">
        <v>75</v>
      </c>
    </row>
    <row r="4348" spans="1:10" x14ac:dyDescent="0.25">
      <c r="A4348" t="s">
        <v>7354</v>
      </c>
      <c r="B4348">
        <f>147492.72750419*(1/100/100)</f>
        <v>14.749272750419001</v>
      </c>
      <c r="C4348">
        <v>49019</v>
      </c>
      <c r="D4348" t="s">
        <v>1278</v>
      </c>
      <c r="E4348">
        <v>41518</v>
      </c>
      <c r="F4348" t="s">
        <v>1278</v>
      </c>
      <c r="G4348">
        <v>415</v>
      </c>
      <c r="H4348" t="s">
        <v>89</v>
      </c>
      <c r="I4348">
        <v>4</v>
      </c>
      <c r="J4348" t="s">
        <v>75</v>
      </c>
    </row>
    <row r="4349" spans="1:10" x14ac:dyDescent="0.25">
      <c r="A4349" t="s">
        <v>7354</v>
      </c>
      <c r="B4349">
        <f>67972.196500781*(1/100/100)</f>
        <v>6.7972196500781008</v>
      </c>
      <c r="C4349">
        <v>49020</v>
      </c>
      <c r="D4349" t="s">
        <v>2867</v>
      </c>
      <c r="E4349">
        <v>41501</v>
      </c>
      <c r="F4349" t="s">
        <v>1262</v>
      </c>
      <c r="G4349">
        <v>415</v>
      </c>
      <c r="H4349" t="s">
        <v>89</v>
      </c>
      <c r="I4349">
        <v>4</v>
      </c>
      <c r="J4349" t="s">
        <v>75</v>
      </c>
    </row>
    <row r="4350" spans="1:10" x14ac:dyDescent="0.25">
      <c r="A4350" t="s">
        <v>7354</v>
      </c>
      <c r="B4350">
        <f>71657.3944766984*(1/100/100)</f>
        <v>7.1657394476698411</v>
      </c>
      <c r="C4350">
        <v>49021</v>
      </c>
      <c r="D4350" t="s">
        <v>5445</v>
      </c>
      <c r="E4350">
        <v>40920</v>
      </c>
      <c r="F4350" t="s">
        <v>1130</v>
      </c>
      <c r="G4350">
        <v>409</v>
      </c>
      <c r="H4350" t="s">
        <v>83</v>
      </c>
      <c r="I4350">
        <v>4</v>
      </c>
      <c r="J4350" t="s">
        <v>75</v>
      </c>
    </row>
    <row r="4351" spans="1:10" x14ac:dyDescent="0.25">
      <c r="A4351" t="s">
        <v>7354</v>
      </c>
      <c r="B4351">
        <f>135170.792110533*(1/100/100)</f>
        <v>13.5170792110533</v>
      </c>
      <c r="C4351">
        <v>49101</v>
      </c>
      <c r="D4351" t="s">
        <v>5419</v>
      </c>
      <c r="E4351">
        <v>40910</v>
      </c>
      <c r="F4351" t="s">
        <v>1121</v>
      </c>
      <c r="G4351">
        <v>409</v>
      </c>
      <c r="H4351" t="s">
        <v>83</v>
      </c>
      <c r="I4351">
        <v>4</v>
      </c>
      <c r="J4351" t="s">
        <v>75</v>
      </c>
    </row>
    <row r="4352" spans="1:10" x14ac:dyDescent="0.25">
      <c r="A4352" t="s">
        <v>7354</v>
      </c>
      <c r="B4352">
        <f>118531.819980407*(1/100/100)</f>
        <v>11.8531819980407</v>
      </c>
      <c r="C4352">
        <v>49102</v>
      </c>
      <c r="D4352" t="s">
        <v>5420</v>
      </c>
      <c r="E4352">
        <v>40910</v>
      </c>
      <c r="F4352" t="s">
        <v>1121</v>
      </c>
      <c r="G4352">
        <v>409</v>
      </c>
      <c r="H4352" t="s">
        <v>83</v>
      </c>
      <c r="I4352">
        <v>4</v>
      </c>
      <c r="J4352" t="s">
        <v>75</v>
      </c>
    </row>
    <row r="4353" spans="1:10" x14ac:dyDescent="0.25">
      <c r="A4353" t="s">
        <v>7354</v>
      </c>
      <c r="B4353">
        <f>44539.2437967844*(1/100/100)</f>
        <v>4.4539243796784405</v>
      </c>
      <c r="C4353">
        <v>49103</v>
      </c>
      <c r="D4353" t="s">
        <v>5423</v>
      </c>
      <c r="E4353">
        <v>40912</v>
      </c>
      <c r="F4353" t="s">
        <v>1123</v>
      </c>
      <c r="G4353">
        <v>409</v>
      </c>
      <c r="H4353" t="s">
        <v>83</v>
      </c>
      <c r="I4353">
        <v>4</v>
      </c>
      <c r="J4353" t="s">
        <v>75</v>
      </c>
    </row>
    <row r="4354" spans="1:10" x14ac:dyDescent="0.25">
      <c r="A4354" t="s">
        <v>7354</v>
      </c>
      <c r="B4354">
        <f>64325.2637531855*(1/100/100)</f>
        <v>6.4325263753185506</v>
      </c>
      <c r="C4354">
        <v>49104</v>
      </c>
      <c r="D4354" t="s">
        <v>5424</v>
      </c>
      <c r="E4354">
        <v>40912</v>
      </c>
      <c r="F4354" t="s">
        <v>1123</v>
      </c>
      <c r="G4354">
        <v>409</v>
      </c>
      <c r="H4354" t="s">
        <v>83</v>
      </c>
      <c r="I4354">
        <v>4</v>
      </c>
      <c r="J4354" t="s">
        <v>75</v>
      </c>
    </row>
    <row r="4355" spans="1:10" x14ac:dyDescent="0.25">
      <c r="A4355" t="s">
        <v>7354</v>
      </c>
      <c r="B4355">
        <f>347774.229540594*(1/100/100)</f>
        <v>34.777422954059396</v>
      </c>
      <c r="C4355">
        <v>49105</v>
      </c>
      <c r="D4355" t="s">
        <v>1116</v>
      </c>
      <c r="E4355">
        <v>40905</v>
      </c>
      <c r="F4355" t="s">
        <v>1116</v>
      </c>
      <c r="G4355">
        <v>409</v>
      </c>
      <c r="H4355" t="s">
        <v>83</v>
      </c>
      <c r="I4355">
        <v>4</v>
      </c>
      <c r="J4355" t="s">
        <v>75</v>
      </c>
    </row>
    <row r="4356" spans="1:10" x14ac:dyDescent="0.25">
      <c r="A4356" t="s">
        <v>7354</v>
      </c>
      <c r="B4356">
        <f>72756.2089418663*(1/100/100)</f>
        <v>7.2756208941866296</v>
      </c>
      <c r="C4356">
        <v>49106</v>
      </c>
      <c r="D4356" t="s">
        <v>2100</v>
      </c>
      <c r="E4356">
        <v>40906</v>
      </c>
      <c r="F4356" t="s">
        <v>1117</v>
      </c>
      <c r="G4356">
        <v>409</v>
      </c>
      <c r="H4356" t="s">
        <v>83</v>
      </c>
      <c r="I4356">
        <v>4</v>
      </c>
      <c r="J4356" t="s">
        <v>75</v>
      </c>
    </row>
    <row r="4357" spans="1:10" x14ac:dyDescent="0.25">
      <c r="A4357" t="s">
        <v>7354</v>
      </c>
      <c r="B4357">
        <f>64320.7901146118*(1/100/100)</f>
        <v>6.4320790114611803</v>
      </c>
      <c r="C4357">
        <v>49107</v>
      </c>
      <c r="D4357" t="s">
        <v>5425</v>
      </c>
      <c r="E4357">
        <v>40912</v>
      </c>
      <c r="F4357" t="s">
        <v>1123</v>
      </c>
      <c r="G4357">
        <v>409</v>
      </c>
      <c r="H4357" t="s">
        <v>83</v>
      </c>
      <c r="I4357">
        <v>4</v>
      </c>
      <c r="J4357" t="s">
        <v>75</v>
      </c>
    </row>
    <row r="4358" spans="1:10" x14ac:dyDescent="0.25">
      <c r="A4358" t="s">
        <v>7354</v>
      </c>
      <c r="B4358">
        <f>63014.8795698287*(1/100/100)</f>
        <v>6.3014879569828706</v>
      </c>
      <c r="C4358">
        <v>49108</v>
      </c>
      <c r="D4358" t="s">
        <v>5437</v>
      </c>
      <c r="E4358">
        <v>40917</v>
      </c>
      <c r="F4358" t="s">
        <v>1127</v>
      </c>
      <c r="G4358">
        <v>409</v>
      </c>
      <c r="H4358" t="s">
        <v>83</v>
      </c>
      <c r="I4358">
        <v>4</v>
      </c>
      <c r="J4358" t="s">
        <v>75</v>
      </c>
    </row>
    <row r="4359" spans="1:10" x14ac:dyDescent="0.25">
      <c r="A4359" t="s">
        <v>7354</v>
      </c>
      <c r="B4359">
        <f>59674.8708774744*(1/100/100)</f>
        <v>5.9674870877474406</v>
      </c>
      <c r="C4359">
        <v>49109</v>
      </c>
      <c r="D4359" t="s">
        <v>5421</v>
      </c>
      <c r="E4359">
        <v>40910</v>
      </c>
      <c r="F4359" t="s">
        <v>1121</v>
      </c>
      <c r="G4359">
        <v>409</v>
      </c>
      <c r="H4359" t="s">
        <v>83</v>
      </c>
      <c r="I4359">
        <v>4</v>
      </c>
      <c r="J4359" t="s">
        <v>75</v>
      </c>
    </row>
    <row r="4360" spans="1:10" x14ac:dyDescent="0.25">
      <c r="A4360" t="s">
        <v>7354</v>
      </c>
      <c r="B4360">
        <f>74353.1408454755*(1/100/100)</f>
        <v>7.4353140845475503</v>
      </c>
      <c r="C4360">
        <v>49110</v>
      </c>
      <c r="D4360" t="s">
        <v>5404</v>
      </c>
      <c r="E4360">
        <v>40904</v>
      </c>
      <c r="F4360" t="s">
        <v>1115</v>
      </c>
      <c r="G4360">
        <v>409</v>
      </c>
      <c r="H4360" t="s">
        <v>83</v>
      </c>
      <c r="I4360">
        <v>4</v>
      </c>
      <c r="J4360" t="s">
        <v>75</v>
      </c>
    </row>
    <row r="4361" spans="1:10" x14ac:dyDescent="0.25">
      <c r="A4361" t="s">
        <v>7354</v>
      </c>
      <c r="B4361">
        <f>344410.576176058*(1/100/100)</f>
        <v>34.4410576176058</v>
      </c>
      <c r="C4361">
        <v>49111</v>
      </c>
      <c r="D4361" t="s">
        <v>5414</v>
      </c>
      <c r="E4361">
        <v>40908</v>
      </c>
      <c r="F4361" t="s">
        <v>1119</v>
      </c>
      <c r="G4361">
        <v>409</v>
      </c>
      <c r="H4361" t="s">
        <v>83</v>
      </c>
      <c r="I4361">
        <v>4</v>
      </c>
      <c r="J4361" t="s">
        <v>75</v>
      </c>
    </row>
    <row r="4362" spans="1:10" x14ac:dyDescent="0.25">
      <c r="A4362" t="s">
        <v>7354</v>
      </c>
      <c r="B4362">
        <f>169784.696487168*(1/100/100)</f>
        <v>16.9784696487168</v>
      </c>
      <c r="C4362">
        <v>49112</v>
      </c>
      <c r="D4362" t="s">
        <v>3121</v>
      </c>
      <c r="E4362">
        <v>40912</v>
      </c>
      <c r="F4362" t="s">
        <v>1123</v>
      </c>
      <c r="G4362">
        <v>409</v>
      </c>
      <c r="H4362" t="s">
        <v>83</v>
      </c>
      <c r="I4362">
        <v>4</v>
      </c>
      <c r="J4362" t="s">
        <v>75</v>
      </c>
    </row>
    <row r="4363" spans="1:10" x14ac:dyDescent="0.25">
      <c r="A4363" t="s">
        <v>7354</v>
      </c>
      <c r="B4363">
        <f>94853.6677301546*(1/100/100)</f>
        <v>9.4853667730154605</v>
      </c>
      <c r="C4363">
        <v>49113</v>
      </c>
      <c r="D4363" t="s">
        <v>5438</v>
      </c>
      <c r="E4363">
        <v>40917</v>
      </c>
      <c r="F4363" t="s">
        <v>1127</v>
      </c>
      <c r="G4363">
        <v>409</v>
      </c>
      <c r="H4363" t="s">
        <v>83</v>
      </c>
      <c r="I4363">
        <v>4</v>
      </c>
      <c r="J4363" t="s">
        <v>75</v>
      </c>
    </row>
    <row r="4364" spans="1:10" x14ac:dyDescent="0.25">
      <c r="A4364" t="s">
        <v>7354</v>
      </c>
      <c r="B4364">
        <f>46517.583122997*(1/100/100)</f>
        <v>4.6517583122996999</v>
      </c>
      <c r="C4364">
        <v>49114</v>
      </c>
      <c r="D4364" t="s">
        <v>5442</v>
      </c>
      <c r="E4364">
        <v>40919</v>
      </c>
      <c r="F4364" t="s">
        <v>1129</v>
      </c>
      <c r="G4364">
        <v>409</v>
      </c>
      <c r="H4364" t="s">
        <v>83</v>
      </c>
      <c r="I4364">
        <v>4</v>
      </c>
      <c r="J4364" t="s">
        <v>75</v>
      </c>
    </row>
    <row r="4365" spans="1:10" x14ac:dyDescent="0.25">
      <c r="A4365" t="s">
        <v>7354</v>
      </c>
      <c r="B4365">
        <f>74069.4172760293*(1/100/100)</f>
        <v>7.4069417276029306</v>
      </c>
      <c r="C4365">
        <v>49115</v>
      </c>
      <c r="D4365" t="s">
        <v>5443</v>
      </c>
      <c r="E4365">
        <v>40919</v>
      </c>
      <c r="F4365" t="s">
        <v>1129</v>
      </c>
      <c r="G4365">
        <v>409</v>
      </c>
      <c r="H4365" t="s">
        <v>83</v>
      </c>
      <c r="I4365">
        <v>4</v>
      </c>
      <c r="J4365" t="s">
        <v>75</v>
      </c>
    </row>
    <row r="4366" spans="1:10" x14ac:dyDescent="0.25">
      <c r="A4366" t="s">
        <v>7354</v>
      </c>
      <c r="B4366">
        <f>124744.700952692*(1/100/100)</f>
        <v>12.474470095269201</v>
      </c>
      <c r="C4366">
        <v>49116</v>
      </c>
      <c r="D4366" t="s">
        <v>5415</v>
      </c>
      <c r="E4366">
        <v>40908</v>
      </c>
      <c r="F4366" t="s">
        <v>1119</v>
      </c>
      <c r="G4366">
        <v>409</v>
      </c>
      <c r="H4366" t="s">
        <v>83</v>
      </c>
      <c r="I4366">
        <v>4</v>
      </c>
      <c r="J4366" t="s">
        <v>75</v>
      </c>
    </row>
    <row r="4367" spans="1:10" x14ac:dyDescent="0.25">
      <c r="A4367" t="s">
        <v>7354</v>
      </c>
      <c r="B4367">
        <f>72701.1201831263*(1/100/100)</f>
        <v>7.2701120183126307</v>
      </c>
      <c r="C4367">
        <v>49117</v>
      </c>
      <c r="D4367" t="s">
        <v>1122</v>
      </c>
      <c r="E4367">
        <v>40911</v>
      </c>
      <c r="F4367" t="s">
        <v>1122</v>
      </c>
      <c r="G4367">
        <v>409</v>
      </c>
      <c r="H4367" t="s">
        <v>83</v>
      </c>
      <c r="I4367">
        <v>4</v>
      </c>
      <c r="J4367" t="s">
        <v>75</v>
      </c>
    </row>
    <row r="4368" spans="1:10" x14ac:dyDescent="0.25">
      <c r="A4368" t="s">
        <v>7354</v>
      </c>
      <c r="B4368">
        <f>212256.130947476*(1/100/100)</f>
        <v>21.225613094747601</v>
      </c>
      <c r="C4368">
        <v>49118</v>
      </c>
      <c r="D4368" t="s">
        <v>1123</v>
      </c>
      <c r="E4368">
        <v>40912</v>
      </c>
      <c r="F4368" t="s">
        <v>1123</v>
      </c>
      <c r="G4368">
        <v>409</v>
      </c>
      <c r="H4368" t="s">
        <v>83</v>
      </c>
      <c r="I4368">
        <v>4</v>
      </c>
      <c r="J4368" t="s">
        <v>75</v>
      </c>
    </row>
    <row r="4369" spans="1:10" x14ac:dyDescent="0.25">
      <c r="A4369" t="s">
        <v>7354</v>
      </c>
      <c r="B4369">
        <f>67281.9852676705*(1/100/100)</f>
        <v>6.7281985267670512</v>
      </c>
      <c r="C4369">
        <v>49119</v>
      </c>
      <c r="D4369" t="s">
        <v>5426</v>
      </c>
      <c r="E4369">
        <v>40912</v>
      </c>
      <c r="F4369" t="s">
        <v>1123</v>
      </c>
      <c r="G4369">
        <v>409</v>
      </c>
      <c r="H4369" t="s">
        <v>83</v>
      </c>
      <c r="I4369">
        <v>4</v>
      </c>
      <c r="J4369" t="s">
        <v>75</v>
      </c>
    </row>
    <row r="4370" spans="1:10" x14ac:dyDescent="0.25">
      <c r="A4370" t="s">
        <v>7354</v>
      </c>
      <c r="B4370">
        <f>65357.4303572954*(1/100/100)</f>
        <v>6.5357430357295403</v>
      </c>
      <c r="C4370">
        <v>49120</v>
      </c>
      <c r="D4370" t="s">
        <v>5427</v>
      </c>
      <c r="E4370">
        <v>40912</v>
      </c>
      <c r="F4370" t="s">
        <v>1123</v>
      </c>
      <c r="G4370">
        <v>409</v>
      </c>
      <c r="H4370" t="s">
        <v>83</v>
      </c>
      <c r="I4370">
        <v>4</v>
      </c>
      <c r="J4370" t="s">
        <v>75</v>
      </c>
    </row>
    <row r="4371" spans="1:10" x14ac:dyDescent="0.25">
      <c r="A4371" t="s">
        <v>7354</v>
      </c>
      <c r="B4371">
        <f>56378.7754036291*(1/100/100)</f>
        <v>5.6378775403629104</v>
      </c>
      <c r="C4371">
        <v>49121</v>
      </c>
      <c r="D4371" t="s">
        <v>5422</v>
      </c>
      <c r="E4371">
        <v>40910</v>
      </c>
      <c r="F4371" t="s">
        <v>1121</v>
      </c>
      <c r="G4371">
        <v>409</v>
      </c>
      <c r="H4371" t="s">
        <v>83</v>
      </c>
      <c r="I4371">
        <v>4</v>
      </c>
      <c r="J4371" t="s">
        <v>75</v>
      </c>
    </row>
    <row r="4372" spans="1:10" x14ac:dyDescent="0.25">
      <c r="A4372" t="s">
        <v>7354</v>
      </c>
      <c r="B4372">
        <f>63032.4660289815*(1/100/100)</f>
        <v>6.3032466028981506</v>
      </c>
      <c r="C4372">
        <v>49122</v>
      </c>
      <c r="D4372" t="s">
        <v>5406</v>
      </c>
      <c r="E4372">
        <v>40906</v>
      </c>
      <c r="F4372" t="s">
        <v>1117</v>
      </c>
      <c r="G4372">
        <v>409</v>
      </c>
      <c r="H4372" t="s">
        <v>83</v>
      </c>
      <c r="I4372">
        <v>4</v>
      </c>
      <c r="J4372" t="s">
        <v>75</v>
      </c>
    </row>
    <row r="4373" spans="1:10" x14ac:dyDescent="0.25">
      <c r="A4373" t="s">
        <v>7354</v>
      </c>
      <c r="B4373">
        <f>85484.5414107581*(1/100/100)</f>
        <v>8.5484541410758101</v>
      </c>
      <c r="C4373">
        <v>49123</v>
      </c>
      <c r="D4373" t="s">
        <v>5428</v>
      </c>
      <c r="E4373">
        <v>40912</v>
      </c>
      <c r="F4373" t="s">
        <v>1123</v>
      </c>
      <c r="G4373">
        <v>409</v>
      </c>
      <c r="H4373" t="s">
        <v>83</v>
      </c>
      <c r="I4373">
        <v>4</v>
      </c>
      <c r="J4373" t="s">
        <v>75</v>
      </c>
    </row>
    <row r="4374" spans="1:10" x14ac:dyDescent="0.25">
      <c r="A4374" t="s">
        <v>7354</v>
      </c>
      <c r="B4374">
        <f>194544.07805501*(1/100/100)</f>
        <v>19.454407805501003</v>
      </c>
      <c r="C4374">
        <v>49124</v>
      </c>
      <c r="D4374" t="s">
        <v>5405</v>
      </c>
      <c r="E4374">
        <v>40904</v>
      </c>
      <c r="F4374" t="s">
        <v>1115</v>
      </c>
      <c r="G4374">
        <v>409</v>
      </c>
      <c r="H4374" t="s">
        <v>83</v>
      </c>
      <c r="I4374">
        <v>4</v>
      </c>
      <c r="J4374" t="s">
        <v>75</v>
      </c>
    </row>
    <row r="4375" spans="1:10" x14ac:dyDescent="0.25">
      <c r="A4375" t="s">
        <v>7354</v>
      </c>
      <c r="B4375">
        <f>122675.298785039*(1/100/100)</f>
        <v>12.2675298785039</v>
      </c>
      <c r="C4375">
        <v>49125</v>
      </c>
      <c r="D4375" t="s">
        <v>5416</v>
      </c>
      <c r="E4375">
        <v>40908</v>
      </c>
      <c r="F4375" t="s">
        <v>1119</v>
      </c>
      <c r="G4375">
        <v>409</v>
      </c>
      <c r="H4375" t="s">
        <v>83</v>
      </c>
      <c r="I4375">
        <v>4</v>
      </c>
      <c r="J4375" t="s">
        <v>75</v>
      </c>
    </row>
    <row r="4376" spans="1:10" x14ac:dyDescent="0.25">
      <c r="A4376" t="s">
        <v>7354</v>
      </c>
      <c r="B4376">
        <f>185726.738915922*(1/100/100)</f>
        <v>18.572673891592203</v>
      </c>
      <c r="C4376">
        <v>49126</v>
      </c>
      <c r="D4376" t="s">
        <v>5439</v>
      </c>
      <c r="E4376">
        <v>40917</v>
      </c>
      <c r="F4376" t="s">
        <v>1127</v>
      </c>
      <c r="G4376">
        <v>409</v>
      </c>
      <c r="H4376" t="s">
        <v>83</v>
      </c>
      <c r="I4376">
        <v>4</v>
      </c>
      <c r="J4376" t="s">
        <v>75</v>
      </c>
    </row>
    <row r="4377" spans="1:10" x14ac:dyDescent="0.25">
      <c r="A4377" t="s">
        <v>7354</v>
      </c>
      <c r="B4377">
        <f>228527.047950058*(1/100/100)</f>
        <v>22.852704795005803</v>
      </c>
      <c r="C4377">
        <v>49201</v>
      </c>
      <c r="D4377" t="s">
        <v>1263</v>
      </c>
      <c r="E4377">
        <v>41502</v>
      </c>
      <c r="F4377" t="s">
        <v>1263</v>
      </c>
      <c r="G4377">
        <v>415</v>
      </c>
      <c r="H4377" t="s">
        <v>89</v>
      </c>
      <c r="I4377">
        <v>4</v>
      </c>
      <c r="J4377" t="s">
        <v>75</v>
      </c>
    </row>
    <row r="4378" spans="1:10" x14ac:dyDescent="0.25">
      <c r="A4378" t="s">
        <v>7354</v>
      </c>
      <c r="B4378">
        <f>185660.11324028*(1/100/100)</f>
        <v>18.566011324028004</v>
      </c>
      <c r="C4378">
        <v>49202</v>
      </c>
      <c r="D4378" t="s">
        <v>5740</v>
      </c>
      <c r="E4378">
        <v>41517</v>
      </c>
      <c r="F4378" t="s">
        <v>1277</v>
      </c>
      <c r="G4378">
        <v>415</v>
      </c>
      <c r="H4378" t="s">
        <v>89</v>
      </c>
      <c r="I4378">
        <v>4</v>
      </c>
      <c r="J4378" t="s">
        <v>75</v>
      </c>
    </row>
    <row r="4379" spans="1:10" x14ac:dyDescent="0.25">
      <c r="A4379" t="s">
        <v>7354</v>
      </c>
      <c r="B4379">
        <f>84160.6902692664*(1/100/100)</f>
        <v>8.4160690269266407</v>
      </c>
      <c r="C4379">
        <v>49203</v>
      </c>
      <c r="D4379" t="s">
        <v>5153</v>
      </c>
      <c r="E4379">
        <v>40201</v>
      </c>
      <c r="F4379" t="s">
        <v>990</v>
      </c>
      <c r="G4379">
        <v>402</v>
      </c>
      <c r="H4379" t="s">
        <v>76</v>
      </c>
      <c r="I4379">
        <v>4</v>
      </c>
      <c r="J4379" t="s">
        <v>75</v>
      </c>
    </row>
    <row r="4380" spans="1:10" x14ac:dyDescent="0.25">
      <c r="A4380" t="s">
        <v>7354</v>
      </c>
      <c r="B4380">
        <f>49247.2395806639*(1/100/100)</f>
        <v>4.9247239580663908</v>
      </c>
      <c r="C4380">
        <v>49204</v>
      </c>
      <c r="D4380" t="s">
        <v>5486</v>
      </c>
      <c r="E4380">
        <v>41515</v>
      </c>
      <c r="F4380" t="s">
        <v>1275</v>
      </c>
      <c r="G4380">
        <v>415</v>
      </c>
      <c r="H4380" t="s">
        <v>89</v>
      </c>
      <c r="I4380">
        <v>4</v>
      </c>
      <c r="J4380" t="s">
        <v>75</v>
      </c>
    </row>
    <row r="4381" spans="1:10" x14ac:dyDescent="0.25">
      <c r="A4381" t="s">
        <v>7354</v>
      </c>
      <c r="B4381">
        <f>94686.132340649*(1/100/100)</f>
        <v>9.4686132340649003</v>
      </c>
      <c r="C4381">
        <v>49205</v>
      </c>
      <c r="D4381" t="s">
        <v>5154</v>
      </c>
      <c r="E4381">
        <v>40201</v>
      </c>
      <c r="F4381" t="s">
        <v>990</v>
      </c>
      <c r="G4381">
        <v>402</v>
      </c>
      <c r="H4381" t="s">
        <v>76</v>
      </c>
      <c r="I4381">
        <v>4</v>
      </c>
      <c r="J4381" t="s">
        <v>75</v>
      </c>
    </row>
    <row r="4382" spans="1:10" x14ac:dyDescent="0.25">
      <c r="A4382" t="s">
        <v>7354</v>
      </c>
      <c r="B4382">
        <f>208576.930148928*(1/100/100)</f>
        <v>20.857693014892799</v>
      </c>
      <c r="C4382">
        <v>49206</v>
      </c>
      <c r="D4382" t="s">
        <v>1267</v>
      </c>
      <c r="E4382">
        <v>41506</v>
      </c>
      <c r="F4382" t="s">
        <v>1267</v>
      </c>
      <c r="G4382">
        <v>415</v>
      </c>
      <c r="H4382" t="s">
        <v>89</v>
      </c>
      <c r="I4382">
        <v>4</v>
      </c>
      <c r="J4382" t="s">
        <v>75</v>
      </c>
    </row>
    <row r="4383" spans="1:10" x14ac:dyDescent="0.25">
      <c r="A4383" t="s">
        <v>7354</v>
      </c>
      <c r="B4383">
        <f>275565.400591796*(1/100/100)</f>
        <v>27.5565400591796</v>
      </c>
      <c r="C4383">
        <v>49207</v>
      </c>
      <c r="D4383" t="s">
        <v>5155</v>
      </c>
      <c r="E4383">
        <v>40201</v>
      </c>
      <c r="F4383" t="s">
        <v>990</v>
      </c>
      <c r="G4383">
        <v>402</v>
      </c>
      <c r="H4383" t="s">
        <v>76</v>
      </c>
      <c r="I4383">
        <v>4</v>
      </c>
      <c r="J4383" t="s">
        <v>75</v>
      </c>
    </row>
    <row r="4384" spans="1:10" x14ac:dyDescent="0.25">
      <c r="A4384" t="s">
        <v>7354</v>
      </c>
      <c r="B4384">
        <f>90344.5771536394*(1/100/100)</f>
        <v>9.0344577153639403</v>
      </c>
      <c r="C4384">
        <v>49208</v>
      </c>
      <c r="D4384" t="s">
        <v>5735</v>
      </c>
      <c r="E4384">
        <v>41516</v>
      </c>
      <c r="F4384" t="s">
        <v>1276</v>
      </c>
      <c r="G4384">
        <v>415</v>
      </c>
      <c r="H4384" t="s">
        <v>89</v>
      </c>
      <c r="I4384">
        <v>4</v>
      </c>
      <c r="J4384" t="s">
        <v>75</v>
      </c>
    </row>
    <row r="4385" spans="1:10" x14ac:dyDescent="0.25">
      <c r="A4385" t="s">
        <v>7354</v>
      </c>
      <c r="B4385">
        <f>59604.9448714829*(1/100/100)</f>
        <v>5.9604944871482903</v>
      </c>
      <c r="C4385">
        <v>49209</v>
      </c>
      <c r="D4385" t="s">
        <v>5736</v>
      </c>
      <c r="E4385">
        <v>41516</v>
      </c>
      <c r="F4385" t="s">
        <v>1276</v>
      </c>
      <c r="G4385">
        <v>415</v>
      </c>
      <c r="H4385" t="s">
        <v>89</v>
      </c>
      <c r="I4385">
        <v>4</v>
      </c>
      <c r="J4385" t="s">
        <v>75</v>
      </c>
    </row>
    <row r="4386" spans="1:10" x14ac:dyDescent="0.25">
      <c r="A4386" t="s">
        <v>7354</v>
      </c>
      <c r="B4386">
        <f>595219.319380512*(1/100/100)</f>
        <v>59.521931938051203</v>
      </c>
      <c r="C4386">
        <v>49210</v>
      </c>
      <c r="D4386" t="s">
        <v>2481</v>
      </c>
      <c r="E4386">
        <v>40201</v>
      </c>
      <c r="F4386" t="s">
        <v>990</v>
      </c>
      <c r="G4386">
        <v>402</v>
      </c>
      <c r="H4386" t="s">
        <v>76</v>
      </c>
      <c r="I4386">
        <v>4</v>
      </c>
      <c r="J4386" t="s">
        <v>75</v>
      </c>
    </row>
    <row r="4387" spans="1:10" x14ac:dyDescent="0.25">
      <c r="A4387" t="s">
        <v>7354</v>
      </c>
      <c r="B4387">
        <f>221565.95630436*(1/100/100)</f>
        <v>22.156595630436001</v>
      </c>
      <c r="C4387">
        <v>49211</v>
      </c>
      <c r="D4387" t="s">
        <v>5156</v>
      </c>
      <c r="E4387">
        <v>40201</v>
      </c>
      <c r="F4387" t="s">
        <v>990</v>
      </c>
      <c r="G4387">
        <v>402</v>
      </c>
      <c r="H4387" t="s">
        <v>76</v>
      </c>
      <c r="I4387">
        <v>4</v>
      </c>
      <c r="J4387" t="s">
        <v>75</v>
      </c>
    </row>
    <row r="4388" spans="1:10" x14ac:dyDescent="0.25">
      <c r="A4388" t="s">
        <v>7354</v>
      </c>
      <c r="B4388">
        <f>149106.859197863*(1/100/100)</f>
        <v>14.910685919786301</v>
      </c>
      <c r="C4388">
        <v>49212</v>
      </c>
      <c r="D4388" t="s">
        <v>2327</v>
      </c>
      <c r="E4388">
        <v>41521</v>
      </c>
      <c r="F4388" t="s">
        <v>1279</v>
      </c>
      <c r="G4388">
        <v>415</v>
      </c>
      <c r="H4388" t="s">
        <v>89</v>
      </c>
      <c r="I4388">
        <v>4</v>
      </c>
      <c r="J4388" t="s">
        <v>75</v>
      </c>
    </row>
    <row r="4389" spans="1:10" x14ac:dyDescent="0.25">
      <c r="A4389" t="s">
        <v>7354</v>
      </c>
      <c r="B4389">
        <f>98799.3880490995*(1/100/100)</f>
        <v>9.8799388049099512</v>
      </c>
      <c r="C4389">
        <v>49213</v>
      </c>
      <c r="D4389" t="s">
        <v>5732</v>
      </c>
      <c r="E4389">
        <v>41514</v>
      </c>
      <c r="F4389" t="s">
        <v>5733</v>
      </c>
      <c r="G4389">
        <v>415</v>
      </c>
      <c r="H4389" t="s">
        <v>89</v>
      </c>
      <c r="I4389">
        <v>4</v>
      </c>
      <c r="J4389" t="s">
        <v>75</v>
      </c>
    </row>
    <row r="4390" spans="1:10" x14ac:dyDescent="0.25">
      <c r="A4390" t="s">
        <v>7354</v>
      </c>
      <c r="B4390">
        <f>38306.8505640079*(1/100/100)</f>
        <v>3.8306850564007906</v>
      </c>
      <c r="C4390">
        <v>49214</v>
      </c>
      <c r="D4390" t="s">
        <v>5745</v>
      </c>
      <c r="E4390">
        <v>41521</v>
      </c>
      <c r="F4390" t="s">
        <v>1279</v>
      </c>
      <c r="G4390">
        <v>415</v>
      </c>
      <c r="H4390" t="s">
        <v>89</v>
      </c>
      <c r="I4390">
        <v>4</v>
      </c>
      <c r="J4390" t="s">
        <v>75</v>
      </c>
    </row>
    <row r="4391" spans="1:10" x14ac:dyDescent="0.25">
      <c r="A4391" t="s">
        <v>7354</v>
      </c>
      <c r="B4391">
        <f>83639.8325173487*(1/100/100)</f>
        <v>8.3639832517348704</v>
      </c>
      <c r="C4391">
        <v>49215</v>
      </c>
      <c r="D4391" t="s">
        <v>5717</v>
      </c>
      <c r="E4391">
        <v>41506</v>
      </c>
      <c r="F4391" t="s">
        <v>1267</v>
      </c>
      <c r="G4391">
        <v>415</v>
      </c>
      <c r="H4391" t="s">
        <v>89</v>
      </c>
      <c r="I4391">
        <v>4</v>
      </c>
      <c r="J4391" t="s">
        <v>75</v>
      </c>
    </row>
    <row r="4392" spans="1:10" x14ac:dyDescent="0.25">
      <c r="A4392" t="s">
        <v>7354</v>
      </c>
      <c r="B4392">
        <f>72806.7326127673*(1/100/100)</f>
        <v>7.2806732612767302</v>
      </c>
      <c r="C4392">
        <v>49216</v>
      </c>
      <c r="D4392" t="s">
        <v>5746</v>
      </c>
      <c r="E4392">
        <v>41521</v>
      </c>
      <c r="F4392" t="s">
        <v>1279</v>
      </c>
      <c r="G4392">
        <v>415</v>
      </c>
      <c r="H4392" t="s">
        <v>89</v>
      </c>
      <c r="I4392">
        <v>4</v>
      </c>
      <c r="J4392" t="s">
        <v>75</v>
      </c>
    </row>
    <row r="4393" spans="1:10" x14ac:dyDescent="0.25">
      <c r="A4393" t="s">
        <v>7354</v>
      </c>
      <c r="B4393">
        <f>42359.8648923963*(1/100/100)</f>
        <v>4.2359864892396297</v>
      </c>
      <c r="C4393">
        <v>49217</v>
      </c>
      <c r="D4393" t="s">
        <v>5747</v>
      </c>
      <c r="E4393">
        <v>41521</v>
      </c>
      <c r="F4393" t="s">
        <v>1279</v>
      </c>
      <c r="G4393">
        <v>415</v>
      </c>
      <c r="H4393" t="s">
        <v>89</v>
      </c>
      <c r="I4393">
        <v>4</v>
      </c>
      <c r="J4393" t="s">
        <v>75</v>
      </c>
    </row>
    <row r="4394" spans="1:10" x14ac:dyDescent="0.25">
      <c r="A4394" t="s">
        <v>7354</v>
      </c>
      <c r="B4394">
        <f>62911.290851702*(1/100/100)</f>
        <v>6.2911290851702004</v>
      </c>
      <c r="C4394">
        <v>49218</v>
      </c>
      <c r="D4394" t="s">
        <v>2580</v>
      </c>
      <c r="E4394">
        <v>41515</v>
      </c>
      <c r="F4394" t="s">
        <v>1275</v>
      </c>
      <c r="G4394">
        <v>415</v>
      </c>
      <c r="H4394" t="s">
        <v>89</v>
      </c>
      <c r="I4394">
        <v>4</v>
      </c>
      <c r="J4394" t="s">
        <v>75</v>
      </c>
    </row>
    <row r="4395" spans="1:10" x14ac:dyDescent="0.25">
      <c r="A4395" t="s">
        <v>7354</v>
      </c>
      <c r="B4395">
        <f>248287.230607928*(1/100/100)</f>
        <v>24.828723060792804</v>
      </c>
      <c r="C4395">
        <v>49219</v>
      </c>
      <c r="D4395" t="s">
        <v>5713</v>
      </c>
      <c r="E4395">
        <v>41504</v>
      </c>
      <c r="F4395" t="s">
        <v>1265</v>
      </c>
      <c r="G4395">
        <v>415</v>
      </c>
      <c r="H4395" t="s">
        <v>89</v>
      </c>
      <c r="I4395">
        <v>4</v>
      </c>
      <c r="J4395" t="s">
        <v>75</v>
      </c>
    </row>
    <row r="4396" spans="1:10" x14ac:dyDescent="0.25">
      <c r="A4396" t="s">
        <v>7354</v>
      </c>
      <c r="B4396">
        <f>55875.5468482963*(1/100/100)</f>
        <v>5.5875546848296302</v>
      </c>
      <c r="C4396">
        <v>49220</v>
      </c>
      <c r="D4396" t="s">
        <v>2888</v>
      </c>
      <c r="E4396">
        <v>41502</v>
      </c>
      <c r="F4396" t="s">
        <v>1263</v>
      </c>
      <c r="G4396">
        <v>415</v>
      </c>
      <c r="H4396" t="s">
        <v>89</v>
      </c>
      <c r="I4396">
        <v>4</v>
      </c>
      <c r="J4396" t="s">
        <v>75</v>
      </c>
    </row>
    <row r="4397" spans="1:10" x14ac:dyDescent="0.25">
      <c r="A4397" t="s">
        <v>7354</v>
      </c>
      <c r="B4397">
        <f>94356.5756632807*(1/100/100)</f>
        <v>9.4356575663280715</v>
      </c>
      <c r="C4397">
        <v>49221</v>
      </c>
      <c r="D4397" t="s">
        <v>2662</v>
      </c>
      <c r="E4397">
        <v>41506</v>
      </c>
      <c r="F4397" t="s">
        <v>1267</v>
      </c>
      <c r="G4397">
        <v>415</v>
      </c>
      <c r="H4397" t="s">
        <v>89</v>
      </c>
      <c r="I4397">
        <v>4</v>
      </c>
      <c r="J4397" t="s">
        <v>75</v>
      </c>
    </row>
    <row r="4398" spans="1:10" x14ac:dyDescent="0.25">
      <c r="A4398" t="s">
        <v>7354</v>
      </c>
      <c r="B4398">
        <f>124170.044416938*(1/100/100)</f>
        <v>12.417004441693802</v>
      </c>
      <c r="C4398">
        <v>49222</v>
      </c>
      <c r="D4398" t="s">
        <v>5737</v>
      </c>
      <c r="E4398">
        <v>41516</v>
      </c>
      <c r="F4398" t="s">
        <v>1276</v>
      </c>
      <c r="G4398">
        <v>415</v>
      </c>
      <c r="H4398" t="s">
        <v>89</v>
      </c>
      <c r="I4398">
        <v>4</v>
      </c>
      <c r="J4398" t="s">
        <v>75</v>
      </c>
    </row>
    <row r="4399" spans="1:10" x14ac:dyDescent="0.25">
      <c r="A4399" t="s">
        <v>7354</v>
      </c>
      <c r="B4399">
        <f>39544.2256368455*(1/100/100)</f>
        <v>3.9544225636845498</v>
      </c>
      <c r="C4399">
        <v>49223</v>
      </c>
      <c r="D4399" t="s">
        <v>5738</v>
      </c>
      <c r="E4399">
        <v>41516</v>
      </c>
      <c r="F4399" t="s">
        <v>1276</v>
      </c>
      <c r="G4399">
        <v>415</v>
      </c>
      <c r="H4399" t="s">
        <v>89</v>
      </c>
      <c r="I4399">
        <v>4</v>
      </c>
      <c r="J4399" t="s">
        <v>75</v>
      </c>
    </row>
    <row r="4400" spans="1:10" x14ac:dyDescent="0.25">
      <c r="A4400" t="s">
        <v>7354</v>
      </c>
      <c r="B4400">
        <f>64834.6467586688*(1/100/100)</f>
        <v>6.4834646758668804</v>
      </c>
      <c r="C4400">
        <v>49224</v>
      </c>
      <c r="D4400" t="s">
        <v>5718</v>
      </c>
      <c r="E4400">
        <v>41506</v>
      </c>
      <c r="F4400" t="s">
        <v>1267</v>
      </c>
      <c r="G4400">
        <v>415</v>
      </c>
      <c r="H4400" t="s">
        <v>89</v>
      </c>
      <c r="I4400">
        <v>4</v>
      </c>
      <c r="J4400" t="s">
        <v>75</v>
      </c>
    </row>
    <row r="4401" spans="1:10" x14ac:dyDescent="0.25">
      <c r="A4401" t="s">
        <v>7354</v>
      </c>
      <c r="B4401">
        <f>40143.2319429541*(1/100/100)</f>
        <v>4.0143231942954101</v>
      </c>
      <c r="C4401">
        <v>49225</v>
      </c>
      <c r="D4401" t="s">
        <v>5714</v>
      </c>
      <c r="E4401">
        <v>41504</v>
      </c>
      <c r="F4401" t="s">
        <v>1265</v>
      </c>
      <c r="G4401">
        <v>415</v>
      </c>
      <c r="H4401" t="s">
        <v>89</v>
      </c>
      <c r="I4401">
        <v>4</v>
      </c>
      <c r="J4401" t="s">
        <v>75</v>
      </c>
    </row>
    <row r="4402" spans="1:10" x14ac:dyDescent="0.25">
      <c r="A4402" t="s">
        <v>7354</v>
      </c>
      <c r="B4402">
        <f>85470.6006826604*(1/100/100)</f>
        <v>8.54706006826604</v>
      </c>
      <c r="C4402">
        <v>49226</v>
      </c>
      <c r="D4402" t="s">
        <v>5719</v>
      </c>
      <c r="E4402">
        <v>41506</v>
      </c>
      <c r="F4402" t="s">
        <v>1267</v>
      </c>
      <c r="G4402">
        <v>415</v>
      </c>
      <c r="H4402" t="s">
        <v>89</v>
      </c>
      <c r="I4402">
        <v>4</v>
      </c>
      <c r="J4402" t="s">
        <v>75</v>
      </c>
    </row>
    <row r="4403" spans="1:10" x14ac:dyDescent="0.25">
      <c r="A4403" t="s">
        <v>7354</v>
      </c>
      <c r="B4403">
        <f>143093.918125401*(1/100/100)</f>
        <v>14.309391812540099</v>
      </c>
      <c r="C4403">
        <v>49227</v>
      </c>
      <c r="D4403" t="s">
        <v>2893</v>
      </c>
      <c r="E4403">
        <v>41516</v>
      </c>
      <c r="F4403" t="s">
        <v>1276</v>
      </c>
      <c r="G4403">
        <v>415</v>
      </c>
      <c r="H4403" t="s">
        <v>89</v>
      </c>
      <c r="I4403">
        <v>4</v>
      </c>
      <c r="J4403" t="s">
        <v>75</v>
      </c>
    </row>
    <row r="4404" spans="1:10" x14ac:dyDescent="0.25">
      <c r="A4404" t="s">
        <v>7354</v>
      </c>
      <c r="B4404">
        <f>72623.3232692487*(1/100/100)</f>
        <v>7.262332326924871</v>
      </c>
      <c r="C4404">
        <v>49228</v>
      </c>
      <c r="D4404" t="s">
        <v>4848</v>
      </c>
      <c r="E4404">
        <v>40201</v>
      </c>
      <c r="F4404" t="s">
        <v>990</v>
      </c>
      <c r="G4404">
        <v>402</v>
      </c>
      <c r="H4404" t="s">
        <v>76</v>
      </c>
      <c r="I4404">
        <v>4</v>
      </c>
      <c r="J4404" t="s">
        <v>75</v>
      </c>
    </row>
    <row r="4405" spans="1:10" x14ac:dyDescent="0.25">
      <c r="A4405" t="s">
        <v>7354</v>
      </c>
      <c r="B4405">
        <f>48623.3021414846*(1/100/100)</f>
        <v>4.8623302141484599</v>
      </c>
      <c r="C4405">
        <v>49229</v>
      </c>
      <c r="D4405" t="s">
        <v>5748</v>
      </c>
      <c r="E4405">
        <v>41521</v>
      </c>
      <c r="F4405" t="s">
        <v>1279</v>
      </c>
      <c r="G4405">
        <v>415</v>
      </c>
      <c r="H4405" t="s">
        <v>89</v>
      </c>
      <c r="I4405">
        <v>4</v>
      </c>
      <c r="J4405" t="s">
        <v>75</v>
      </c>
    </row>
    <row r="4406" spans="1:10" x14ac:dyDescent="0.25">
      <c r="A4406" t="s">
        <v>7354</v>
      </c>
      <c r="B4406">
        <f>266503.232253307*(1/100/100)</f>
        <v>26.650323225330702</v>
      </c>
      <c r="C4406">
        <v>49230</v>
      </c>
      <c r="D4406" t="s">
        <v>1276</v>
      </c>
      <c r="E4406">
        <v>41516</v>
      </c>
      <c r="F4406" t="s">
        <v>1276</v>
      </c>
      <c r="G4406">
        <v>415</v>
      </c>
      <c r="H4406" t="s">
        <v>89</v>
      </c>
      <c r="I4406">
        <v>4</v>
      </c>
      <c r="J4406" t="s">
        <v>75</v>
      </c>
    </row>
    <row r="4407" spans="1:10" x14ac:dyDescent="0.25">
      <c r="A4407" t="s">
        <v>7354</v>
      </c>
      <c r="B4407">
        <f>172430.288869995*(1/100/100)</f>
        <v>17.243028886999504</v>
      </c>
      <c r="C4407">
        <v>49231</v>
      </c>
      <c r="D4407" t="s">
        <v>5739</v>
      </c>
      <c r="E4407">
        <v>41516</v>
      </c>
      <c r="F4407" t="s">
        <v>1276</v>
      </c>
      <c r="G4407">
        <v>415</v>
      </c>
      <c r="H4407" t="s">
        <v>89</v>
      </c>
      <c r="I4407">
        <v>4</v>
      </c>
      <c r="J4407" t="s">
        <v>75</v>
      </c>
    </row>
    <row r="4408" spans="1:10" x14ac:dyDescent="0.25">
      <c r="A4408" t="s">
        <v>7354</v>
      </c>
      <c r="B4408">
        <f>30974.9400525548*(1/100/100)</f>
        <v>3.0974940052554802</v>
      </c>
      <c r="C4408">
        <v>49232</v>
      </c>
      <c r="D4408" t="s">
        <v>2316</v>
      </c>
      <c r="E4408">
        <v>40201</v>
      </c>
      <c r="F4408" t="s">
        <v>990</v>
      </c>
      <c r="G4408">
        <v>402</v>
      </c>
      <c r="H4408" t="s">
        <v>76</v>
      </c>
      <c r="I4408">
        <v>4</v>
      </c>
      <c r="J4408" t="s">
        <v>75</v>
      </c>
    </row>
    <row r="4409" spans="1:10" x14ac:dyDescent="0.25">
      <c r="A4409" t="s">
        <v>7354</v>
      </c>
      <c r="B4409">
        <f>1396020.40770954*(1/100/100)</f>
        <v>139.60204077095401</v>
      </c>
      <c r="C4409">
        <v>49233</v>
      </c>
      <c r="D4409" t="s">
        <v>990</v>
      </c>
      <c r="E4409">
        <v>40201</v>
      </c>
      <c r="F4409" t="s">
        <v>990</v>
      </c>
      <c r="G4409">
        <v>402</v>
      </c>
      <c r="H4409" t="s">
        <v>76</v>
      </c>
      <c r="I4409">
        <v>4</v>
      </c>
      <c r="J4409" t="s">
        <v>75</v>
      </c>
    </row>
    <row r="4410" spans="1:10" x14ac:dyDescent="0.25">
      <c r="A4410" t="s">
        <v>7354</v>
      </c>
      <c r="B4410">
        <f>111840.638448571*(1/100/100)</f>
        <v>11.1840638448571</v>
      </c>
      <c r="C4410">
        <v>49234</v>
      </c>
      <c r="D4410" t="s">
        <v>2882</v>
      </c>
      <c r="E4410">
        <v>41514</v>
      </c>
      <c r="F4410" t="s">
        <v>5733</v>
      </c>
      <c r="G4410">
        <v>415</v>
      </c>
      <c r="H4410" t="s">
        <v>89</v>
      </c>
      <c r="I4410">
        <v>4</v>
      </c>
      <c r="J4410" t="s">
        <v>75</v>
      </c>
    </row>
    <row r="4411" spans="1:10" x14ac:dyDescent="0.25">
      <c r="A4411" t="s">
        <v>7354</v>
      </c>
      <c r="B4411">
        <f>184607.276550681*(1/100/100)</f>
        <v>18.460727655068101</v>
      </c>
      <c r="C4411">
        <v>49235</v>
      </c>
      <c r="D4411" t="s">
        <v>1277</v>
      </c>
      <c r="E4411">
        <v>41517</v>
      </c>
      <c r="F4411" t="s">
        <v>1277</v>
      </c>
      <c r="G4411">
        <v>415</v>
      </c>
      <c r="H4411" t="s">
        <v>89</v>
      </c>
      <c r="I4411">
        <v>4</v>
      </c>
      <c r="J4411" t="s">
        <v>75</v>
      </c>
    </row>
    <row r="4412" spans="1:10" x14ac:dyDescent="0.25">
      <c r="A4412" t="s">
        <v>7354</v>
      </c>
      <c r="B4412">
        <f>145149.620646514*(1/100/100)</f>
        <v>14.514962064651401</v>
      </c>
      <c r="C4412">
        <v>49236</v>
      </c>
      <c r="D4412" t="s">
        <v>5734</v>
      </c>
      <c r="E4412">
        <v>41515</v>
      </c>
      <c r="F4412" t="s">
        <v>1275</v>
      </c>
      <c r="G4412">
        <v>415</v>
      </c>
      <c r="H4412" t="s">
        <v>89</v>
      </c>
      <c r="I4412">
        <v>4</v>
      </c>
      <c r="J4412" t="s">
        <v>75</v>
      </c>
    </row>
    <row r="4413" spans="1:10" x14ac:dyDescent="0.25">
      <c r="A4413" t="s">
        <v>7354</v>
      </c>
      <c r="B4413">
        <f>45367.1653645275*(1/100/100)</f>
        <v>4.53671653645275</v>
      </c>
      <c r="C4413">
        <v>49237</v>
      </c>
      <c r="D4413" t="s">
        <v>827</v>
      </c>
      <c r="E4413">
        <v>41517</v>
      </c>
      <c r="F4413" t="s">
        <v>1277</v>
      </c>
      <c r="G4413">
        <v>415</v>
      </c>
      <c r="H4413" t="s">
        <v>89</v>
      </c>
      <c r="I4413">
        <v>4</v>
      </c>
      <c r="J4413" t="s">
        <v>75</v>
      </c>
    </row>
    <row r="4414" spans="1:10" x14ac:dyDescent="0.25">
      <c r="A4414" t="s">
        <v>7354</v>
      </c>
      <c r="B4414">
        <f>56874.4973383879*(1/100/100)</f>
        <v>5.6874497338387897</v>
      </c>
      <c r="C4414">
        <v>49238</v>
      </c>
      <c r="D4414" t="s">
        <v>5720</v>
      </c>
      <c r="E4414">
        <v>41506</v>
      </c>
      <c r="F4414" t="s">
        <v>1267</v>
      </c>
      <c r="G4414">
        <v>415</v>
      </c>
      <c r="H4414" t="s">
        <v>89</v>
      </c>
      <c r="I4414">
        <v>4</v>
      </c>
      <c r="J4414" t="s">
        <v>75</v>
      </c>
    </row>
    <row r="4415" spans="1:10" x14ac:dyDescent="0.25">
      <c r="A4415" t="s">
        <v>7354</v>
      </c>
      <c r="B4415">
        <f>73115.2464257856*(1/100/100)</f>
        <v>7.3115246425785605</v>
      </c>
      <c r="C4415">
        <v>49239</v>
      </c>
      <c r="D4415" t="s">
        <v>5715</v>
      </c>
      <c r="E4415">
        <v>41504</v>
      </c>
      <c r="F4415" t="s">
        <v>1265</v>
      </c>
      <c r="G4415">
        <v>415</v>
      </c>
      <c r="H4415" t="s">
        <v>89</v>
      </c>
      <c r="I4415">
        <v>4</v>
      </c>
      <c r="J4415" t="s">
        <v>75</v>
      </c>
    </row>
    <row r="4416" spans="1:10" x14ac:dyDescent="0.25">
      <c r="A4416" t="s">
        <v>7354</v>
      </c>
      <c r="B4416">
        <f>115126.449827393*(1/100/100)</f>
        <v>11.5126449827393</v>
      </c>
      <c r="C4416">
        <v>49240</v>
      </c>
      <c r="D4416" t="s">
        <v>2480</v>
      </c>
      <c r="E4416">
        <v>41514</v>
      </c>
      <c r="F4416" t="s">
        <v>5733</v>
      </c>
      <c r="G4416">
        <v>415</v>
      </c>
      <c r="H4416" t="s">
        <v>89</v>
      </c>
      <c r="I4416">
        <v>4</v>
      </c>
      <c r="J4416" t="s">
        <v>75</v>
      </c>
    </row>
    <row r="4417" spans="1:10" x14ac:dyDescent="0.25">
      <c r="A4417" t="s">
        <v>7354</v>
      </c>
      <c r="B4417">
        <f>126691.307693133*(1/100/100)</f>
        <v>12.6691307693133</v>
      </c>
      <c r="C4417">
        <v>49241</v>
      </c>
      <c r="D4417" t="s">
        <v>5749</v>
      </c>
      <c r="E4417">
        <v>41521</v>
      </c>
      <c r="F4417" t="s">
        <v>1279</v>
      </c>
      <c r="G4417">
        <v>415</v>
      </c>
      <c r="H4417" t="s">
        <v>89</v>
      </c>
      <c r="I4417">
        <v>4</v>
      </c>
      <c r="J4417" t="s">
        <v>75</v>
      </c>
    </row>
    <row r="4418" spans="1:10" x14ac:dyDescent="0.25">
      <c r="A4418" t="s">
        <v>7354</v>
      </c>
      <c r="B4418">
        <f>30709.4153699238*(1/100/100)</f>
        <v>3.0709415369923803</v>
      </c>
      <c r="C4418">
        <v>49301</v>
      </c>
      <c r="D4418" t="s">
        <v>1659</v>
      </c>
      <c r="E4418">
        <v>41522</v>
      </c>
      <c r="F4418" t="s">
        <v>1280</v>
      </c>
      <c r="G4418">
        <v>415</v>
      </c>
      <c r="H4418" t="s">
        <v>89</v>
      </c>
      <c r="I4418">
        <v>4</v>
      </c>
      <c r="J4418" t="s">
        <v>75</v>
      </c>
    </row>
    <row r="4419" spans="1:10" x14ac:dyDescent="0.25">
      <c r="A4419" t="s">
        <v>7354</v>
      </c>
      <c r="B4419">
        <f>82780.433955195*(1/100/100)</f>
        <v>8.2780433955195001</v>
      </c>
      <c r="C4419">
        <v>49302</v>
      </c>
      <c r="D4419" t="s">
        <v>5730</v>
      </c>
      <c r="E4419">
        <v>41512</v>
      </c>
      <c r="F4419" t="s">
        <v>1273</v>
      </c>
      <c r="G4419">
        <v>415</v>
      </c>
      <c r="H4419" t="s">
        <v>89</v>
      </c>
      <c r="I4419">
        <v>4</v>
      </c>
      <c r="J4419" t="s">
        <v>75</v>
      </c>
    </row>
    <row r="4420" spans="1:10" x14ac:dyDescent="0.25">
      <c r="A4420" t="s">
        <v>7354</v>
      </c>
      <c r="B4420">
        <f>47083.0335820101*(1/100/100)</f>
        <v>4.7083033582010101</v>
      </c>
      <c r="C4420">
        <v>49303</v>
      </c>
      <c r="D4420" t="s">
        <v>4932</v>
      </c>
      <c r="E4420">
        <v>41510</v>
      </c>
      <c r="F4420" t="s">
        <v>1271</v>
      </c>
      <c r="G4420">
        <v>415</v>
      </c>
      <c r="H4420" t="s">
        <v>89</v>
      </c>
      <c r="I4420">
        <v>4</v>
      </c>
      <c r="J4420" t="s">
        <v>75</v>
      </c>
    </row>
    <row r="4421" spans="1:10" x14ac:dyDescent="0.25">
      <c r="A4421" t="s">
        <v>7354</v>
      </c>
      <c r="B4421">
        <f>60205.5413778994*(1/100/100)</f>
        <v>6.0205541377899401</v>
      </c>
      <c r="C4421">
        <v>49304</v>
      </c>
      <c r="D4421" t="s">
        <v>2260</v>
      </c>
      <c r="E4421">
        <v>41510</v>
      </c>
      <c r="F4421" t="s">
        <v>1271</v>
      </c>
      <c r="G4421">
        <v>415</v>
      </c>
      <c r="H4421" t="s">
        <v>89</v>
      </c>
      <c r="I4421">
        <v>4</v>
      </c>
      <c r="J4421" t="s">
        <v>75</v>
      </c>
    </row>
    <row r="4422" spans="1:10" x14ac:dyDescent="0.25">
      <c r="A4422" t="s">
        <v>7354</v>
      </c>
      <c r="B4422">
        <f>46231.2149009763*(1/100/100)</f>
        <v>4.6231214900976303</v>
      </c>
      <c r="C4422">
        <v>49305</v>
      </c>
      <c r="D4422" t="s">
        <v>2229</v>
      </c>
      <c r="E4422">
        <v>41510</v>
      </c>
      <c r="F4422" t="s">
        <v>1271</v>
      </c>
      <c r="G4422">
        <v>415</v>
      </c>
      <c r="H4422" t="s">
        <v>89</v>
      </c>
      <c r="I4422">
        <v>4</v>
      </c>
      <c r="J4422" t="s">
        <v>75</v>
      </c>
    </row>
    <row r="4423" spans="1:10" x14ac:dyDescent="0.25">
      <c r="A4423" t="s">
        <v>7354</v>
      </c>
      <c r="B4423">
        <f>114791.987734451*(1/100/100)</f>
        <v>11.4791987734451</v>
      </c>
      <c r="C4423">
        <v>49306</v>
      </c>
      <c r="D4423" t="s">
        <v>1266</v>
      </c>
      <c r="E4423">
        <v>41505</v>
      </c>
      <c r="F4423" t="s">
        <v>1266</v>
      </c>
      <c r="G4423">
        <v>415</v>
      </c>
      <c r="H4423" t="s">
        <v>89</v>
      </c>
      <c r="I4423">
        <v>4</v>
      </c>
      <c r="J4423" t="s">
        <v>75</v>
      </c>
    </row>
    <row r="4424" spans="1:10" x14ac:dyDescent="0.25">
      <c r="A4424" t="s">
        <v>7354</v>
      </c>
      <c r="B4424">
        <f>120524.172822958*(1/100/100)</f>
        <v>12.052417282295801</v>
      </c>
      <c r="C4424">
        <v>49307</v>
      </c>
      <c r="D4424" t="s">
        <v>5721</v>
      </c>
      <c r="E4424">
        <v>41507</v>
      </c>
      <c r="F4424" t="s">
        <v>1268</v>
      </c>
      <c r="G4424">
        <v>415</v>
      </c>
      <c r="H4424" t="s">
        <v>89</v>
      </c>
      <c r="I4424">
        <v>4</v>
      </c>
      <c r="J4424" t="s">
        <v>75</v>
      </c>
    </row>
    <row r="4425" spans="1:10" x14ac:dyDescent="0.25">
      <c r="A4425" t="s">
        <v>7354</v>
      </c>
      <c r="B4425">
        <f>31578.1793343177*(1/100/100)</f>
        <v>3.1578179334317702</v>
      </c>
      <c r="C4425">
        <v>49308</v>
      </c>
      <c r="D4425" t="s">
        <v>5716</v>
      </c>
      <c r="E4425">
        <v>41505</v>
      </c>
      <c r="F4425" t="s">
        <v>1266</v>
      </c>
      <c r="G4425">
        <v>415</v>
      </c>
      <c r="H4425" t="s">
        <v>89</v>
      </c>
      <c r="I4425">
        <v>4</v>
      </c>
      <c r="J4425" t="s">
        <v>75</v>
      </c>
    </row>
    <row r="4426" spans="1:10" x14ac:dyDescent="0.25">
      <c r="A4426" t="s">
        <v>7354</v>
      </c>
      <c r="B4426">
        <f>71143.502249438*(1/100/100)</f>
        <v>7.1143502249437995</v>
      </c>
      <c r="C4426">
        <v>49309</v>
      </c>
      <c r="D4426" t="s">
        <v>5750</v>
      </c>
      <c r="E4426">
        <v>41522</v>
      </c>
      <c r="F4426" t="s">
        <v>1280</v>
      </c>
      <c r="G4426">
        <v>415</v>
      </c>
      <c r="H4426" t="s">
        <v>89</v>
      </c>
      <c r="I4426">
        <v>4</v>
      </c>
      <c r="J4426" t="s">
        <v>75</v>
      </c>
    </row>
    <row r="4427" spans="1:10" x14ac:dyDescent="0.25">
      <c r="A4427" t="s">
        <v>7354</v>
      </c>
      <c r="B4427">
        <f>160615.92337568*(1/100/100)</f>
        <v>16.061592337568001</v>
      </c>
      <c r="C4427">
        <v>49310</v>
      </c>
      <c r="D4427" t="s">
        <v>5725</v>
      </c>
      <c r="E4427">
        <v>41508</v>
      </c>
      <c r="F4427" t="s">
        <v>1269</v>
      </c>
      <c r="G4427">
        <v>415</v>
      </c>
      <c r="H4427" t="s">
        <v>89</v>
      </c>
      <c r="I4427">
        <v>4</v>
      </c>
      <c r="J4427" t="s">
        <v>75</v>
      </c>
    </row>
    <row r="4428" spans="1:10" x14ac:dyDescent="0.25">
      <c r="A4428" t="s">
        <v>7354</v>
      </c>
      <c r="B4428">
        <f>30320.6758755883*(1/100/100)</f>
        <v>3.0320675875588301</v>
      </c>
      <c r="C4428">
        <v>49311</v>
      </c>
      <c r="D4428" t="s">
        <v>1269</v>
      </c>
      <c r="E4428">
        <v>41522</v>
      </c>
      <c r="F4428" t="s">
        <v>1280</v>
      </c>
      <c r="G4428">
        <v>415</v>
      </c>
      <c r="H4428" t="s">
        <v>89</v>
      </c>
      <c r="I4428">
        <v>4</v>
      </c>
      <c r="J4428" t="s">
        <v>75</v>
      </c>
    </row>
    <row r="4429" spans="1:10" x14ac:dyDescent="0.25">
      <c r="A4429" t="s">
        <v>7354</v>
      </c>
      <c r="B4429">
        <f>70492.5782878174*(1/100/100)</f>
        <v>7.0492578287817409</v>
      </c>
      <c r="C4429">
        <v>49312</v>
      </c>
      <c r="D4429" t="s">
        <v>1270</v>
      </c>
      <c r="E4429">
        <v>41509</v>
      </c>
      <c r="F4429" t="s">
        <v>1270</v>
      </c>
      <c r="G4429">
        <v>415</v>
      </c>
      <c r="H4429" t="s">
        <v>89</v>
      </c>
      <c r="I4429">
        <v>4</v>
      </c>
      <c r="J4429" t="s">
        <v>75</v>
      </c>
    </row>
    <row r="4430" spans="1:10" x14ac:dyDescent="0.25">
      <c r="A4430" t="s">
        <v>7354</v>
      </c>
      <c r="B4430">
        <f>35383.6823091778*(1/100/100)</f>
        <v>3.5383682309177802</v>
      </c>
      <c r="C4430">
        <v>49313</v>
      </c>
      <c r="D4430" t="s">
        <v>5722</v>
      </c>
      <c r="E4430">
        <v>41507</v>
      </c>
      <c r="F4430" t="s">
        <v>1268</v>
      </c>
      <c r="G4430">
        <v>415</v>
      </c>
      <c r="H4430" t="s">
        <v>89</v>
      </c>
      <c r="I4430">
        <v>4</v>
      </c>
      <c r="J4430" t="s">
        <v>75</v>
      </c>
    </row>
    <row r="4431" spans="1:10" x14ac:dyDescent="0.25">
      <c r="A4431" t="s">
        <v>7354</v>
      </c>
      <c r="B4431">
        <f>35893.6445235541*(1/100/100)</f>
        <v>3.5893644523554107</v>
      </c>
      <c r="C4431">
        <v>49314</v>
      </c>
      <c r="D4431" t="s">
        <v>5751</v>
      </c>
      <c r="E4431">
        <v>41522</v>
      </c>
      <c r="F4431" t="s">
        <v>1280</v>
      </c>
      <c r="G4431">
        <v>415</v>
      </c>
      <c r="H4431" t="s">
        <v>89</v>
      </c>
      <c r="I4431">
        <v>4</v>
      </c>
      <c r="J4431" t="s">
        <v>75</v>
      </c>
    </row>
    <row r="4432" spans="1:10" x14ac:dyDescent="0.25">
      <c r="A4432" t="s">
        <v>7354</v>
      </c>
      <c r="B4432">
        <f>63953.7632396402*(1/100/100)</f>
        <v>6.3953763239640198</v>
      </c>
      <c r="C4432">
        <v>49315</v>
      </c>
      <c r="D4432" t="s">
        <v>280</v>
      </c>
      <c r="E4432">
        <v>41505</v>
      </c>
      <c r="F4432" t="s">
        <v>1266</v>
      </c>
      <c r="G4432">
        <v>415</v>
      </c>
      <c r="H4432" t="s">
        <v>89</v>
      </c>
      <c r="I4432">
        <v>4</v>
      </c>
      <c r="J4432" t="s">
        <v>75</v>
      </c>
    </row>
    <row r="4433" spans="1:10" x14ac:dyDescent="0.25">
      <c r="A4433" t="s">
        <v>7354</v>
      </c>
      <c r="B4433">
        <f>70549.6773160313*(1/100/100)</f>
        <v>7.0549677316031305</v>
      </c>
      <c r="C4433">
        <v>49316</v>
      </c>
      <c r="D4433" t="s">
        <v>5723</v>
      </c>
      <c r="E4433">
        <v>41507</v>
      </c>
      <c r="F4433" t="s">
        <v>1268</v>
      </c>
      <c r="G4433">
        <v>415</v>
      </c>
      <c r="H4433" t="s">
        <v>89</v>
      </c>
      <c r="I4433">
        <v>4</v>
      </c>
      <c r="J4433" t="s">
        <v>75</v>
      </c>
    </row>
    <row r="4434" spans="1:10" x14ac:dyDescent="0.25">
      <c r="A4434" t="s">
        <v>7354</v>
      </c>
      <c r="B4434">
        <f>71671.3177815163*(1/100/100)</f>
        <v>7.1671317781516315</v>
      </c>
      <c r="C4434">
        <v>49317</v>
      </c>
      <c r="D4434" t="s">
        <v>5724</v>
      </c>
      <c r="E4434">
        <v>41507</v>
      </c>
      <c r="F4434" t="s">
        <v>1268</v>
      </c>
      <c r="G4434">
        <v>415</v>
      </c>
      <c r="H4434" t="s">
        <v>89</v>
      </c>
      <c r="I4434">
        <v>4</v>
      </c>
      <c r="J4434" t="s">
        <v>75</v>
      </c>
    </row>
    <row r="4435" spans="1:10" x14ac:dyDescent="0.25">
      <c r="A4435" t="s">
        <v>7354</v>
      </c>
      <c r="B4435">
        <f>38884.5660999186*(1/100/100)</f>
        <v>3.8884566099918603</v>
      </c>
      <c r="C4435">
        <v>49318</v>
      </c>
      <c r="D4435" t="s">
        <v>3640</v>
      </c>
      <c r="E4435">
        <v>41505</v>
      </c>
      <c r="F4435" t="s">
        <v>1266</v>
      </c>
      <c r="G4435">
        <v>415</v>
      </c>
      <c r="H4435" t="s">
        <v>89</v>
      </c>
      <c r="I4435">
        <v>4</v>
      </c>
      <c r="J4435" t="s">
        <v>75</v>
      </c>
    </row>
    <row r="4436" spans="1:10" x14ac:dyDescent="0.25">
      <c r="A4436" t="s">
        <v>7354</v>
      </c>
      <c r="B4436">
        <f>82789.9868513143*(1/100/100)</f>
        <v>8.2789986851314303</v>
      </c>
      <c r="C4436">
        <v>49319</v>
      </c>
      <c r="D4436" t="s">
        <v>5433</v>
      </c>
      <c r="E4436">
        <v>41522</v>
      </c>
      <c r="F4436" t="s">
        <v>1280</v>
      </c>
      <c r="G4436">
        <v>415</v>
      </c>
      <c r="H4436" t="s">
        <v>89</v>
      </c>
      <c r="I4436">
        <v>4</v>
      </c>
      <c r="J4436" t="s">
        <v>75</v>
      </c>
    </row>
    <row r="4437" spans="1:10" x14ac:dyDescent="0.25">
      <c r="A4437" t="s">
        <v>7354</v>
      </c>
      <c r="B4437">
        <f>42259.4091487281*(1/100/100)</f>
        <v>4.22594091487281</v>
      </c>
      <c r="C4437">
        <v>49320</v>
      </c>
      <c r="D4437" t="s">
        <v>5727</v>
      </c>
      <c r="E4437">
        <v>41510</v>
      </c>
      <c r="F4437" t="s">
        <v>1271</v>
      </c>
      <c r="G4437">
        <v>415</v>
      </c>
      <c r="H4437" t="s">
        <v>89</v>
      </c>
      <c r="I4437">
        <v>4</v>
      </c>
      <c r="J4437" t="s">
        <v>75</v>
      </c>
    </row>
    <row r="4438" spans="1:10" x14ac:dyDescent="0.25">
      <c r="A4438" t="s">
        <v>7354</v>
      </c>
      <c r="B4438">
        <f>101841.103463913*(1/100/100)</f>
        <v>10.1841103463913</v>
      </c>
      <c r="C4438">
        <v>49321</v>
      </c>
      <c r="D4438" t="s">
        <v>1273</v>
      </c>
      <c r="E4438">
        <v>41512</v>
      </c>
      <c r="F4438" t="s">
        <v>1273</v>
      </c>
      <c r="G4438">
        <v>415</v>
      </c>
      <c r="H4438" t="s">
        <v>89</v>
      </c>
      <c r="I4438">
        <v>4</v>
      </c>
      <c r="J4438" t="s">
        <v>75</v>
      </c>
    </row>
    <row r="4439" spans="1:10" x14ac:dyDescent="0.25">
      <c r="A4439" t="s">
        <v>7354</v>
      </c>
      <c r="B4439">
        <f>116398.836623703*(1/100/100)</f>
        <v>11.6398836623703</v>
      </c>
      <c r="C4439">
        <v>49322</v>
      </c>
      <c r="D4439" t="s">
        <v>5726</v>
      </c>
      <c r="E4439">
        <v>41509</v>
      </c>
      <c r="F4439" t="s">
        <v>1270</v>
      </c>
      <c r="G4439">
        <v>415</v>
      </c>
      <c r="H4439" t="s">
        <v>89</v>
      </c>
      <c r="I4439">
        <v>4</v>
      </c>
      <c r="J4439" t="s">
        <v>75</v>
      </c>
    </row>
    <row r="4440" spans="1:10" x14ac:dyDescent="0.25">
      <c r="A4440" t="s">
        <v>7354</v>
      </c>
      <c r="B4440">
        <f>198816.002873824*(1/100/100)</f>
        <v>19.881600287382401</v>
      </c>
      <c r="C4440">
        <v>49323</v>
      </c>
      <c r="D4440" t="s">
        <v>1280</v>
      </c>
      <c r="E4440">
        <v>41522</v>
      </c>
      <c r="F4440" t="s">
        <v>1280</v>
      </c>
      <c r="G4440">
        <v>415</v>
      </c>
      <c r="H4440" t="s">
        <v>89</v>
      </c>
      <c r="I4440">
        <v>4</v>
      </c>
      <c r="J4440" t="s">
        <v>75</v>
      </c>
    </row>
    <row r="4441" spans="1:10" x14ac:dyDescent="0.25">
      <c r="A4441" t="s">
        <v>7354</v>
      </c>
      <c r="B4441">
        <f>95005.2383440199*(1/100/100)</f>
        <v>9.5005238344019904</v>
      </c>
      <c r="C4441">
        <v>49401</v>
      </c>
      <c r="D4441" t="s">
        <v>1112</v>
      </c>
      <c r="E4441">
        <v>40901</v>
      </c>
      <c r="F4441" t="s">
        <v>1112</v>
      </c>
      <c r="G4441">
        <v>409</v>
      </c>
      <c r="H4441" t="s">
        <v>83</v>
      </c>
      <c r="I4441">
        <v>4</v>
      </c>
      <c r="J4441" t="s">
        <v>75</v>
      </c>
    </row>
    <row r="4442" spans="1:10" x14ac:dyDescent="0.25">
      <c r="A4442" t="s">
        <v>7354</v>
      </c>
      <c r="B4442">
        <f>49587.3025714005*(1/100/100)</f>
        <v>4.9587302571400498</v>
      </c>
      <c r="C4442">
        <v>49402</v>
      </c>
      <c r="D4442" t="s">
        <v>5440</v>
      </c>
      <c r="E4442">
        <v>40918</v>
      </c>
      <c r="F4442" t="s">
        <v>1128</v>
      </c>
      <c r="G4442">
        <v>409</v>
      </c>
      <c r="H4442" t="s">
        <v>83</v>
      </c>
      <c r="I4442">
        <v>4</v>
      </c>
      <c r="J4442" t="s">
        <v>75</v>
      </c>
    </row>
    <row r="4443" spans="1:10" x14ac:dyDescent="0.25">
      <c r="A4443" t="s">
        <v>7354</v>
      </c>
      <c r="B4443">
        <f>144935.41178163*(1/100/100)</f>
        <v>14.493541178163001</v>
      </c>
      <c r="C4443">
        <v>49403</v>
      </c>
      <c r="D4443" t="s">
        <v>5441</v>
      </c>
      <c r="E4443">
        <v>40918</v>
      </c>
      <c r="F4443" t="s">
        <v>1128</v>
      </c>
      <c r="G4443">
        <v>409</v>
      </c>
      <c r="H4443" t="s">
        <v>83</v>
      </c>
      <c r="I4443">
        <v>4</v>
      </c>
      <c r="J4443" t="s">
        <v>75</v>
      </c>
    </row>
    <row r="4444" spans="1:10" x14ac:dyDescent="0.25">
      <c r="A4444" t="s">
        <v>7354</v>
      </c>
      <c r="B4444">
        <f>193197.502555915*(1/100/100)</f>
        <v>19.319750255591501</v>
      </c>
      <c r="C4444">
        <v>49404</v>
      </c>
      <c r="D4444" t="s">
        <v>1114</v>
      </c>
      <c r="E4444">
        <v>40903</v>
      </c>
      <c r="F4444" t="s">
        <v>1114</v>
      </c>
      <c r="G4444">
        <v>409</v>
      </c>
      <c r="H4444" t="s">
        <v>83</v>
      </c>
      <c r="I4444">
        <v>4</v>
      </c>
      <c r="J4444" t="s">
        <v>75</v>
      </c>
    </row>
    <row r="4445" spans="1:10" x14ac:dyDescent="0.25">
      <c r="A4445" t="s">
        <v>7354</v>
      </c>
      <c r="B4445">
        <f>82201.153789132*(1/100/100)</f>
        <v>8.2201153789132011</v>
      </c>
      <c r="C4445">
        <v>49405</v>
      </c>
      <c r="D4445" t="s">
        <v>5433</v>
      </c>
      <c r="E4445">
        <v>40915</v>
      </c>
      <c r="F4445" t="s">
        <v>1126</v>
      </c>
      <c r="G4445">
        <v>409</v>
      </c>
      <c r="H4445" t="s">
        <v>83</v>
      </c>
      <c r="I4445">
        <v>4</v>
      </c>
      <c r="J4445" t="s">
        <v>75</v>
      </c>
    </row>
    <row r="4446" spans="1:10" x14ac:dyDescent="0.25">
      <c r="A4446" t="s">
        <v>7354</v>
      </c>
      <c r="B4446">
        <f>56546.2152966228*(1/100/100)</f>
        <v>5.6546215296622808</v>
      </c>
      <c r="C4446">
        <v>49406</v>
      </c>
      <c r="D4446" t="s">
        <v>5434</v>
      </c>
      <c r="E4446">
        <v>40915</v>
      </c>
      <c r="F4446" t="s">
        <v>1126</v>
      </c>
      <c r="G4446">
        <v>409</v>
      </c>
      <c r="H4446" t="s">
        <v>83</v>
      </c>
      <c r="I4446">
        <v>4</v>
      </c>
      <c r="J4446" t="s">
        <v>75</v>
      </c>
    </row>
    <row r="4447" spans="1:10" x14ac:dyDescent="0.25">
      <c r="A4447" t="s">
        <v>7354</v>
      </c>
      <c r="B4447">
        <f>106652.557482193*(1/100/100)</f>
        <v>10.665255748219302</v>
      </c>
      <c r="C4447">
        <v>49407</v>
      </c>
      <c r="D4447" t="s">
        <v>5432</v>
      </c>
      <c r="E4447">
        <v>40914</v>
      </c>
      <c r="F4447" t="s">
        <v>1125</v>
      </c>
      <c r="G4447">
        <v>409</v>
      </c>
      <c r="H4447" t="s">
        <v>83</v>
      </c>
      <c r="I4447">
        <v>4</v>
      </c>
      <c r="J4447" t="s">
        <v>75</v>
      </c>
    </row>
    <row r="4448" spans="1:10" x14ac:dyDescent="0.25">
      <c r="A4448" t="s">
        <v>7354</v>
      </c>
      <c r="B4448">
        <f>95686.6158465651*(1/100/100)</f>
        <v>9.5686615846565104</v>
      </c>
      <c r="C4448">
        <v>49408</v>
      </c>
      <c r="D4448" t="s">
        <v>5435</v>
      </c>
      <c r="E4448">
        <v>40915</v>
      </c>
      <c r="F4448" t="s">
        <v>1126</v>
      </c>
      <c r="G4448">
        <v>409</v>
      </c>
      <c r="H4448" t="s">
        <v>83</v>
      </c>
      <c r="I4448">
        <v>4</v>
      </c>
      <c r="J4448" t="s">
        <v>75</v>
      </c>
    </row>
    <row r="4449" spans="1:10" x14ac:dyDescent="0.25">
      <c r="A4449" t="s">
        <v>7354</v>
      </c>
      <c r="B4449">
        <f>54363.0451265981*(1/100/100)</f>
        <v>5.4363045126598104</v>
      </c>
      <c r="C4449">
        <v>49409</v>
      </c>
      <c r="D4449" t="s">
        <v>5436</v>
      </c>
      <c r="E4449">
        <v>40916</v>
      </c>
      <c r="F4449" t="s">
        <v>5436</v>
      </c>
      <c r="G4449">
        <v>409</v>
      </c>
      <c r="H4449" t="s">
        <v>83</v>
      </c>
      <c r="I4449">
        <v>4</v>
      </c>
      <c r="J4449" t="s">
        <v>75</v>
      </c>
    </row>
    <row r="4450" spans="1:10" x14ac:dyDescent="0.25">
      <c r="A4450" t="s">
        <v>7354</v>
      </c>
      <c r="B4450">
        <f>147929.018389373*(1/100/100)</f>
        <v>14.792901838937301</v>
      </c>
      <c r="C4450">
        <v>49410</v>
      </c>
      <c r="D4450" t="s">
        <v>1128</v>
      </c>
      <c r="E4450">
        <v>40918</v>
      </c>
      <c r="F4450" t="s">
        <v>1128</v>
      </c>
      <c r="G4450">
        <v>409</v>
      </c>
      <c r="H4450" t="s">
        <v>83</v>
      </c>
      <c r="I4450">
        <v>4</v>
      </c>
      <c r="J4450" t="s">
        <v>75</v>
      </c>
    </row>
    <row r="4451" spans="1:10" x14ac:dyDescent="0.25">
      <c r="A4451" t="s">
        <v>7354</v>
      </c>
      <c r="B4451">
        <f>126820.187585301*(1/100/100)</f>
        <v>12.6820187585301</v>
      </c>
      <c r="C4451">
        <v>49411</v>
      </c>
      <c r="D4451" t="s">
        <v>1131</v>
      </c>
      <c r="E4451">
        <v>40921</v>
      </c>
      <c r="F4451" t="s">
        <v>1131</v>
      </c>
      <c r="G4451">
        <v>409</v>
      </c>
      <c r="H4451" t="s">
        <v>83</v>
      </c>
      <c r="I4451">
        <v>4</v>
      </c>
      <c r="J4451" t="s">
        <v>75</v>
      </c>
    </row>
    <row r="4452" spans="1:10" x14ac:dyDescent="0.25">
      <c r="A4452" t="s">
        <v>7354</v>
      </c>
      <c r="B4452">
        <f>193501.087242013*(1/100/100)</f>
        <v>19.350108724201299</v>
      </c>
      <c r="C4452">
        <v>49412</v>
      </c>
      <c r="D4452" t="s">
        <v>1133</v>
      </c>
      <c r="E4452">
        <v>40923</v>
      </c>
      <c r="F4452" t="s">
        <v>1133</v>
      </c>
      <c r="G4452">
        <v>409</v>
      </c>
      <c r="H4452" t="s">
        <v>83</v>
      </c>
      <c r="I4452">
        <v>4</v>
      </c>
      <c r="J4452" t="s">
        <v>75</v>
      </c>
    </row>
    <row r="4453" spans="1:10" x14ac:dyDescent="0.25">
      <c r="A4453" t="s">
        <v>7354</v>
      </c>
      <c r="B4453">
        <f>90326.4995765163*(1/100/100)</f>
        <v>9.0326499576516301</v>
      </c>
      <c r="C4453">
        <v>50001</v>
      </c>
      <c r="D4453" t="s">
        <v>5790</v>
      </c>
      <c r="E4453">
        <v>41702</v>
      </c>
      <c r="F4453" t="s">
        <v>1308</v>
      </c>
      <c r="G4453">
        <v>417</v>
      </c>
      <c r="H4453" t="s">
        <v>91</v>
      </c>
      <c r="I4453">
        <v>4</v>
      </c>
      <c r="J4453" t="s">
        <v>75</v>
      </c>
    </row>
    <row r="4454" spans="1:10" x14ac:dyDescent="0.25">
      <c r="A4454" t="s">
        <v>7354</v>
      </c>
      <c r="B4454">
        <f>110135.235711857*(1/100/100)</f>
        <v>11.013523571185701</v>
      </c>
      <c r="C4454">
        <v>50002</v>
      </c>
      <c r="D4454" t="s">
        <v>5791</v>
      </c>
      <c r="E4454">
        <v>41702</v>
      </c>
      <c r="F4454" t="s">
        <v>1308</v>
      </c>
      <c r="G4454">
        <v>417</v>
      </c>
      <c r="H4454" t="s">
        <v>91</v>
      </c>
      <c r="I4454">
        <v>4</v>
      </c>
      <c r="J4454" t="s">
        <v>75</v>
      </c>
    </row>
    <row r="4455" spans="1:10" x14ac:dyDescent="0.25">
      <c r="A4455" t="s">
        <v>7354</v>
      </c>
      <c r="B4455">
        <f>69292.0690057691*(1/100/100)</f>
        <v>6.9292069005769097</v>
      </c>
      <c r="C4455">
        <v>50003</v>
      </c>
      <c r="D4455" t="s">
        <v>518</v>
      </c>
      <c r="E4455">
        <v>41706</v>
      </c>
      <c r="F4455" t="s">
        <v>1312</v>
      </c>
      <c r="G4455">
        <v>417</v>
      </c>
      <c r="H4455" t="s">
        <v>91</v>
      </c>
      <c r="I4455">
        <v>4</v>
      </c>
      <c r="J4455" t="s">
        <v>75</v>
      </c>
    </row>
    <row r="4456" spans="1:10" x14ac:dyDescent="0.25">
      <c r="A4456" t="s">
        <v>7354</v>
      </c>
      <c r="B4456">
        <f>104209.44313776*(1/100/100)</f>
        <v>10.420944313775999</v>
      </c>
      <c r="C4456">
        <v>50004</v>
      </c>
      <c r="D4456" t="s">
        <v>5349</v>
      </c>
      <c r="E4456">
        <v>41706</v>
      </c>
      <c r="F4456" t="s">
        <v>1312</v>
      </c>
      <c r="G4456">
        <v>417</v>
      </c>
      <c r="H4456" t="s">
        <v>91</v>
      </c>
      <c r="I4456">
        <v>4</v>
      </c>
      <c r="J4456" t="s">
        <v>75</v>
      </c>
    </row>
    <row r="4457" spans="1:10" x14ac:dyDescent="0.25">
      <c r="A4457" t="s">
        <v>7354</v>
      </c>
      <c r="B4457">
        <f>67952.2039889322*(1/100/100)</f>
        <v>6.7952203988932212</v>
      </c>
      <c r="C4457">
        <v>50005</v>
      </c>
      <c r="D4457" t="s">
        <v>1314</v>
      </c>
      <c r="E4457">
        <v>41708</v>
      </c>
      <c r="F4457" t="s">
        <v>1314</v>
      </c>
      <c r="G4457">
        <v>417</v>
      </c>
      <c r="H4457" t="s">
        <v>91</v>
      </c>
      <c r="I4457">
        <v>4</v>
      </c>
      <c r="J4457" t="s">
        <v>75</v>
      </c>
    </row>
    <row r="4458" spans="1:10" x14ac:dyDescent="0.25">
      <c r="A4458" t="s">
        <v>7354</v>
      </c>
      <c r="B4458">
        <f>32208.8725158601*(1/100/100)</f>
        <v>3.2208872515860101</v>
      </c>
      <c r="C4458">
        <v>50006</v>
      </c>
      <c r="D4458" t="s">
        <v>5169</v>
      </c>
      <c r="E4458">
        <v>41726</v>
      </c>
      <c r="F4458" t="s">
        <v>1332</v>
      </c>
      <c r="G4458">
        <v>417</v>
      </c>
      <c r="H4458" t="s">
        <v>91</v>
      </c>
      <c r="I4458">
        <v>4</v>
      </c>
      <c r="J4458" t="s">
        <v>75</v>
      </c>
    </row>
    <row r="4459" spans="1:10" x14ac:dyDescent="0.25">
      <c r="A4459" t="s">
        <v>7354</v>
      </c>
      <c r="B4459">
        <f>232056.482318642*(1/100/100)</f>
        <v>23.205648231864199</v>
      </c>
      <c r="C4459">
        <v>50007</v>
      </c>
      <c r="D4459" t="s">
        <v>5796</v>
      </c>
      <c r="E4459">
        <v>41709</v>
      </c>
      <c r="F4459" t="s">
        <v>1315</v>
      </c>
      <c r="G4459">
        <v>417</v>
      </c>
      <c r="H4459" t="s">
        <v>91</v>
      </c>
      <c r="I4459">
        <v>4</v>
      </c>
      <c r="J4459" t="s">
        <v>75</v>
      </c>
    </row>
    <row r="4460" spans="1:10" x14ac:dyDescent="0.25">
      <c r="A4460" t="s">
        <v>7354</v>
      </c>
      <c r="B4460">
        <f>285554.510524374*(1/100/100)</f>
        <v>28.555451052437405</v>
      </c>
      <c r="C4460">
        <v>50008</v>
      </c>
      <c r="D4460" t="s">
        <v>1316</v>
      </c>
      <c r="E4460">
        <v>41710</v>
      </c>
      <c r="F4460" t="s">
        <v>1316</v>
      </c>
      <c r="G4460">
        <v>417</v>
      </c>
      <c r="H4460" t="s">
        <v>91</v>
      </c>
      <c r="I4460">
        <v>4</v>
      </c>
      <c r="J4460" t="s">
        <v>75</v>
      </c>
    </row>
    <row r="4461" spans="1:10" x14ac:dyDescent="0.25">
      <c r="A4461" t="s">
        <v>7354</v>
      </c>
      <c r="B4461">
        <f>139471.002905579*(1/100/100)</f>
        <v>13.9471002905579</v>
      </c>
      <c r="C4461">
        <v>50009</v>
      </c>
      <c r="D4461" t="s">
        <v>5797</v>
      </c>
      <c r="E4461">
        <v>41709</v>
      </c>
      <c r="F4461" t="s">
        <v>1315</v>
      </c>
      <c r="G4461">
        <v>417</v>
      </c>
      <c r="H4461" t="s">
        <v>91</v>
      </c>
      <c r="I4461">
        <v>4</v>
      </c>
      <c r="J4461" t="s">
        <v>75</v>
      </c>
    </row>
    <row r="4462" spans="1:10" x14ac:dyDescent="0.25">
      <c r="A4462" t="s">
        <v>7354</v>
      </c>
      <c r="B4462">
        <f>63081.1860042059*(1/100/100)</f>
        <v>6.30811860042059</v>
      </c>
      <c r="C4462">
        <v>50010</v>
      </c>
      <c r="D4462" t="s">
        <v>5838</v>
      </c>
      <c r="E4462">
        <v>41748</v>
      </c>
      <c r="F4462" t="s">
        <v>1351</v>
      </c>
      <c r="G4462">
        <v>417</v>
      </c>
      <c r="H4462" t="s">
        <v>91</v>
      </c>
      <c r="I4462">
        <v>4</v>
      </c>
      <c r="J4462" t="s">
        <v>75</v>
      </c>
    </row>
    <row r="4463" spans="1:10" x14ac:dyDescent="0.25">
      <c r="A4463" t="s">
        <v>7354</v>
      </c>
      <c r="B4463">
        <f>430157.59879578*(1/100/100)</f>
        <v>43.015759879577999</v>
      </c>
      <c r="C4463">
        <v>50011</v>
      </c>
      <c r="D4463" t="s">
        <v>5824</v>
      </c>
      <c r="E4463">
        <v>41734</v>
      </c>
      <c r="F4463" t="s">
        <v>5824</v>
      </c>
      <c r="G4463">
        <v>417</v>
      </c>
      <c r="H4463" t="s">
        <v>91</v>
      </c>
      <c r="I4463">
        <v>4</v>
      </c>
      <c r="J4463" t="s">
        <v>75</v>
      </c>
    </row>
    <row r="4464" spans="1:10" x14ac:dyDescent="0.25">
      <c r="A4464" t="s">
        <v>7354</v>
      </c>
      <c r="B4464">
        <f>46428.4786522364*(1/100/100)</f>
        <v>4.64284786522364</v>
      </c>
      <c r="C4464">
        <v>50012</v>
      </c>
      <c r="D4464" t="s">
        <v>5818</v>
      </c>
      <c r="E4464">
        <v>41726</v>
      </c>
      <c r="F4464" t="s">
        <v>1332</v>
      </c>
      <c r="G4464">
        <v>417</v>
      </c>
      <c r="H4464" t="s">
        <v>91</v>
      </c>
      <c r="I4464">
        <v>4</v>
      </c>
      <c r="J4464" t="s">
        <v>75</v>
      </c>
    </row>
    <row r="4465" spans="1:10" x14ac:dyDescent="0.25">
      <c r="A4465" t="s">
        <v>7354</v>
      </c>
      <c r="B4465">
        <f>42865.5895854249*(1/100/100)</f>
        <v>4.2865589585424901</v>
      </c>
      <c r="C4465">
        <v>50013</v>
      </c>
      <c r="D4465" t="s">
        <v>5581</v>
      </c>
      <c r="E4465">
        <v>41726</v>
      </c>
      <c r="F4465" t="s">
        <v>1332</v>
      </c>
      <c r="G4465">
        <v>417</v>
      </c>
      <c r="H4465" t="s">
        <v>91</v>
      </c>
      <c r="I4465">
        <v>4</v>
      </c>
      <c r="J4465" t="s">
        <v>75</v>
      </c>
    </row>
    <row r="4466" spans="1:10" x14ac:dyDescent="0.25">
      <c r="A4466" t="s">
        <v>7354</v>
      </c>
      <c r="B4466">
        <f>44110.2852378989*(1/100/100)</f>
        <v>4.4110285237898896</v>
      </c>
      <c r="C4466">
        <v>50014</v>
      </c>
      <c r="D4466" t="s">
        <v>5798</v>
      </c>
      <c r="E4466">
        <v>41709</v>
      </c>
      <c r="F4466" t="s">
        <v>1315</v>
      </c>
      <c r="G4466">
        <v>417</v>
      </c>
      <c r="H4466" t="s">
        <v>91</v>
      </c>
      <c r="I4466">
        <v>4</v>
      </c>
      <c r="J4466" t="s">
        <v>75</v>
      </c>
    </row>
    <row r="4467" spans="1:10" x14ac:dyDescent="0.25">
      <c r="A4467" t="s">
        <v>7354</v>
      </c>
      <c r="B4467">
        <f>66060.8606019226*(1/100/100)</f>
        <v>6.6060860601922604</v>
      </c>
      <c r="C4467">
        <v>50015</v>
      </c>
      <c r="D4467" t="s">
        <v>5799</v>
      </c>
      <c r="E4467">
        <v>41709</v>
      </c>
      <c r="F4467" t="s">
        <v>1315</v>
      </c>
      <c r="G4467">
        <v>417</v>
      </c>
      <c r="H4467" t="s">
        <v>91</v>
      </c>
      <c r="I4467">
        <v>4</v>
      </c>
      <c r="J4467" t="s">
        <v>75</v>
      </c>
    </row>
    <row r="4468" spans="1:10" x14ac:dyDescent="0.25">
      <c r="A4468" t="s">
        <v>7354</v>
      </c>
      <c r="B4468">
        <f>38949.2504836467*(1/100/100)</f>
        <v>3.8949250483646698</v>
      </c>
      <c r="C4468">
        <v>50016</v>
      </c>
      <c r="D4468" t="s">
        <v>5801</v>
      </c>
      <c r="E4468">
        <v>41710</v>
      </c>
      <c r="F4468" t="s">
        <v>1316</v>
      </c>
      <c r="G4468">
        <v>417</v>
      </c>
      <c r="H4468" t="s">
        <v>91</v>
      </c>
      <c r="I4468">
        <v>4</v>
      </c>
      <c r="J4468" t="s">
        <v>75</v>
      </c>
    </row>
    <row r="4469" spans="1:10" x14ac:dyDescent="0.25">
      <c r="A4469" t="s">
        <v>7354</v>
      </c>
      <c r="B4469">
        <f>105808.943158241*(1/100/100)</f>
        <v>10.5808943158241</v>
      </c>
      <c r="C4469">
        <v>50017</v>
      </c>
      <c r="D4469" t="s">
        <v>5800</v>
      </c>
      <c r="E4469">
        <v>41709</v>
      </c>
      <c r="F4469" t="s">
        <v>1315</v>
      </c>
      <c r="G4469">
        <v>417</v>
      </c>
      <c r="H4469" t="s">
        <v>91</v>
      </c>
      <c r="I4469">
        <v>4</v>
      </c>
      <c r="J4469" t="s">
        <v>75</v>
      </c>
    </row>
    <row r="4470" spans="1:10" x14ac:dyDescent="0.25">
      <c r="A4470" t="s">
        <v>7354</v>
      </c>
      <c r="B4470">
        <f>208340.391383087*(1/100/100)</f>
        <v>20.8340391383087</v>
      </c>
      <c r="C4470">
        <v>50018</v>
      </c>
      <c r="D4470" t="s">
        <v>1074</v>
      </c>
      <c r="E4470">
        <v>41726</v>
      </c>
      <c r="F4470" t="s">
        <v>1332</v>
      </c>
      <c r="G4470">
        <v>417</v>
      </c>
      <c r="H4470" t="s">
        <v>91</v>
      </c>
      <c r="I4470">
        <v>4</v>
      </c>
      <c r="J4470" t="s">
        <v>75</v>
      </c>
    </row>
    <row r="4471" spans="1:10" x14ac:dyDescent="0.25">
      <c r="A4471" t="s">
        <v>7354</v>
      </c>
      <c r="B4471">
        <f>23519.1542527676*(1/100/100)</f>
        <v>2.35191542527676</v>
      </c>
      <c r="C4471">
        <v>50019</v>
      </c>
      <c r="D4471" t="s">
        <v>5808</v>
      </c>
      <c r="E4471">
        <v>41718</v>
      </c>
      <c r="F4471" t="s">
        <v>1324</v>
      </c>
      <c r="G4471">
        <v>417</v>
      </c>
      <c r="H4471" t="s">
        <v>91</v>
      </c>
      <c r="I4471">
        <v>4</v>
      </c>
      <c r="J4471" t="s">
        <v>75</v>
      </c>
    </row>
    <row r="4472" spans="1:10" x14ac:dyDescent="0.25">
      <c r="A4472" t="s">
        <v>7354</v>
      </c>
      <c r="B4472">
        <f>155654.190859314*(1/100/100)</f>
        <v>15.565419085931401</v>
      </c>
      <c r="C4472">
        <v>50020</v>
      </c>
      <c r="D4472" t="s">
        <v>5809</v>
      </c>
      <c r="E4472">
        <v>41718</v>
      </c>
      <c r="F4472" t="s">
        <v>1324</v>
      </c>
      <c r="G4472">
        <v>417</v>
      </c>
      <c r="H4472" t="s">
        <v>91</v>
      </c>
      <c r="I4472">
        <v>4</v>
      </c>
      <c r="J4472" t="s">
        <v>75</v>
      </c>
    </row>
    <row r="4473" spans="1:10" x14ac:dyDescent="0.25">
      <c r="A4473" t="s">
        <v>7354</v>
      </c>
      <c r="B4473">
        <f>36306.3139782841*(1/100/100)</f>
        <v>3.6306313978284104</v>
      </c>
      <c r="C4473">
        <v>50021</v>
      </c>
      <c r="D4473" t="s">
        <v>5816</v>
      </c>
      <c r="E4473">
        <v>41723</v>
      </c>
      <c r="F4473" t="s">
        <v>1329</v>
      </c>
      <c r="G4473">
        <v>417</v>
      </c>
      <c r="H4473" t="s">
        <v>91</v>
      </c>
      <c r="I4473">
        <v>4</v>
      </c>
      <c r="J4473" t="s">
        <v>75</v>
      </c>
    </row>
    <row r="4474" spans="1:10" x14ac:dyDescent="0.25">
      <c r="A4474" t="s">
        <v>7354</v>
      </c>
      <c r="B4474">
        <f>11085.9982451445*(1/100/100)</f>
        <v>1.1085998245144499</v>
      </c>
      <c r="C4474">
        <v>50022</v>
      </c>
      <c r="D4474" t="s">
        <v>5819</v>
      </c>
      <c r="E4474">
        <v>41726</v>
      </c>
      <c r="F4474" t="s">
        <v>1332</v>
      </c>
      <c r="G4474">
        <v>417</v>
      </c>
      <c r="H4474" t="s">
        <v>91</v>
      </c>
      <c r="I4474">
        <v>4</v>
      </c>
      <c r="J4474" t="s">
        <v>75</v>
      </c>
    </row>
    <row r="4475" spans="1:10" x14ac:dyDescent="0.25">
      <c r="A4475" t="s">
        <v>7354</v>
      </c>
      <c r="B4475">
        <f>26867.2054104912*(1/100/100)</f>
        <v>2.6867205410491199</v>
      </c>
      <c r="C4475">
        <v>50023</v>
      </c>
      <c r="D4475" t="s">
        <v>5830</v>
      </c>
      <c r="E4475">
        <v>41741</v>
      </c>
      <c r="F4475" t="s">
        <v>1345</v>
      </c>
      <c r="G4475">
        <v>417</v>
      </c>
      <c r="H4475" t="s">
        <v>91</v>
      </c>
      <c r="I4475">
        <v>4</v>
      </c>
      <c r="J4475" t="s">
        <v>75</v>
      </c>
    </row>
    <row r="4476" spans="1:10" x14ac:dyDescent="0.25">
      <c r="A4476" t="s">
        <v>7354</v>
      </c>
      <c r="B4476">
        <f>127370.292938455*(1/100/100)</f>
        <v>12.737029293845501</v>
      </c>
      <c r="C4476">
        <v>50024</v>
      </c>
      <c r="D4476" t="s">
        <v>1329</v>
      </c>
      <c r="E4476">
        <v>41723</v>
      </c>
      <c r="F4476" t="s">
        <v>1329</v>
      </c>
      <c r="G4476">
        <v>417</v>
      </c>
      <c r="H4476" t="s">
        <v>91</v>
      </c>
      <c r="I4476">
        <v>4</v>
      </c>
      <c r="J4476" t="s">
        <v>75</v>
      </c>
    </row>
    <row r="4477" spans="1:10" x14ac:dyDescent="0.25">
      <c r="A4477" t="s">
        <v>7354</v>
      </c>
      <c r="B4477">
        <f>56972.9675849545*(1/100/100)</f>
        <v>5.6972967584954501</v>
      </c>
      <c r="C4477">
        <v>50025</v>
      </c>
      <c r="D4477" t="s">
        <v>1335</v>
      </c>
      <c r="E4477">
        <v>41729</v>
      </c>
      <c r="F4477" t="s">
        <v>1335</v>
      </c>
      <c r="G4477">
        <v>417</v>
      </c>
      <c r="H4477" t="s">
        <v>91</v>
      </c>
      <c r="I4477">
        <v>4</v>
      </c>
      <c r="J4477" t="s">
        <v>75</v>
      </c>
    </row>
    <row r="4478" spans="1:10" x14ac:dyDescent="0.25">
      <c r="A4478" t="s">
        <v>7354</v>
      </c>
      <c r="B4478">
        <f>132936.63772458*(1/100/100)</f>
        <v>13.293663772458002</v>
      </c>
      <c r="C4478">
        <v>50026</v>
      </c>
      <c r="D4478" t="s">
        <v>5802</v>
      </c>
      <c r="E4478">
        <v>41710</v>
      </c>
      <c r="F4478" t="s">
        <v>1316</v>
      </c>
      <c r="G4478">
        <v>417</v>
      </c>
      <c r="H4478" t="s">
        <v>91</v>
      </c>
      <c r="I4478">
        <v>4</v>
      </c>
      <c r="J4478" t="s">
        <v>75</v>
      </c>
    </row>
    <row r="4479" spans="1:10" x14ac:dyDescent="0.25">
      <c r="A4479" t="s">
        <v>7354</v>
      </c>
      <c r="B4479">
        <f>80399.092251126*(1/100/100)</f>
        <v>8.0399092251126003</v>
      </c>
      <c r="C4479">
        <v>50027</v>
      </c>
      <c r="D4479" t="s">
        <v>5831</v>
      </c>
      <c r="E4479">
        <v>41741</v>
      </c>
      <c r="F4479" t="s">
        <v>1345</v>
      </c>
      <c r="G4479">
        <v>417</v>
      </c>
      <c r="H4479" t="s">
        <v>91</v>
      </c>
      <c r="I4479">
        <v>4</v>
      </c>
      <c r="J4479" t="s">
        <v>75</v>
      </c>
    </row>
    <row r="4480" spans="1:10" x14ac:dyDescent="0.25">
      <c r="A4480" t="s">
        <v>7354</v>
      </c>
      <c r="B4480">
        <f>313517.236358165*(1/100/100)</f>
        <v>31.351723635816501</v>
      </c>
      <c r="C4480">
        <v>50028</v>
      </c>
      <c r="D4480" t="s">
        <v>1350</v>
      </c>
      <c r="E4480">
        <v>41747</v>
      </c>
      <c r="F4480" t="s">
        <v>1350</v>
      </c>
      <c r="G4480">
        <v>417</v>
      </c>
      <c r="H4480" t="s">
        <v>91</v>
      </c>
      <c r="I4480">
        <v>4</v>
      </c>
      <c r="J4480" t="s">
        <v>75</v>
      </c>
    </row>
    <row r="4481" spans="1:10" x14ac:dyDescent="0.25">
      <c r="A4481" t="s">
        <v>7354</v>
      </c>
      <c r="B4481">
        <f>213392.434725484*(1/100/100)</f>
        <v>21.3392434725484</v>
      </c>
      <c r="C4481">
        <v>50029</v>
      </c>
      <c r="D4481" t="s">
        <v>5836</v>
      </c>
      <c r="E4481">
        <v>41747</v>
      </c>
      <c r="F4481" t="s">
        <v>1350</v>
      </c>
      <c r="G4481">
        <v>417</v>
      </c>
      <c r="H4481" t="s">
        <v>91</v>
      </c>
      <c r="I4481">
        <v>4</v>
      </c>
      <c r="J4481" t="s">
        <v>75</v>
      </c>
    </row>
    <row r="4482" spans="1:10" x14ac:dyDescent="0.25">
      <c r="A4482" t="s">
        <v>7354</v>
      </c>
      <c r="B4482">
        <f>63013.2018540801*(1/100/100)</f>
        <v>6.3013201854080103</v>
      </c>
      <c r="C4482">
        <v>50030</v>
      </c>
      <c r="D4482" t="s">
        <v>5795</v>
      </c>
      <c r="E4482">
        <v>41708</v>
      </c>
      <c r="F4482" t="s">
        <v>1314</v>
      </c>
      <c r="G4482">
        <v>417</v>
      </c>
      <c r="H4482" t="s">
        <v>91</v>
      </c>
      <c r="I4482">
        <v>4</v>
      </c>
      <c r="J4482" t="s">
        <v>75</v>
      </c>
    </row>
    <row r="4483" spans="1:10" x14ac:dyDescent="0.25">
      <c r="A4483" t="s">
        <v>7354</v>
      </c>
      <c r="B4483">
        <f>94937.0108239508*(1/100/100)</f>
        <v>9.4937010823950807</v>
      </c>
      <c r="C4483">
        <v>50031</v>
      </c>
      <c r="D4483" t="s">
        <v>5837</v>
      </c>
      <c r="E4483">
        <v>41747</v>
      </c>
      <c r="F4483" t="s">
        <v>1350</v>
      </c>
      <c r="G4483">
        <v>417</v>
      </c>
      <c r="H4483" t="s">
        <v>91</v>
      </c>
      <c r="I4483">
        <v>4</v>
      </c>
      <c r="J4483" t="s">
        <v>75</v>
      </c>
    </row>
    <row r="4484" spans="1:10" x14ac:dyDescent="0.25">
      <c r="A4484" t="s">
        <v>7354</v>
      </c>
      <c r="B4484">
        <f>87062.4778706277*(1/100/100)</f>
        <v>8.7062477870627699</v>
      </c>
      <c r="C4484">
        <v>50032</v>
      </c>
      <c r="D4484" t="s">
        <v>5839</v>
      </c>
      <c r="E4484">
        <v>41748</v>
      </c>
      <c r="F4484" t="s">
        <v>1351</v>
      </c>
      <c r="G4484">
        <v>417</v>
      </c>
      <c r="H4484" t="s">
        <v>91</v>
      </c>
      <c r="I4484">
        <v>4</v>
      </c>
      <c r="J4484" t="s">
        <v>75</v>
      </c>
    </row>
    <row r="4485" spans="1:10" x14ac:dyDescent="0.25">
      <c r="A4485" t="s">
        <v>7354</v>
      </c>
      <c r="B4485">
        <f>89771.4033704831*(1/100/100)</f>
        <v>8.9771403370483096</v>
      </c>
      <c r="C4485">
        <v>50033</v>
      </c>
      <c r="D4485" t="s">
        <v>5832</v>
      </c>
      <c r="E4485">
        <v>41741</v>
      </c>
      <c r="F4485" t="s">
        <v>1345</v>
      </c>
      <c r="G4485">
        <v>417</v>
      </c>
      <c r="H4485" t="s">
        <v>91</v>
      </c>
      <c r="I4485">
        <v>4</v>
      </c>
      <c r="J4485" t="s">
        <v>75</v>
      </c>
    </row>
    <row r="4486" spans="1:10" x14ac:dyDescent="0.25">
      <c r="A4486" t="s">
        <v>7354</v>
      </c>
      <c r="B4486">
        <f>33792.6355382141*(1/100/100)</f>
        <v>3.37926355382141</v>
      </c>
      <c r="C4486">
        <v>50101</v>
      </c>
      <c r="D4486" t="s">
        <v>2056</v>
      </c>
      <c r="E4486">
        <v>41745</v>
      </c>
      <c r="F4486" t="s">
        <v>1349</v>
      </c>
      <c r="G4486">
        <v>417</v>
      </c>
      <c r="H4486" t="s">
        <v>91</v>
      </c>
      <c r="I4486">
        <v>4</v>
      </c>
      <c r="J4486" t="s">
        <v>75</v>
      </c>
    </row>
    <row r="4487" spans="1:10" x14ac:dyDescent="0.25">
      <c r="A4487" t="s">
        <v>7354</v>
      </c>
      <c r="B4487">
        <f>168566.210786861*(1/100/100)</f>
        <v>16.8566210786861</v>
      </c>
      <c r="C4487">
        <v>50102</v>
      </c>
      <c r="D4487" t="s">
        <v>3766</v>
      </c>
      <c r="E4487">
        <v>41742</v>
      </c>
      <c r="F4487" t="s">
        <v>1346</v>
      </c>
      <c r="G4487">
        <v>417</v>
      </c>
      <c r="H4487" t="s">
        <v>91</v>
      </c>
      <c r="I4487">
        <v>4</v>
      </c>
      <c r="J4487" t="s">
        <v>75</v>
      </c>
    </row>
    <row r="4488" spans="1:10" x14ac:dyDescent="0.25">
      <c r="A4488" t="s">
        <v>7354</v>
      </c>
      <c r="B4488">
        <f>144828.985116974*(1/100/100)</f>
        <v>14.482898511697401</v>
      </c>
      <c r="C4488">
        <v>50103</v>
      </c>
      <c r="D4488" t="s">
        <v>5805</v>
      </c>
      <c r="E4488">
        <v>41712</v>
      </c>
      <c r="F4488" t="s">
        <v>1318</v>
      </c>
      <c r="G4488">
        <v>417</v>
      </c>
      <c r="H4488" t="s">
        <v>91</v>
      </c>
      <c r="I4488">
        <v>4</v>
      </c>
      <c r="J4488" t="s">
        <v>75</v>
      </c>
    </row>
    <row r="4489" spans="1:10" x14ac:dyDescent="0.25">
      <c r="A4489" t="s">
        <v>7354</v>
      </c>
      <c r="B4489">
        <f>38538.8743550646*(1/100/100)</f>
        <v>3.8538874355064605</v>
      </c>
      <c r="C4489">
        <v>50104</v>
      </c>
      <c r="D4489" t="s">
        <v>5810</v>
      </c>
      <c r="E4489">
        <v>41719</v>
      </c>
      <c r="F4489" t="s">
        <v>1325</v>
      </c>
      <c r="G4489">
        <v>417</v>
      </c>
      <c r="H4489" t="s">
        <v>91</v>
      </c>
      <c r="I4489">
        <v>4</v>
      </c>
      <c r="J4489" t="s">
        <v>75</v>
      </c>
    </row>
    <row r="4490" spans="1:10" x14ac:dyDescent="0.25">
      <c r="A4490" t="s">
        <v>7354</v>
      </c>
      <c r="B4490">
        <f>273407.64236053*(1/100/100)</f>
        <v>27.340764236052998</v>
      </c>
      <c r="C4490">
        <v>50105</v>
      </c>
      <c r="D4490" t="s">
        <v>5825</v>
      </c>
      <c r="E4490">
        <v>41735</v>
      </c>
      <c r="F4490" t="s">
        <v>5825</v>
      </c>
      <c r="G4490">
        <v>417</v>
      </c>
      <c r="H4490" t="s">
        <v>91</v>
      </c>
      <c r="I4490">
        <v>4</v>
      </c>
      <c r="J4490" t="s">
        <v>75</v>
      </c>
    </row>
    <row r="4491" spans="1:10" x14ac:dyDescent="0.25">
      <c r="A4491" t="s">
        <v>7354</v>
      </c>
      <c r="B4491">
        <f>288002.61837948*(1/100/100)</f>
        <v>28.800261837948</v>
      </c>
      <c r="C4491">
        <v>50106</v>
      </c>
      <c r="D4491" t="s">
        <v>1321</v>
      </c>
      <c r="E4491">
        <v>41715</v>
      </c>
      <c r="F4491" t="s">
        <v>1321</v>
      </c>
      <c r="G4491">
        <v>417</v>
      </c>
      <c r="H4491" t="s">
        <v>91</v>
      </c>
      <c r="I4491">
        <v>4</v>
      </c>
      <c r="J4491" t="s">
        <v>75</v>
      </c>
    </row>
    <row r="4492" spans="1:10" x14ac:dyDescent="0.25">
      <c r="A4492" t="s">
        <v>7354</v>
      </c>
      <c r="B4492">
        <f>83841.0945868174*(1/100/100)</f>
        <v>8.3841094586817402</v>
      </c>
      <c r="C4492">
        <v>50107</v>
      </c>
      <c r="D4492" t="s">
        <v>5812</v>
      </c>
      <c r="E4492">
        <v>41721</v>
      </c>
      <c r="F4492" t="s">
        <v>1327</v>
      </c>
      <c r="G4492">
        <v>417</v>
      </c>
      <c r="H4492" t="s">
        <v>91</v>
      </c>
      <c r="I4492">
        <v>4</v>
      </c>
      <c r="J4492" t="s">
        <v>75</v>
      </c>
    </row>
    <row r="4493" spans="1:10" x14ac:dyDescent="0.25">
      <c r="A4493" t="s">
        <v>7354</v>
      </c>
      <c r="B4493">
        <f>160500.747493982*(1/100/100)</f>
        <v>16.050074749398199</v>
      </c>
      <c r="C4493">
        <v>50108</v>
      </c>
      <c r="D4493" t="s">
        <v>1327</v>
      </c>
      <c r="E4493">
        <v>41721</v>
      </c>
      <c r="F4493" t="s">
        <v>1327</v>
      </c>
      <c r="G4493">
        <v>417</v>
      </c>
      <c r="H4493" t="s">
        <v>91</v>
      </c>
      <c r="I4493">
        <v>4</v>
      </c>
      <c r="J4493" t="s">
        <v>75</v>
      </c>
    </row>
    <row r="4494" spans="1:10" x14ac:dyDescent="0.25">
      <c r="A4494" t="s">
        <v>7354</v>
      </c>
      <c r="B4494">
        <f>141710.524167603*(1/100/100)</f>
        <v>14.1710524167603</v>
      </c>
      <c r="C4494">
        <v>50109</v>
      </c>
      <c r="D4494" t="s">
        <v>5811</v>
      </c>
      <c r="E4494">
        <v>41719</v>
      </c>
      <c r="F4494" t="s">
        <v>1325</v>
      </c>
      <c r="G4494">
        <v>417</v>
      </c>
      <c r="H4494" t="s">
        <v>91</v>
      </c>
      <c r="I4494">
        <v>4</v>
      </c>
      <c r="J4494" t="s">
        <v>75</v>
      </c>
    </row>
    <row r="4495" spans="1:10" x14ac:dyDescent="0.25">
      <c r="A4495" t="s">
        <v>7354</v>
      </c>
      <c r="B4495">
        <f>214678.898208047*(1/100/100)</f>
        <v>21.4678898208047</v>
      </c>
      <c r="C4495">
        <v>50110</v>
      </c>
      <c r="D4495" t="s">
        <v>1346</v>
      </c>
      <c r="E4495">
        <v>41742</v>
      </c>
      <c r="F4495" t="s">
        <v>1346</v>
      </c>
      <c r="G4495">
        <v>417</v>
      </c>
      <c r="H4495" t="s">
        <v>91</v>
      </c>
      <c r="I4495">
        <v>4</v>
      </c>
      <c r="J4495" t="s">
        <v>75</v>
      </c>
    </row>
    <row r="4496" spans="1:10" x14ac:dyDescent="0.25">
      <c r="A4496" t="s">
        <v>7354</v>
      </c>
      <c r="B4496">
        <f>151198.07015091*(1/100/100)</f>
        <v>15.119807015091</v>
      </c>
      <c r="C4496">
        <v>50111</v>
      </c>
      <c r="D4496" t="s">
        <v>5835</v>
      </c>
      <c r="E4496">
        <v>41745</v>
      </c>
      <c r="F4496" t="s">
        <v>1349</v>
      </c>
      <c r="G4496">
        <v>417</v>
      </c>
      <c r="H4496" t="s">
        <v>91</v>
      </c>
      <c r="I4496">
        <v>4</v>
      </c>
      <c r="J4496" t="s">
        <v>75</v>
      </c>
    </row>
    <row r="4497" spans="1:10" x14ac:dyDescent="0.25">
      <c r="A4497" t="s">
        <v>7354</v>
      </c>
      <c r="B4497">
        <f>204091.297965115*(1/100/100)</f>
        <v>20.4091297965115</v>
      </c>
      <c r="C4497">
        <v>50112</v>
      </c>
      <c r="D4497" t="s">
        <v>1354</v>
      </c>
      <c r="E4497">
        <v>41751</v>
      </c>
      <c r="F4497" t="s">
        <v>1354</v>
      </c>
      <c r="G4497">
        <v>417</v>
      </c>
      <c r="H4497" t="s">
        <v>91</v>
      </c>
      <c r="I4497">
        <v>4</v>
      </c>
      <c r="J4497" t="s">
        <v>75</v>
      </c>
    </row>
    <row r="4498" spans="1:10" x14ac:dyDescent="0.25">
      <c r="A4498" t="s">
        <v>7354</v>
      </c>
      <c r="B4498">
        <f>209725.92874997*(1/100/100)</f>
        <v>20.972592874996998</v>
      </c>
      <c r="C4498">
        <v>50201</v>
      </c>
      <c r="D4498" t="s">
        <v>1310</v>
      </c>
      <c r="E4498">
        <v>41704</v>
      </c>
      <c r="F4498" t="s">
        <v>1310</v>
      </c>
      <c r="G4498">
        <v>417</v>
      </c>
      <c r="H4498" t="s">
        <v>91</v>
      </c>
      <c r="I4498">
        <v>4</v>
      </c>
      <c r="J4498" t="s">
        <v>75</v>
      </c>
    </row>
    <row r="4499" spans="1:10" x14ac:dyDescent="0.25">
      <c r="A4499" t="s">
        <v>7354</v>
      </c>
      <c r="B4499">
        <f>186665.217722274*(1/100/100)</f>
        <v>18.666521772227401</v>
      </c>
      <c r="C4499">
        <v>50202</v>
      </c>
      <c r="D4499" t="s">
        <v>5813</v>
      </c>
      <c r="E4499">
        <v>41722</v>
      </c>
      <c r="F4499" t="s">
        <v>1328</v>
      </c>
      <c r="G4499">
        <v>417</v>
      </c>
      <c r="H4499" t="s">
        <v>91</v>
      </c>
      <c r="I4499">
        <v>4</v>
      </c>
      <c r="J4499" t="s">
        <v>75</v>
      </c>
    </row>
    <row r="4500" spans="1:10" x14ac:dyDescent="0.25">
      <c r="A4500" t="s">
        <v>7354</v>
      </c>
      <c r="B4500">
        <f>118347.830891192*(1/100/100)</f>
        <v>11.834783089119201</v>
      </c>
      <c r="C4500">
        <v>50203</v>
      </c>
      <c r="D4500" t="s">
        <v>1313</v>
      </c>
      <c r="E4500">
        <v>41707</v>
      </c>
      <c r="F4500" t="s">
        <v>1313</v>
      </c>
      <c r="G4500">
        <v>417</v>
      </c>
      <c r="H4500" t="s">
        <v>91</v>
      </c>
      <c r="I4500">
        <v>4</v>
      </c>
      <c r="J4500" t="s">
        <v>75</v>
      </c>
    </row>
    <row r="4501" spans="1:10" x14ac:dyDescent="0.25">
      <c r="A4501" t="s">
        <v>7354</v>
      </c>
      <c r="B4501">
        <f>104082.143368505*(1/100/100)</f>
        <v>10.4082143368505</v>
      </c>
      <c r="C4501">
        <v>50204</v>
      </c>
      <c r="D4501" t="s">
        <v>1320</v>
      </c>
      <c r="E4501">
        <v>41714</v>
      </c>
      <c r="F4501" t="s">
        <v>1320</v>
      </c>
      <c r="G4501">
        <v>417</v>
      </c>
      <c r="H4501" t="s">
        <v>91</v>
      </c>
      <c r="I4501">
        <v>4</v>
      </c>
      <c r="J4501" t="s">
        <v>75</v>
      </c>
    </row>
    <row r="4502" spans="1:10" x14ac:dyDescent="0.25">
      <c r="A4502" t="s">
        <v>7354</v>
      </c>
      <c r="B4502">
        <f>221265.142797486*(1/100/100)</f>
        <v>22.126514279748601</v>
      </c>
      <c r="C4502">
        <v>50205</v>
      </c>
      <c r="D4502" t="s">
        <v>3100</v>
      </c>
      <c r="E4502">
        <v>41732</v>
      </c>
      <c r="F4502" t="s">
        <v>1338</v>
      </c>
      <c r="G4502">
        <v>417</v>
      </c>
      <c r="H4502" t="s">
        <v>91</v>
      </c>
      <c r="I4502">
        <v>4</v>
      </c>
      <c r="J4502" t="s">
        <v>75</v>
      </c>
    </row>
    <row r="4503" spans="1:10" x14ac:dyDescent="0.25">
      <c r="A4503" t="s">
        <v>7354</v>
      </c>
      <c r="B4503">
        <f>175304.222676307*(1/100/100)</f>
        <v>17.530422267630701</v>
      </c>
      <c r="C4503">
        <v>50206</v>
      </c>
      <c r="D4503" t="s">
        <v>1323</v>
      </c>
      <c r="E4503">
        <v>41717</v>
      </c>
      <c r="F4503" t="s">
        <v>1323</v>
      </c>
      <c r="G4503">
        <v>417</v>
      </c>
      <c r="H4503" t="s">
        <v>91</v>
      </c>
      <c r="I4503">
        <v>4</v>
      </c>
      <c r="J4503" t="s">
        <v>75</v>
      </c>
    </row>
    <row r="4504" spans="1:10" x14ac:dyDescent="0.25">
      <c r="A4504" t="s">
        <v>7354</v>
      </c>
      <c r="B4504">
        <f>178042.300442806*(1/100/100)</f>
        <v>17.804230044280601</v>
      </c>
      <c r="C4504">
        <v>50207</v>
      </c>
      <c r="D4504" t="s">
        <v>3770</v>
      </c>
      <c r="E4504">
        <v>41720</v>
      </c>
      <c r="F4504" t="s">
        <v>1326</v>
      </c>
      <c r="G4504">
        <v>417</v>
      </c>
      <c r="H4504" t="s">
        <v>91</v>
      </c>
      <c r="I4504">
        <v>4</v>
      </c>
      <c r="J4504" t="s">
        <v>75</v>
      </c>
    </row>
    <row r="4505" spans="1:10" x14ac:dyDescent="0.25">
      <c r="A4505" t="s">
        <v>7354</v>
      </c>
      <c r="B4505">
        <f>61576.2036990087*(1/100/100)</f>
        <v>6.1576203699008705</v>
      </c>
      <c r="C4505">
        <v>50208</v>
      </c>
      <c r="D4505" t="s">
        <v>1331</v>
      </c>
      <c r="E4505">
        <v>41725</v>
      </c>
      <c r="F4505" t="s">
        <v>1331</v>
      </c>
      <c r="G4505">
        <v>417</v>
      </c>
      <c r="H4505" t="s">
        <v>91</v>
      </c>
      <c r="I4505">
        <v>4</v>
      </c>
      <c r="J4505" t="s">
        <v>75</v>
      </c>
    </row>
    <row r="4506" spans="1:10" x14ac:dyDescent="0.25">
      <c r="A4506" t="s">
        <v>7354</v>
      </c>
      <c r="B4506">
        <f>135362.774605511*(1/100/100)</f>
        <v>13.5362774605511</v>
      </c>
      <c r="C4506">
        <v>50209</v>
      </c>
      <c r="D4506" t="s">
        <v>5814</v>
      </c>
      <c r="E4506">
        <v>41722</v>
      </c>
      <c r="F4506" t="s">
        <v>1328</v>
      </c>
      <c r="G4506">
        <v>417</v>
      </c>
      <c r="H4506" t="s">
        <v>91</v>
      </c>
      <c r="I4506">
        <v>4</v>
      </c>
      <c r="J4506" t="s">
        <v>75</v>
      </c>
    </row>
    <row r="4507" spans="1:10" x14ac:dyDescent="0.25">
      <c r="A4507" t="s">
        <v>7354</v>
      </c>
      <c r="B4507">
        <f>144084.057711999*(1/100/100)</f>
        <v>14.408405771199901</v>
      </c>
      <c r="C4507">
        <v>50210</v>
      </c>
      <c r="D4507" t="s">
        <v>5815</v>
      </c>
      <c r="E4507">
        <v>41722</v>
      </c>
      <c r="F4507" t="s">
        <v>1328</v>
      </c>
      <c r="G4507">
        <v>417</v>
      </c>
      <c r="H4507" t="s">
        <v>91</v>
      </c>
      <c r="I4507">
        <v>4</v>
      </c>
      <c r="J4507" t="s">
        <v>75</v>
      </c>
    </row>
    <row r="4508" spans="1:10" x14ac:dyDescent="0.25">
      <c r="A4508" t="s">
        <v>7354</v>
      </c>
      <c r="B4508">
        <f>77963.8763301946*(1/100/100)</f>
        <v>7.7963876330194601</v>
      </c>
      <c r="C4508">
        <v>50211</v>
      </c>
      <c r="D4508" t="s">
        <v>1334</v>
      </c>
      <c r="E4508">
        <v>41728</v>
      </c>
      <c r="F4508" t="s">
        <v>1334</v>
      </c>
      <c r="G4508">
        <v>417</v>
      </c>
      <c r="H4508" t="s">
        <v>91</v>
      </c>
      <c r="I4508">
        <v>4</v>
      </c>
      <c r="J4508" t="s">
        <v>75</v>
      </c>
    </row>
    <row r="4509" spans="1:10" x14ac:dyDescent="0.25">
      <c r="A4509" t="s">
        <v>7354</v>
      </c>
      <c r="B4509">
        <f>221831.071257368*(1/100/100)</f>
        <v>22.1831071257368</v>
      </c>
      <c r="C4509">
        <v>50212</v>
      </c>
      <c r="D4509" t="s">
        <v>1336</v>
      </c>
      <c r="E4509">
        <v>41730</v>
      </c>
      <c r="F4509" t="s">
        <v>1336</v>
      </c>
      <c r="G4509">
        <v>417</v>
      </c>
      <c r="H4509" t="s">
        <v>91</v>
      </c>
      <c r="I4509">
        <v>4</v>
      </c>
      <c r="J4509" t="s">
        <v>75</v>
      </c>
    </row>
    <row r="4510" spans="1:10" x14ac:dyDescent="0.25">
      <c r="A4510" t="s">
        <v>7354</v>
      </c>
      <c r="B4510">
        <f>50099.5386199056*(1/100/100)</f>
        <v>5.0099538619905601</v>
      </c>
      <c r="C4510">
        <v>50213</v>
      </c>
      <c r="D4510" t="s">
        <v>1339</v>
      </c>
      <c r="E4510">
        <v>41733</v>
      </c>
      <c r="F4510" t="s">
        <v>1339</v>
      </c>
      <c r="G4510">
        <v>417</v>
      </c>
      <c r="H4510" t="s">
        <v>91</v>
      </c>
      <c r="I4510">
        <v>4</v>
      </c>
      <c r="J4510" t="s">
        <v>75</v>
      </c>
    </row>
    <row r="4511" spans="1:10" x14ac:dyDescent="0.25">
      <c r="A4511" t="s">
        <v>7354</v>
      </c>
      <c r="B4511">
        <f>180519.718901498*(1/100/100)</f>
        <v>18.051971890149801</v>
      </c>
      <c r="C4511">
        <v>50214</v>
      </c>
      <c r="D4511" t="s">
        <v>1340</v>
      </c>
      <c r="E4511">
        <v>41736</v>
      </c>
      <c r="F4511" t="s">
        <v>1340</v>
      </c>
      <c r="G4511">
        <v>417</v>
      </c>
      <c r="H4511" t="s">
        <v>91</v>
      </c>
      <c r="I4511">
        <v>4</v>
      </c>
      <c r="J4511" t="s">
        <v>75</v>
      </c>
    </row>
    <row r="4512" spans="1:10" x14ac:dyDescent="0.25">
      <c r="A4512" t="s">
        <v>7354</v>
      </c>
      <c r="B4512">
        <f>365692.180053338*(1/100/100)</f>
        <v>36.569218005333802</v>
      </c>
      <c r="C4512">
        <v>50215</v>
      </c>
      <c r="D4512" t="s">
        <v>1342</v>
      </c>
      <c r="E4512">
        <v>41738</v>
      </c>
      <c r="F4512" t="s">
        <v>1342</v>
      </c>
      <c r="G4512">
        <v>417</v>
      </c>
      <c r="H4512" t="s">
        <v>91</v>
      </c>
      <c r="I4512">
        <v>4</v>
      </c>
      <c r="J4512" t="s">
        <v>75</v>
      </c>
    </row>
    <row r="4513" spans="1:10" x14ac:dyDescent="0.25">
      <c r="A4513" t="s">
        <v>7354</v>
      </c>
      <c r="B4513">
        <f>124383.416723176*(1/100/100)</f>
        <v>12.4383416723176</v>
      </c>
      <c r="C4513">
        <v>50216</v>
      </c>
      <c r="D4513" t="s">
        <v>5794</v>
      </c>
      <c r="E4513">
        <v>41707</v>
      </c>
      <c r="F4513" t="s">
        <v>1313</v>
      </c>
      <c r="G4513">
        <v>417</v>
      </c>
      <c r="H4513" t="s">
        <v>91</v>
      </c>
      <c r="I4513">
        <v>4</v>
      </c>
      <c r="J4513" t="s">
        <v>75</v>
      </c>
    </row>
    <row r="4514" spans="1:10" x14ac:dyDescent="0.25">
      <c r="A4514" t="s">
        <v>7354</v>
      </c>
      <c r="B4514">
        <f>234380.781333575*(1/100/100)</f>
        <v>23.4380781333575</v>
      </c>
      <c r="C4514">
        <v>50217</v>
      </c>
      <c r="D4514" t="s">
        <v>3296</v>
      </c>
      <c r="E4514">
        <v>41750</v>
      </c>
      <c r="F4514" t="s">
        <v>1353</v>
      </c>
      <c r="G4514">
        <v>417</v>
      </c>
      <c r="H4514" t="s">
        <v>91</v>
      </c>
      <c r="I4514">
        <v>4</v>
      </c>
      <c r="J4514" t="s">
        <v>75</v>
      </c>
    </row>
    <row r="4515" spans="1:10" x14ac:dyDescent="0.25">
      <c r="A4515" t="s">
        <v>7354</v>
      </c>
      <c r="B4515">
        <f>55099.5386454796*(1/100/100)</f>
        <v>5.5099538645479607</v>
      </c>
      <c r="C4515">
        <v>50301</v>
      </c>
      <c r="D4515" t="s">
        <v>5806</v>
      </c>
      <c r="E4515">
        <v>41716</v>
      </c>
      <c r="F4515" t="s">
        <v>1322</v>
      </c>
      <c r="G4515">
        <v>417</v>
      </c>
      <c r="H4515" t="s">
        <v>91</v>
      </c>
      <c r="I4515">
        <v>4</v>
      </c>
      <c r="J4515" t="s">
        <v>75</v>
      </c>
    </row>
    <row r="4516" spans="1:10" x14ac:dyDescent="0.25">
      <c r="A4516" t="s">
        <v>7354</v>
      </c>
      <c r="B4516">
        <f>322994.818315881*(1/100/100)</f>
        <v>32.299481831588103</v>
      </c>
      <c r="C4516">
        <v>50302</v>
      </c>
      <c r="D4516" t="s">
        <v>5789</v>
      </c>
      <c r="E4516">
        <v>41701</v>
      </c>
      <c r="F4516" t="s">
        <v>1307</v>
      </c>
      <c r="G4516">
        <v>417</v>
      </c>
      <c r="H4516" t="s">
        <v>91</v>
      </c>
      <c r="I4516">
        <v>4</v>
      </c>
      <c r="J4516" t="s">
        <v>75</v>
      </c>
    </row>
    <row r="4517" spans="1:10" x14ac:dyDescent="0.25">
      <c r="A4517" t="s">
        <v>7354</v>
      </c>
      <c r="B4517">
        <f>697295.361833068*(1/100/100)</f>
        <v>69.729536183306806</v>
      </c>
      <c r="C4517">
        <v>50303</v>
      </c>
      <c r="D4517" t="s">
        <v>1309</v>
      </c>
      <c r="E4517">
        <v>41703</v>
      </c>
      <c r="F4517" t="s">
        <v>1309</v>
      </c>
      <c r="G4517">
        <v>417</v>
      </c>
      <c r="H4517" t="s">
        <v>91</v>
      </c>
      <c r="I4517">
        <v>4</v>
      </c>
      <c r="J4517" t="s">
        <v>75</v>
      </c>
    </row>
    <row r="4518" spans="1:10" x14ac:dyDescent="0.25">
      <c r="A4518" t="s">
        <v>7354</v>
      </c>
      <c r="B4518">
        <f>105479.615529743*(1/100/100)</f>
        <v>10.5479615529743</v>
      </c>
      <c r="C4518">
        <v>50304</v>
      </c>
      <c r="D4518" t="s">
        <v>5792</v>
      </c>
      <c r="E4518">
        <v>41705</v>
      </c>
      <c r="F4518" t="s">
        <v>1311</v>
      </c>
      <c r="G4518">
        <v>417</v>
      </c>
      <c r="H4518" t="s">
        <v>91</v>
      </c>
      <c r="I4518">
        <v>4</v>
      </c>
      <c r="J4518" t="s">
        <v>75</v>
      </c>
    </row>
    <row r="4519" spans="1:10" x14ac:dyDescent="0.25">
      <c r="A4519" t="s">
        <v>7354</v>
      </c>
      <c r="B4519">
        <f>113093.742700453*(1/100/100)</f>
        <v>11.309374270045302</v>
      </c>
      <c r="C4519">
        <v>50305</v>
      </c>
      <c r="D4519" t="s">
        <v>5803</v>
      </c>
      <c r="E4519">
        <v>41711</v>
      </c>
      <c r="F4519" t="s">
        <v>1317</v>
      </c>
      <c r="G4519">
        <v>417</v>
      </c>
      <c r="H4519" t="s">
        <v>91</v>
      </c>
      <c r="I4519">
        <v>4</v>
      </c>
      <c r="J4519" t="s">
        <v>75</v>
      </c>
    </row>
    <row r="4520" spans="1:10" x14ac:dyDescent="0.25">
      <c r="A4520" t="s">
        <v>7354</v>
      </c>
      <c r="B4520">
        <f>79933.0815211098*(1/100/100)</f>
        <v>7.9933081521109797</v>
      </c>
      <c r="C4520">
        <v>50306</v>
      </c>
      <c r="D4520" t="s">
        <v>5804</v>
      </c>
      <c r="E4520">
        <v>41711</v>
      </c>
      <c r="F4520" t="s">
        <v>1317</v>
      </c>
      <c r="G4520">
        <v>417</v>
      </c>
      <c r="H4520" t="s">
        <v>91</v>
      </c>
      <c r="I4520">
        <v>4</v>
      </c>
      <c r="J4520" t="s">
        <v>75</v>
      </c>
    </row>
    <row r="4521" spans="1:10" x14ac:dyDescent="0.25">
      <c r="A4521" t="s">
        <v>7354</v>
      </c>
      <c r="B4521">
        <f>218147.231659723*(1/100/100)</f>
        <v>21.814723165972303</v>
      </c>
      <c r="C4521">
        <v>50307</v>
      </c>
      <c r="D4521" t="s">
        <v>1317</v>
      </c>
      <c r="E4521">
        <v>41711</v>
      </c>
      <c r="F4521" t="s">
        <v>1317</v>
      </c>
      <c r="G4521">
        <v>417</v>
      </c>
      <c r="H4521" t="s">
        <v>91</v>
      </c>
      <c r="I4521">
        <v>4</v>
      </c>
      <c r="J4521" t="s">
        <v>75</v>
      </c>
    </row>
    <row r="4522" spans="1:10" x14ac:dyDescent="0.25">
      <c r="A4522" t="s">
        <v>7354</v>
      </c>
      <c r="B4522">
        <f>118869.140979685*(1/100/100)</f>
        <v>11.886914097968502</v>
      </c>
      <c r="C4522">
        <v>50308</v>
      </c>
      <c r="D4522" t="s">
        <v>5793</v>
      </c>
      <c r="E4522">
        <v>41705</v>
      </c>
      <c r="F4522" t="s">
        <v>1311</v>
      </c>
      <c r="G4522">
        <v>417</v>
      </c>
      <c r="H4522" t="s">
        <v>91</v>
      </c>
      <c r="I4522">
        <v>4</v>
      </c>
      <c r="J4522" t="s">
        <v>75</v>
      </c>
    </row>
    <row r="4523" spans="1:10" x14ac:dyDescent="0.25">
      <c r="A4523" t="s">
        <v>7354</v>
      </c>
      <c r="B4523">
        <f>287433.433141658*(1/100/100)</f>
        <v>28.743343314165802</v>
      </c>
      <c r="C4523">
        <v>50309</v>
      </c>
      <c r="D4523" t="s">
        <v>5826</v>
      </c>
      <c r="E4523">
        <v>41737</v>
      </c>
      <c r="F4523" t="s">
        <v>1341</v>
      </c>
      <c r="G4523">
        <v>417</v>
      </c>
      <c r="H4523" t="s">
        <v>91</v>
      </c>
      <c r="I4523">
        <v>4</v>
      </c>
      <c r="J4523" t="s">
        <v>75</v>
      </c>
    </row>
    <row r="4524" spans="1:10" x14ac:dyDescent="0.25">
      <c r="A4524" t="s">
        <v>7354</v>
      </c>
      <c r="B4524">
        <f>168305.671370538*(1/100/100)</f>
        <v>16.830567137053801</v>
      </c>
      <c r="C4524">
        <v>50310</v>
      </c>
      <c r="D4524" t="s">
        <v>5828</v>
      </c>
      <c r="E4524">
        <v>41739</v>
      </c>
      <c r="F4524" t="s">
        <v>1343</v>
      </c>
      <c r="G4524">
        <v>417</v>
      </c>
      <c r="H4524" t="s">
        <v>91</v>
      </c>
      <c r="I4524">
        <v>4</v>
      </c>
      <c r="J4524" t="s">
        <v>75</v>
      </c>
    </row>
    <row r="4525" spans="1:10" x14ac:dyDescent="0.25">
      <c r="A4525" t="s">
        <v>7354</v>
      </c>
      <c r="B4525">
        <f>59845.6597112123*(1/100/100)</f>
        <v>5.9845659711212305</v>
      </c>
      <c r="C4525">
        <v>50311</v>
      </c>
      <c r="D4525" t="s">
        <v>280</v>
      </c>
      <c r="E4525">
        <v>41731</v>
      </c>
      <c r="F4525" t="s">
        <v>1337</v>
      </c>
      <c r="G4525">
        <v>417</v>
      </c>
      <c r="H4525" t="s">
        <v>91</v>
      </c>
      <c r="I4525">
        <v>4</v>
      </c>
      <c r="J4525" t="s">
        <v>75</v>
      </c>
    </row>
    <row r="4526" spans="1:10" x14ac:dyDescent="0.25">
      <c r="A4526" t="s">
        <v>7354</v>
      </c>
      <c r="B4526">
        <f>239158.862975007*(1/100/100)</f>
        <v>23.915886297500702</v>
      </c>
      <c r="C4526">
        <v>50312</v>
      </c>
      <c r="D4526" t="s">
        <v>1322</v>
      </c>
      <c r="E4526">
        <v>41716</v>
      </c>
      <c r="F4526" t="s">
        <v>1322</v>
      </c>
      <c r="G4526">
        <v>417</v>
      </c>
      <c r="H4526" t="s">
        <v>91</v>
      </c>
      <c r="I4526">
        <v>4</v>
      </c>
      <c r="J4526" t="s">
        <v>75</v>
      </c>
    </row>
    <row r="4527" spans="1:10" x14ac:dyDescent="0.25">
      <c r="A4527" t="s">
        <v>7354</v>
      </c>
      <c r="B4527">
        <f>601529.469518468*(1/100/100)</f>
        <v>60.152946951846808</v>
      </c>
      <c r="C4527">
        <v>50313</v>
      </c>
      <c r="D4527" t="s">
        <v>1319</v>
      </c>
      <c r="E4527">
        <v>41713</v>
      </c>
      <c r="F4527" t="s">
        <v>1319</v>
      </c>
      <c r="G4527">
        <v>417</v>
      </c>
      <c r="H4527" t="s">
        <v>91</v>
      </c>
      <c r="I4527">
        <v>4</v>
      </c>
      <c r="J4527" t="s">
        <v>75</v>
      </c>
    </row>
    <row r="4528" spans="1:10" x14ac:dyDescent="0.25">
      <c r="A4528" t="s">
        <v>7354</v>
      </c>
      <c r="B4528">
        <f>99019.3456030346*(1/100/100)</f>
        <v>9.9019345603034612</v>
      </c>
      <c r="C4528">
        <v>50314</v>
      </c>
      <c r="D4528" t="s">
        <v>5821</v>
      </c>
      <c r="E4528">
        <v>41731</v>
      </c>
      <c r="F4528" t="s">
        <v>1337</v>
      </c>
      <c r="G4528">
        <v>417</v>
      </c>
      <c r="H4528" t="s">
        <v>91</v>
      </c>
      <c r="I4528">
        <v>4</v>
      </c>
      <c r="J4528" t="s">
        <v>75</v>
      </c>
    </row>
    <row r="4529" spans="1:10" x14ac:dyDescent="0.25">
      <c r="A4529" t="s">
        <v>7354</v>
      </c>
      <c r="B4529">
        <f>86120.9705147662*(1/100/100)</f>
        <v>8.6120970514766206</v>
      </c>
      <c r="C4529">
        <v>50315</v>
      </c>
      <c r="D4529" t="s">
        <v>5817</v>
      </c>
      <c r="E4529">
        <v>41724</v>
      </c>
      <c r="F4529" t="s">
        <v>1330</v>
      </c>
      <c r="G4529">
        <v>417</v>
      </c>
      <c r="H4529" t="s">
        <v>91</v>
      </c>
      <c r="I4529">
        <v>4</v>
      </c>
      <c r="J4529" t="s">
        <v>75</v>
      </c>
    </row>
    <row r="4530" spans="1:10" x14ac:dyDescent="0.25">
      <c r="A4530" t="s">
        <v>7354</v>
      </c>
      <c r="B4530">
        <f>114717.025806648*(1/100/100)</f>
        <v>11.4717025806648</v>
      </c>
      <c r="C4530">
        <v>50316</v>
      </c>
      <c r="D4530" t="s">
        <v>5491</v>
      </c>
      <c r="E4530">
        <v>41743</v>
      </c>
      <c r="F4530" t="s">
        <v>1347</v>
      </c>
      <c r="G4530">
        <v>417</v>
      </c>
      <c r="H4530" t="s">
        <v>91</v>
      </c>
      <c r="I4530">
        <v>4</v>
      </c>
      <c r="J4530" t="s">
        <v>75</v>
      </c>
    </row>
    <row r="4531" spans="1:10" x14ac:dyDescent="0.25">
      <c r="A4531" t="s">
        <v>7354</v>
      </c>
      <c r="B4531">
        <f>52107.4849836891*(1/100/100)</f>
        <v>5.2107484983689103</v>
      </c>
      <c r="C4531">
        <v>50317</v>
      </c>
      <c r="D4531" t="s">
        <v>5834</v>
      </c>
      <c r="E4531">
        <v>41744</v>
      </c>
      <c r="F4531" t="s">
        <v>1348</v>
      </c>
      <c r="G4531">
        <v>417</v>
      </c>
      <c r="H4531" t="s">
        <v>91</v>
      </c>
      <c r="I4531">
        <v>4</v>
      </c>
      <c r="J4531" t="s">
        <v>75</v>
      </c>
    </row>
    <row r="4532" spans="1:10" x14ac:dyDescent="0.25">
      <c r="A4532" t="s">
        <v>7354</v>
      </c>
      <c r="B4532">
        <f>97409.4756732755*(1/100/100)</f>
        <v>9.7409475673275505</v>
      </c>
      <c r="C4532">
        <v>50318</v>
      </c>
      <c r="D4532" t="s">
        <v>5822</v>
      </c>
      <c r="E4532">
        <v>41731</v>
      </c>
      <c r="F4532" t="s">
        <v>1337</v>
      </c>
      <c r="G4532">
        <v>417</v>
      </c>
      <c r="H4532" t="s">
        <v>91</v>
      </c>
      <c r="I4532">
        <v>4</v>
      </c>
      <c r="J4532" t="s">
        <v>75</v>
      </c>
    </row>
    <row r="4533" spans="1:10" x14ac:dyDescent="0.25">
      <c r="A4533" t="s">
        <v>7354</v>
      </c>
      <c r="B4533">
        <f>393371.697606263*(1/100/100)</f>
        <v>39.337169760626303</v>
      </c>
      <c r="C4533">
        <v>50319</v>
      </c>
      <c r="D4533" t="s">
        <v>5829</v>
      </c>
      <c r="E4533">
        <v>41739</v>
      </c>
      <c r="F4533" t="s">
        <v>1343</v>
      </c>
      <c r="G4533">
        <v>417</v>
      </c>
      <c r="H4533" t="s">
        <v>91</v>
      </c>
      <c r="I4533">
        <v>4</v>
      </c>
      <c r="J4533" t="s">
        <v>75</v>
      </c>
    </row>
    <row r="4534" spans="1:10" x14ac:dyDescent="0.25">
      <c r="A4534" t="s">
        <v>7354</v>
      </c>
      <c r="B4534">
        <f>151898.718523895*(1/100/100)</f>
        <v>15.1898718523895</v>
      </c>
      <c r="C4534">
        <v>50320</v>
      </c>
      <c r="D4534" t="s">
        <v>1344</v>
      </c>
      <c r="E4534">
        <v>41740</v>
      </c>
      <c r="F4534" t="s">
        <v>1344</v>
      </c>
      <c r="G4534">
        <v>417</v>
      </c>
      <c r="H4534" t="s">
        <v>91</v>
      </c>
      <c r="I4534">
        <v>4</v>
      </c>
      <c r="J4534" t="s">
        <v>75</v>
      </c>
    </row>
    <row r="4535" spans="1:10" x14ac:dyDescent="0.25">
      <c r="A4535" t="s">
        <v>7354</v>
      </c>
      <c r="B4535">
        <f>283276.006274628*(1/100/100)</f>
        <v>28.3276006274628</v>
      </c>
      <c r="C4535">
        <v>50321</v>
      </c>
      <c r="D4535" t="s">
        <v>1347</v>
      </c>
      <c r="E4535">
        <v>41743</v>
      </c>
      <c r="F4535" t="s">
        <v>1347</v>
      </c>
      <c r="G4535">
        <v>417</v>
      </c>
      <c r="H4535" t="s">
        <v>91</v>
      </c>
      <c r="I4535">
        <v>4</v>
      </c>
      <c r="J4535" t="s">
        <v>75</v>
      </c>
    </row>
    <row r="4536" spans="1:10" x14ac:dyDescent="0.25">
      <c r="A4536" t="s">
        <v>7354</v>
      </c>
      <c r="B4536">
        <f>122490.276101823*(1/100/100)</f>
        <v>12.249027610182299</v>
      </c>
      <c r="C4536">
        <v>50322</v>
      </c>
      <c r="D4536" t="s">
        <v>5820</v>
      </c>
      <c r="E4536">
        <v>41727</v>
      </c>
      <c r="F4536" t="s">
        <v>1333</v>
      </c>
      <c r="G4536">
        <v>417</v>
      </c>
      <c r="H4536" t="s">
        <v>91</v>
      </c>
      <c r="I4536">
        <v>4</v>
      </c>
      <c r="J4536" t="s">
        <v>75</v>
      </c>
    </row>
    <row r="4537" spans="1:10" x14ac:dyDescent="0.25">
      <c r="A4537" t="s">
        <v>7354</v>
      </c>
      <c r="B4537">
        <f>139660.378779907*(1/100/100)</f>
        <v>13.966037877990702</v>
      </c>
      <c r="C4537">
        <v>50323</v>
      </c>
      <c r="D4537" t="s">
        <v>1348</v>
      </c>
      <c r="E4537">
        <v>41744</v>
      </c>
      <c r="F4537" t="s">
        <v>1348</v>
      </c>
      <c r="G4537">
        <v>417</v>
      </c>
      <c r="H4537" t="s">
        <v>91</v>
      </c>
      <c r="I4537">
        <v>4</v>
      </c>
      <c r="J4537" t="s">
        <v>75</v>
      </c>
    </row>
    <row r="4538" spans="1:10" x14ac:dyDescent="0.25">
      <c r="A4538" t="s">
        <v>7354</v>
      </c>
      <c r="B4538">
        <f>540941.634252122*(1/100/100)</f>
        <v>54.094163425212201</v>
      </c>
      <c r="C4538">
        <v>50324</v>
      </c>
      <c r="D4538" t="s">
        <v>5823</v>
      </c>
      <c r="E4538">
        <v>41731</v>
      </c>
      <c r="F4538" t="s">
        <v>1337</v>
      </c>
      <c r="G4538">
        <v>417</v>
      </c>
      <c r="H4538" t="s">
        <v>91</v>
      </c>
      <c r="I4538">
        <v>4</v>
      </c>
      <c r="J4538" t="s">
        <v>75</v>
      </c>
    </row>
    <row r="4539" spans="1:10" x14ac:dyDescent="0.25">
      <c r="A4539" t="s">
        <v>7354</v>
      </c>
      <c r="B4539">
        <f>184298.968442812*(1/100/100)</f>
        <v>18.429896844281203</v>
      </c>
      <c r="C4539">
        <v>50325</v>
      </c>
      <c r="D4539" t="s">
        <v>91</v>
      </c>
      <c r="E4539">
        <v>41746</v>
      </c>
      <c r="F4539" t="s">
        <v>91</v>
      </c>
      <c r="G4539">
        <v>417</v>
      </c>
      <c r="H4539" t="s">
        <v>91</v>
      </c>
      <c r="I4539">
        <v>4</v>
      </c>
      <c r="J4539" t="s">
        <v>75</v>
      </c>
    </row>
    <row r="4540" spans="1:10" x14ac:dyDescent="0.25">
      <c r="A4540" t="s">
        <v>7354</v>
      </c>
      <c r="B4540">
        <f>780603.091705477*(1/100/100)</f>
        <v>78.060309170547697</v>
      </c>
      <c r="C4540">
        <v>50326</v>
      </c>
      <c r="D4540" t="s">
        <v>1450</v>
      </c>
      <c r="E4540">
        <v>41746</v>
      </c>
      <c r="F4540" t="s">
        <v>91</v>
      </c>
      <c r="G4540">
        <v>417</v>
      </c>
      <c r="H4540" t="s">
        <v>91</v>
      </c>
      <c r="I4540">
        <v>4</v>
      </c>
      <c r="J4540" t="s">
        <v>75</v>
      </c>
    </row>
    <row r="4541" spans="1:10" x14ac:dyDescent="0.25">
      <c r="A4541" t="s">
        <v>7354</v>
      </c>
      <c r="B4541">
        <f>74049.6276350866*(1/100/100)</f>
        <v>7.4049627635086601</v>
      </c>
      <c r="C4541">
        <v>50327</v>
      </c>
      <c r="D4541" t="s">
        <v>5833</v>
      </c>
      <c r="E4541">
        <v>41743</v>
      </c>
      <c r="F4541" t="s">
        <v>1347</v>
      </c>
      <c r="G4541">
        <v>417</v>
      </c>
      <c r="H4541" t="s">
        <v>91</v>
      </c>
      <c r="I4541">
        <v>4</v>
      </c>
      <c r="J4541" t="s">
        <v>75</v>
      </c>
    </row>
    <row r="4542" spans="1:10" x14ac:dyDescent="0.25">
      <c r="A4542" t="s">
        <v>7354</v>
      </c>
      <c r="B4542">
        <f>75398.0038594646*(1/100/100)</f>
        <v>7.5398003859464611</v>
      </c>
      <c r="C4542">
        <v>50328</v>
      </c>
      <c r="D4542" t="s">
        <v>5807</v>
      </c>
      <c r="E4542">
        <v>41716</v>
      </c>
      <c r="F4542" t="s">
        <v>1322</v>
      </c>
      <c r="G4542">
        <v>417</v>
      </c>
      <c r="H4542" t="s">
        <v>91</v>
      </c>
      <c r="I4542">
        <v>4</v>
      </c>
      <c r="J4542" t="s">
        <v>75</v>
      </c>
    </row>
    <row r="4543" spans="1:10" x14ac:dyDescent="0.25">
      <c r="A4543" t="s">
        <v>7354</v>
      </c>
      <c r="B4543">
        <f>200607.6620054*(1/100/100)</f>
        <v>20.060766200540002</v>
      </c>
      <c r="C4543">
        <v>50329</v>
      </c>
      <c r="D4543" t="s">
        <v>5840</v>
      </c>
      <c r="E4543">
        <v>41749</v>
      </c>
      <c r="F4543" t="s">
        <v>1352</v>
      </c>
      <c r="G4543">
        <v>417</v>
      </c>
      <c r="H4543" t="s">
        <v>91</v>
      </c>
      <c r="I4543">
        <v>4</v>
      </c>
      <c r="J4543" t="s">
        <v>75</v>
      </c>
    </row>
    <row r="4544" spans="1:10" x14ac:dyDescent="0.25">
      <c r="A4544" t="s">
        <v>7354</v>
      </c>
      <c r="B4544">
        <f>144216.340527757*(1/100/100)</f>
        <v>14.421634052775701</v>
      </c>
      <c r="C4544">
        <v>50330</v>
      </c>
      <c r="D4544" t="s">
        <v>1355</v>
      </c>
      <c r="E4544">
        <v>41752</v>
      </c>
      <c r="F4544" t="s">
        <v>1355</v>
      </c>
      <c r="G4544">
        <v>417</v>
      </c>
      <c r="H4544" t="s">
        <v>91</v>
      </c>
      <c r="I4544">
        <v>4</v>
      </c>
      <c r="J4544" t="s">
        <v>75</v>
      </c>
    </row>
    <row r="4545" spans="1:10" x14ac:dyDescent="0.25">
      <c r="A4545" t="s">
        <v>7354</v>
      </c>
      <c r="B4545">
        <f>66602.7792739181*(1/100/100)</f>
        <v>6.6602779273918102</v>
      </c>
      <c r="C4545">
        <v>50331</v>
      </c>
      <c r="D4545" t="s">
        <v>5827</v>
      </c>
      <c r="E4545">
        <v>41737</v>
      </c>
      <c r="F4545" t="s">
        <v>1341</v>
      </c>
      <c r="G4545">
        <v>417</v>
      </c>
      <c r="H4545" t="s">
        <v>91</v>
      </c>
      <c r="I4545">
        <v>4</v>
      </c>
      <c r="J4545" t="s">
        <v>75</v>
      </c>
    </row>
    <row r="4546" spans="1:10" x14ac:dyDescent="0.25">
      <c r="A4546" t="s">
        <v>7354</v>
      </c>
      <c r="B4546">
        <f>42251.7633563614*(1/100/100)</f>
        <v>4.2251763356361405</v>
      </c>
      <c r="C4546">
        <v>51001</v>
      </c>
      <c r="D4546" t="s">
        <v>2056</v>
      </c>
      <c r="E4546">
        <v>40907</v>
      </c>
      <c r="F4546" t="s">
        <v>1118</v>
      </c>
      <c r="G4546">
        <v>409</v>
      </c>
      <c r="H4546" t="s">
        <v>83</v>
      </c>
      <c r="I4546">
        <v>4</v>
      </c>
      <c r="J4546" t="s">
        <v>75</v>
      </c>
    </row>
    <row r="4547" spans="1:10" x14ac:dyDescent="0.25">
      <c r="A4547" t="s">
        <v>7354</v>
      </c>
      <c r="B4547">
        <f>334821.039036463*(1/100/100)</f>
        <v>33.482103903646305</v>
      </c>
      <c r="C4547">
        <v>51002</v>
      </c>
      <c r="D4547" t="s">
        <v>1264</v>
      </c>
      <c r="E4547">
        <v>41503</v>
      </c>
      <c r="F4547" t="s">
        <v>1264</v>
      </c>
      <c r="G4547">
        <v>415</v>
      </c>
      <c r="H4547" t="s">
        <v>89</v>
      </c>
      <c r="I4547">
        <v>4</v>
      </c>
      <c r="J4547" t="s">
        <v>75</v>
      </c>
    </row>
    <row r="4548" spans="1:10" x14ac:dyDescent="0.25">
      <c r="A4548" t="s">
        <v>7354</v>
      </c>
      <c r="B4548">
        <f>117961.119643884*(1/100/100)</f>
        <v>11.7961119643884</v>
      </c>
      <c r="C4548">
        <v>51003</v>
      </c>
      <c r="D4548" t="s">
        <v>5446</v>
      </c>
      <c r="E4548">
        <v>40922</v>
      </c>
      <c r="F4548" t="s">
        <v>1132</v>
      </c>
      <c r="G4548">
        <v>409</v>
      </c>
      <c r="H4548" t="s">
        <v>83</v>
      </c>
      <c r="I4548">
        <v>4</v>
      </c>
      <c r="J4548" t="s">
        <v>75</v>
      </c>
    </row>
    <row r="4549" spans="1:10" x14ac:dyDescent="0.25">
      <c r="A4549" t="s">
        <v>7354</v>
      </c>
      <c r="B4549">
        <f>123427.352946568*(1/100/100)</f>
        <v>12.342735294656801</v>
      </c>
      <c r="C4549">
        <v>51004</v>
      </c>
      <c r="D4549" t="s">
        <v>5407</v>
      </c>
      <c r="E4549">
        <v>40907</v>
      </c>
      <c r="F4549" t="s">
        <v>1118</v>
      </c>
      <c r="G4549">
        <v>409</v>
      </c>
      <c r="H4549" t="s">
        <v>83</v>
      </c>
      <c r="I4549">
        <v>4</v>
      </c>
      <c r="J4549" t="s">
        <v>75</v>
      </c>
    </row>
    <row r="4550" spans="1:10" x14ac:dyDescent="0.25">
      <c r="A4550" t="s">
        <v>7354</v>
      </c>
      <c r="B4550">
        <f>69980.4342565959*(1/100/100)</f>
        <v>6.9980434256595894</v>
      </c>
      <c r="C4550">
        <v>51005</v>
      </c>
      <c r="D4550" t="s">
        <v>5728</v>
      </c>
      <c r="E4550">
        <v>41511</v>
      </c>
      <c r="F4550" t="s">
        <v>1272</v>
      </c>
      <c r="G4550">
        <v>415</v>
      </c>
      <c r="H4550" t="s">
        <v>89</v>
      </c>
      <c r="I4550">
        <v>4</v>
      </c>
      <c r="J4550" t="s">
        <v>75</v>
      </c>
    </row>
    <row r="4551" spans="1:10" x14ac:dyDescent="0.25">
      <c r="A4551" t="s">
        <v>7354</v>
      </c>
      <c r="B4551">
        <f>90154.9163475311*(1/100/100)</f>
        <v>9.0154916347531113</v>
      </c>
      <c r="C4551">
        <v>51006</v>
      </c>
      <c r="D4551" t="s">
        <v>5731</v>
      </c>
      <c r="E4551">
        <v>41513</v>
      </c>
      <c r="F4551" t="s">
        <v>1274</v>
      </c>
      <c r="G4551">
        <v>415</v>
      </c>
      <c r="H4551" t="s">
        <v>89</v>
      </c>
      <c r="I4551">
        <v>4</v>
      </c>
      <c r="J4551" t="s">
        <v>75</v>
      </c>
    </row>
    <row r="4552" spans="1:10" x14ac:dyDescent="0.25">
      <c r="A4552" t="s">
        <v>7354</v>
      </c>
      <c r="B4552">
        <f>60544.3109274466*(1/100/100)</f>
        <v>6.0544310927446601</v>
      </c>
      <c r="C4552">
        <v>51007</v>
      </c>
      <c r="D4552" t="s">
        <v>5711</v>
      </c>
      <c r="E4552">
        <v>41503</v>
      </c>
      <c r="F4552" t="s">
        <v>1264</v>
      </c>
      <c r="G4552">
        <v>415</v>
      </c>
      <c r="H4552" t="s">
        <v>89</v>
      </c>
      <c r="I4552">
        <v>4</v>
      </c>
      <c r="J4552" t="s">
        <v>75</v>
      </c>
    </row>
    <row r="4553" spans="1:10" x14ac:dyDescent="0.25">
      <c r="A4553" t="s">
        <v>7354</v>
      </c>
      <c r="B4553">
        <f>91343.0558204487*(1/100/100)</f>
        <v>9.1343055820448704</v>
      </c>
      <c r="C4553">
        <v>51008</v>
      </c>
      <c r="D4553" t="s">
        <v>5712</v>
      </c>
      <c r="E4553">
        <v>41503</v>
      </c>
      <c r="F4553" t="s">
        <v>1264</v>
      </c>
      <c r="G4553">
        <v>415</v>
      </c>
      <c r="H4553" t="s">
        <v>89</v>
      </c>
      <c r="I4553">
        <v>4</v>
      </c>
      <c r="J4553" t="s">
        <v>75</v>
      </c>
    </row>
    <row r="4554" spans="1:10" x14ac:dyDescent="0.25">
      <c r="A4554" t="s">
        <v>7354</v>
      </c>
      <c r="B4554">
        <f>18747.9445504572*(1/100/100)</f>
        <v>1.8747944550457201</v>
      </c>
      <c r="C4554">
        <v>51009</v>
      </c>
      <c r="D4554" t="s">
        <v>2496</v>
      </c>
      <c r="E4554">
        <v>40907</v>
      </c>
      <c r="F4554" t="s">
        <v>1118</v>
      </c>
      <c r="G4554">
        <v>409</v>
      </c>
      <c r="H4554" t="s">
        <v>83</v>
      </c>
      <c r="I4554">
        <v>4</v>
      </c>
      <c r="J4554" t="s">
        <v>75</v>
      </c>
    </row>
    <row r="4555" spans="1:10" x14ac:dyDescent="0.25">
      <c r="A4555" t="s">
        <v>7354</v>
      </c>
      <c r="B4555">
        <f>171736.935970825*(1/100/100)</f>
        <v>17.173693597082501</v>
      </c>
      <c r="C4555">
        <v>51010</v>
      </c>
      <c r="D4555" t="s">
        <v>5408</v>
      </c>
      <c r="E4555">
        <v>40907</v>
      </c>
      <c r="F4555" t="s">
        <v>1118</v>
      </c>
      <c r="G4555">
        <v>409</v>
      </c>
      <c r="H4555" t="s">
        <v>83</v>
      </c>
      <c r="I4555">
        <v>4</v>
      </c>
      <c r="J4555" t="s">
        <v>75</v>
      </c>
    </row>
    <row r="4556" spans="1:10" x14ac:dyDescent="0.25">
      <c r="A4556" t="s">
        <v>7354</v>
      </c>
      <c r="B4556">
        <f>103821.137419974*(1/100/100)</f>
        <v>10.382113741997401</v>
      </c>
      <c r="C4556">
        <v>51011</v>
      </c>
      <c r="D4556" t="s">
        <v>1118</v>
      </c>
      <c r="E4556">
        <v>40907</v>
      </c>
      <c r="F4556" t="s">
        <v>1118</v>
      </c>
      <c r="G4556">
        <v>409</v>
      </c>
      <c r="H4556" t="s">
        <v>83</v>
      </c>
      <c r="I4556">
        <v>4</v>
      </c>
      <c r="J4556" t="s">
        <v>75</v>
      </c>
    </row>
    <row r="4557" spans="1:10" x14ac:dyDescent="0.25">
      <c r="A4557" t="s">
        <v>7354</v>
      </c>
      <c r="B4557">
        <f>116577.070499246*(1/100/100)</f>
        <v>11.6577070499246</v>
      </c>
      <c r="C4557">
        <v>51012</v>
      </c>
      <c r="D4557" t="s">
        <v>5409</v>
      </c>
      <c r="E4557">
        <v>40907</v>
      </c>
      <c r="F4557" t="s">
        <v>1118</v>
      </c>
      <c r="G4557">
        <v>409</v>
      </c>
      <c r="H4557" t="s">
        <v>83</v>
      </c>
      <c r="I4557">
        <v>4</v>
      </c>
      <c r="J4557" t="s">
        <v>75</v>
      </c>
    </row>
    <row r="4558" spans="1:10" x14ac:dyDescent="0.25">
      <c r="A4558" t="s">
        <v>7354</v>
      </c>
      <c r="B4558">
        <f>51301.5400685639*(1/100/100)</f>
        <v>5.1301540068563902</v>
      </c>
      <c r="C4558">
        <v>51013</v>
      </c>
      <c r="D4558" t="s">
        <v>5410</v>
      </c>
      <c r="E4558">
        <v>40907</v>
      </c>
      <c r="F4558" t="s">
        <v>1118</v>
      </c>
      <c r="G4558">
        <v>409</v>
      </c>
      <c r="H4558" t="s">
        <v>83</v>
      </c>
      <c r="I4558">
        <v>4</v>
      </c>
      <c r="J4558" t="s">
        <v>75</v>
      </c>
    </row>
    <row r="4559" spans="1:10" x14ac:dyDescent="0.25">
      <c r="A4559" t="s">
        <v>7354</v>
      </c>
      <c r="B4559">
        <f>45958.3550871576*(1/100/100)</f>
        <v>4.5958355087157603</v>
      </c>
      <c r="C4559">
        <v>51014</v>
      </c>
      <c r="D4559" t="s">
        <v>2341</v>
      </c>
      <c r="E4559">
        <v>41511</v>
      </c>
      <c r="F4559" t="s">
        <v>1272</v>
      </c>
      <c r="G4559">
        <v>415</v>
      </c>
      <c r="H4559" t="s">
        <v>89</v>
      </c>
      <c r="I4559">
        <v>4</v>
      </c>
      <c r="J4559" t="s">
        <v>75</v>
      </c>
    </row>
    <row r="4560" spans="1:10" x14ac:dyDescent="0.25">
      <c r="A4560" t="s">
        <v>7354</v>
      </c>
      <c r="B4560">
        <f>64896.2475188613*(1/100/100)</f>
        <v>6.4896247518861303</v>
      </c>
      <c r="C4560">
        <v>51015</v>
      </c>
      <c r="D4560" t="s">
        <v>5729</v>
      </c>
      <c r="E4560">
        <v>41511</v>
      </c>
      <c r="F4560" t="s">
        <v>1272</v>
      </c>
      <c r="G4560">
        <v>415</v>
      </c>
      <c r="H4560" t="s">
        <v>89</v>
      </c>
      <c r="I4560">
        <v>4</v>
      </c>
      <c r="J4560" t="s">
        <v>75</v>
      </c>
    </row>
    <row r="4561" spans="1:10" x14ac:dyDescent="0.25">
      <c r="A4561" t="s">
        <v>7354</v>
      </c>
      <c r="B4561">
        <f>89412.8563941498*(1/100/100)</f>
        <v>8.9412856394149802</v>
      </c>
      <c r="C4561">
        <v>51016</v>
      </c>
      <c r="D4561" t="s">
        <v>5447</v>
      </c>
      <c r="E4561">
        <v>40922</v>
      </c>
      <c r="F4561" t="s">
        <v>1132</v>
      </c>
      <c r="G4561">
        <v>409</v>
      </c>
      <c r="H4561" t="s">
        <v>83</v>
      </c>
      <c r="I4561">
        <v>4</v>
      </c>
      <c r="J4561" t="s">
        <v>75</v>
      </c>
    </row>
    <row r="4562" spans="1:10" x14ac:dyDescent="0.25">
      <c r="A4562" t="s">
        <v>7354</v>
      </c>
      <c r="B4562">
        <f>57290.3069501432*(1/100/100)</f>
        <v>5.7290306950143197</v>
      </c>
      <c r="C4562">
        <v>51017</v>
      </c>
      <c r="D4562" t="s">
        <v>1272</v>
      </c>
      <c r="E4562">
        <v>41511</v>
      </c>
      <c r="F4562" t="s">
        <v>1272</v>
      </c>
      <c r="G4562">
        <v>415</v>
      </c>
      <c r="H4562" t="s">
        <v>89</v>
      </c>
      <c r="I4562">
        <v>4</v>
      </c>
      <c r="J4562" t="s">
        <v>75</v>
      </c>
    </row>
    <row r="4563" spans="1:10" x14ac:dyDescent="0.25">
      <c r="A4563" t="s">
        <v>7354</v>
      </c>
      <c r="B4563">
        <f>150445.821544553*(1/100/100)</f>
        <v>15.044582154455302</v>
      </c>
      <c r="C4563">
        <v>51018</v>
      </c>
      <c r="D4563" t="s">
        <v>1124</v>
      </c>
      <c r="E4563">
        <v>40913</v>
      </c>
      <c r="F4563" t="s">
        <v>1124</v>
      </c>
      <c r="G4563">
        <v>409</v>
      </c>
      <c r="H4563" t="s">
        <v>83</v>
      </c>
      <c r="I4563">
        <v>4</v>
      </c>
      <c r="J4563" t="s">
        <v>75</v>
      </c>
    </row>
    <row r="4564" spans="1:10" x14ac:dyDescent="0.25">
      <c r="A4564" t="s">
        <v>7354</v>
      </c>
      <c r="B4564">
        <f>102235.075569791*(1/100/100)</f>
        <v>10.223507556979101</v>
      </c>
      <c r="C4564">
        <v>51019</v>
      </c>
      <c r="D4564" t="s">
        <v>3990</v>
      </c>
      <c r="E4564">
        <v>41513</v>
      </c>
      <c r="F4564" t="s">
        <v>1274</v>
      </c>
      <c r="G4564">
        <v>415</v>
      </c>
      <c r="H4564" t="s">
        <v>89</v>
      </c>
      <c r="I4564">
        <v>4</v>
      </c>
      <c r="J4564" t="s">
        <v>75</v>
      </c>
    </row>
    <row r="4565" spans="1:10" x14ac:dyDescent="0.25">
      <c r="A4565" t="s">
        <v>7354</v>
      </c>
      <c r="B4565">
        <f>137107.368895258*(1/100/100)</f>
        <v>13.710736889525801</v>
      </c>
      <c r="C4565">
        <v>51020</v>
      </c>
      <c r="D4565" t="s">
        <v>5429</v>
      </c>
      <c r="E4565">
        <v>40913</v>
      </c>
      <c r="F4565" t="s">
        <v>1124</v>
      </c>
      <c r="G4565">
        <v>409</v>
      </c>
      <c r="H4565" t="s">
        <v>83</v>
      </c>
      <c r="I4565">
        <v>4</v>
      </c>
      <c r="J4565" t="s">
        <v>75</v>
      </c>
    </row>
    <row r="4566" spans="1:10" x14ac:dyDescent="0.25">
      <c r="A4566" t="s">
        <v>7354</v>
      </c>
      <c r="B4566">
        <f>83437.0043204793*(1/100/100)</f>
        <v>8.34370043204793</v>
      </c>
      <c r="C4566">
        <v>51021</v>
      </c>
      <c r="D4566" t="s">
        <v>5411</v>
      </c>
      <c r="E4566">
        <v>40907</v>
      </c>
      <c r="F4566" t="s">
        <v>1118</v>
      </c>
      <c r="G4566">
        <v>409</v>
      </c>
      <c r="H4566" t="s">
        <v>83</v>
      </c>
      <c r="I4566">
        <v>4</v>
      </c>
      <c r="J4566" t="s">
        <v>75</v>
      </c>
    </row>
    <row r="4567" spans="1:10" x14ac:dyDescent="0.25">
      <c r="A4567" t="s">
        <v>7354</v>
      </c>
      <c r="B4567">
        <f>81526.6072888786*(1/100/100)</f>
        <v>8.1526607288878612</v>
      </c>
      <c r="C4567">
        <v>51022</v>
      </c>
      <c r="D4567" t="s">
        <v>5448</v>
      </c>
      <c r="E4567">
        <v>40922</v>
      </c>
      <c r="F4567" t="s">
        <v>1132</v>
      </c>
      <c r="G4567">
        <v>409</v>
      </c>
      <c r="H4567" t="s">
        <v>83</v>
      </c>
      <c r="I4567">
        <v>4</v>
      </c>
      <c r="J4567" t="s">
        <v>75</v>
      </c>
    </row>
    <row r="4568" spans="1:10" x14ac:dyDescent="0.25">
      <c r="A4568" t="s">
        <v>7354</v>
      </c>
      <c r="B4568">
        <f>85706.2589979166*(1/100/100)</f>
        <v>8.5706258997916596</v>
      </c>
      <c r="C4568">
        <v>51023</v>
      </c>
      <c r="D4568" t="s">
        <v>5449</v>
      </c>
      <c r="E4568">
        <v>40922</v>
      </c>
      <c r="F4568" t="s">
        <v>1132</v>
      </c>
      <c r="G4568">
        <v>409</v>
      </c>
      <c r="H4568" t="s">
        <v>83</v>
      </c>
      <c r="I4568">
        <v>4</v>
      </c>
      <c r="J4568" t="s">
        <v>75</v>
      </c>
    </row>
    <row r="4569" spans="1:10" x14ac:dyDescent="0.25">
      <c r="A4569" t="s">
        <v>7354</v>
      </c>
      <c r="B4569">
        <f>119666.747846958*(1/100/100)</f>
        <v>11.966674784695799</v>
      </c>
      <c r="C4569">
        <v>51024</v>
      </c>
      <c r="D4569" t="s">
        <v>5412</v>
      </c>
      <c r="E4569">
        <v>40907</v>
      </c>
      <c r="F4569" t="s">
        <v>1118</v>
      </c>
      <c r="G4569">
        <v>409</v>
      </c>
      <c r="H4569" t="s">
        <v>83</v>
      </c>
      <c r="I4569">
        <v>4</v>
      </c>
      <c r="J4569" t="s">
        <v>75</v>
      </c>
    </row>
    <row r="4570" spans="1:10" x14ac:dyDescent="0.25">
      <c r="A4570" t="s">
        <v>7354</v>
      </c>
      <c r="B4570">
        <f>84034.576589427*(1/100/100)</f>
        <v>8.4034576589427008</v>
      </c>
      <c r="C4570">
        <v>51025</v>
      </c>
      <c r="D4570" t="s">
        <v>5430</v>
      </c>
      <c r="E4570">
        <v>40913</v>
      </c>
      <c r="F4570" t="s">
        <v>1124</v>
      </c>
      <c r="G4570">
        <v>409</v>
      </c>
      <c r="H4570" t="s">
        <v>83</v>
      </c>
      <c r="I4570">
        <v>4</v>
      </c>
      <c r="J4570" t="s">
        <v>75</v>
      </c>
    </row>
    <row r="4571" spans="1:10" x14ac:dyDescent="0.25">
      <c r="A4571" t="s">
        <v>7354</v>
      </c>
      <c r="B4571">
        <f>95935.6334247661*(1/100/100)</f>
        <v>9.5935633424766102</v>
      </c>
      <c r="C4571">
        <v>51026</v>
      </c>
      <c r="D4571" t="s">
        <v>1132</v>
      </c>
      <c r="E4571">
        <v>40922</v>
      </c>
      <c r="F4571" t="s">
        <v>1132</v>
      </c>
      <c r="G4571">
        <v>409</v>
      </c>
      <c r="H4571" t="s">
        <v>83</v>
      </c>
      <c r="I4571">
        <v>4</v>
      </c>
      <c r="J4571" t="s">
        <v>75</v>
      </c>
    </row>
    <row r="4572" spans="1:10" x14ac:dyDescent="0.25">
      <c r="A4572" t="s">
        <v>7354</v>
      </c>
      <c r="B4572">
        <f>41070.6140849062*(1/100/100)</f>
        <v>4.1070614084906198</v>
      </c>
      <c r="C4572">
        <v>51027</v>
      </c>
      <c r="D4572" t="s">
        <v>5413</v>
      </c>
      <c r="E4572">
        <v>40907</v>
      </c>
      <c r="F4572" t="s">
        <v>1118</v>
      </c>
      <c r="G4572">
        <v>409</v>
      </c>
      <c r="H4572" t="s">
        <v>83</v>
      </c>
      <c r="I4572">
        <v>4</v>
      </c>
      <c r="J4572" t="s">
        <v>75</v>
      </c>
    </row>
    <row r="4573" spans="1:10" x14ac:dyDescent="0.25">
      <c r="A4573" t="s">
        <v>7354</v>
      </c>
      <c r="B4573">
        <f>82623.1839838593*(1/100/100)</f>
        <v>8.262318398385931</v>
      </c>
      <c r="C4573">
        <v>51028</v>
      </c>
      <c r="D4573" t="s">
        <v>5431</v>
      </c>
      <c r="E4573">
        <v>40913</v>
      </c>
      <c r="F4573" t="s">
        <v>1124</v>
      </c>
      <c r="G4573">
        <v>409</v>
      </c>
      <c r="H4573" t="s">
        <v>83</v>
      </c>
      <c r="I4573">
        <v>4</v>
      </c>
      <c r="J4573" t="s">
        <v>75</v>
      </c>
    </row>
    <row r="4574" spans="1:10" x14ac:dyDescent="0.25">
      <c r="A4574" t="s">
        <v>7354</v>
      </c>
      <c r="B4574">
        <f>85724.7685638065*(1/100/100)</f>
        <v>8.5724768563806499</v>
      </c>
      <c r="C4574">
        <v>51101</v>
      </c>
      <c r="D4574" t="s">
        <v>1356</v>
      </c>
      <c r="E4574">
        <v>41801</v>
      </c>
      <c r="F4574" t="s">
        <v>1356</v>
      </c>
      <c r="G4574">
        <v>418</v>
      </c>
      <c r="H4574" t="s">
        <v>92</v>
      </c>
      <c r="I4574">
        <v>4</v>
      </c>
      <c r="J4574" t="s">
        <v>75</v>
      </c>
    </row>
    <row r="4575" spans="1:10" x14ac:dyDescent="0.25">
      <c r="A4575" t="s">
        <v>7354</v>
      </c>
      <c r="B4575">
        <f>75023.2413197754*(1/100/100)</f>
        <v>7.5023241319775407</v>
      </c>
      <c r="C4575">
        <v>51102</v>
      </c>
      <c r="D4575" t="s">
        <v>5872</v>
      </c>
      <c r="E4575">
        <v>41821</v>
      </c>
      <c r="F4575" t="s">
        <v>1376</v>
      </c>
      <c r="G4575">
        <v>418</v>
      </c>
      <c r="H4575" t="s">
        <v>92</v>
      </c>
      <c r="I4575">
        <v>4</v>
      </c>
      <c r="J4575" t="s">
        <v>75</v>
      </c>
    </row>
    <row r="4576" spans="1:10" x14ac:dyDescent="0.25">
      <c r="A4576" t="s">
        <v>7354</v>
      </c>
      <c r="B4576">
        <f>56254.5107182499*(1/100/100)</f>
        <v>5.6254510718249904</v>
      </c>
      <c r="C4576">
        <v>51103</v>
      </c>
      <c r="D4576" t="s">
        <v>2056</v>
      </c>
      <c r="E4576">
        <v>41803</v>
      </c>
      <c r="F4576" t="s">
        <v>1358</v>
      </c>
      <c r="G4576">
        <v>418</v>
      </c>
      <c r="H4576" t="s">
        <v>92</v>
      </c>
      <c r="I4576">
        <v>4</v>
      </c>
      <c r="J4576" t="s">
        <v>75</v>
      </c>
    </row>
    <row r="4577" spans="1:10" x14ac:dyDescent="0.25">
      <c r="A4577" t="s">
        <v>7354</v>
      </c>
      <c r="B4577">
        <f>66746.5071082222*(1/100/100)</f>
        <v>6.6746507108222204</v>
      </c>
      <c r="C4577">
        <v>51104</v>
      </c>
      <c r="D4577" t="s">
        <v>5841</v>
      </c>
      <c r="E4577">
        <v>41803</v>
      </c>
      <c r="F4577" t="s">
        <v>1358</v>
      </c>
      <c r="G4577">
        <v>418</v>
      </c>
      <c r="H4577" t="s">
        <v>92</v>
      </c>
      <c r="I4577">
        <v>4</v>
      </c>
      <c r="J4577" t="s">
        <v>75</v>
      </c>
    </row>
    <row r="4578" spans="1:10" x14ac:dyDescent="0.25">
      <c r="A4578" t="s">
        <v>7354</v>
      </c>
      <c r="B4578">
        <f>103939.510735545*(1/100/100)</f>
        <v>10.393951073554501</v>
      </c>
      <c r="C4578">
        <v>51105</v>
      </c>
      <c r="D4578" t="s">
        <v>1357</v>
      </c>
      <c r="E4578">
        <v>41802</v>
      </c>
      <c r="F4578" t="s">
        <v>1357</v>
      </c>
      <c r="G4578">
        <v>418</v>
      </c>
      <c r="H4578" t="s">
        <v>92</v>
      </c>
      <c r="I4578">
        <v>4</v>
      </c>
      <c r="J4578" t="s">
        <v>75</v>
      </c>
    </row>
    <row r="4579" spans="1:10" x14ac:dyDescent="0.25">
      <c r="A4579" t="s">
        <v>7354</v>
      </c>
      <c r="B4579">
        <f>38392.5684370208*(1/100/100)</f>
        <v>3.83925684370208</v>
      </c>
      <c r="C4579">
        <v>51106</v>
      </c>
      <c r="D4579" t="s">
        <v>5842</v>
      </c>
      <c r="E4579">
        <v>41803</v>
      </c>
      <c r="F4579" t="s">
        <v>1358</v>
      </c>
      <c r="G4579">
        <v>418</v>
      </c>
      <c r="H4579" t="s">
        <v>92</v>
      </c>
      <c r="I4579">
        <v>4</v>
      </c>
      <c r="J4579" t="s">
        <v>75</v>
      </c>
    </row>
    <row r="4580" spans="1:10" x14ac:dyDescent="0.25">
      <c r="A4580" t="s">
        <v>7354</v>
      </c>
      <c r="B4580">
        <f>49406.5193224028*(1/100/100)</f>
        <v>4.9406519322402795</v>
      </c>
      <c r="C4580">
        <v>51107</v>
      </c>
      <c r="D4580" t="s">
        <v>799</v>
      </c>
      <c r="E4580">
        <v>41815</v>
      </c>
      <c r="F4580" t="s">
        <v>1370</v>
      </c>
      <c r="G4580">
        <v>418</v>
      </c>
      <c r="H4580" t="s">
        <v>92</v>
      </c>
      <c r="I4580">
        <v>4</v>
      </c>
      <c r="J4580" t="s">
        <v>75</v>
      </c>
    </row>
    <row r="4581" spans="1:10" x14ac:dyDescent="0.25">
      <c r="A4581" t="s">
        <v>7354</v>
      </c>
      <c r="B4581">
        <f>159108.310215278*(1/100/100)</f>
        <v>15.910831021527802</v>
      </c>
      <c r="C4581">
        <v>51108</v>
      </c>
      <c r="D4581" t="s">
        <v>5849</v>
      </c>
      <c r="E4581">
        <v>41805</v>
      </c>
      <c r="F4581" t="s">
        <v>1360</v>
      </c>
      <c r="G4581">
        <v>418</v>
      </c>
      <c r="H4581" t="s">
        <v>92</v>
      </c>
      <c r="I4581">
        <v>4</v>
      </c>
      <c r="J4581" t="s">
        <v>75</v>
      </c>
    </row>
    <row r="4582" spans="1:10" x14ac:dyDescent="0.25">
      <c r="A4582" t="s">
        <v>7354</v>
      </c>
      <c r="B4582">
        <f>76085.4181324489*(1/100/100)</f>
        <v>7.6085418132448908</v>
      </c>
      <c r="C4582">
        <v>51109</v>
      </c>
      <c r="D4582" t="s">
        <v>5339</v>
      </c>
      <c r="E4582">
        <v>41806</v>
      </c>
      <c r="F4582" t="s">
        <v>1361</v>
      </c>
      <c r="G4582">
        <v>418</v>
      </c>
      <c r="H4582" t="s">
        <v>92</v>
      </c>
      <c r="I4582">
        <v>4</v>
      </c>
      <c r="J4582" t="s">
        <v>75</v>
      </c>
    </row>
    <row r="4583" spans="1:10" x14ac:dyDescent="0.25">
      <c r="A4583" t="s">
        <v>7354</v>
      </c>
      <c r="B4583">
        <f>22059.3209758955*(1/100/100)</f>
        <v>2.2059320975895504</v>
      </c>
      <c r="C4583">
        <v>51110</v>
      </c>
      <c r="D4583" t="s">
        <v>3364</v>
      </c>
      <c r="E4583">
        <v>41815</v>
      </c>
      <c r="F4583" t="s">
        <v>1370</v>
      </c>
      <c r="G4583">
        <v>418</v>
      </c>
      <c r="H4583" t="s">
        <v>92</v>
      </c>
      <c r="I4583">
        <v>4</v>
      </c>
      <c r="J4583" t="s">
        <v>75</v>
      </c>
    </row>
    <row r="4584" spans="1:10" x14ac:dyDescent="0.25">
      <c r="A4584" t="s">
        <v>7354</v>
      </c>
      <c r="B4584">
        <f>31198.6388661186*(1/100/100)</f>
        <v>3.11986388661186</v>
      </c>
      <c r="C4584">
        <v>51111</v>
      </c>
      <c r="D4584" t="s">
        <v>5858</v>
      </c>
      <c r="E4584">
        <v>41814</v>
      </c>
      <c r="F4584" t="s">
        <v>1369</v>
      </c>
      <c r="G4584">
        <v>418</v>
      </c>
      <c r="H4584" t="s">
        <v>92</v>
      </c>
      <c r="I4584">
        <v>4</v>
      </c>
      <c r="J4584" t="s">
        <v>75</v>
      </c>
    </row>
    <row r="4585" spans="1:10" x14ac:dyDescent="0.25">
      <c r="A4585" t="s">
        <v>7354</v>
      </c>
      <c r="B4585">
        <f>73774.692755392*(1/100/100)</f>
        <v>7.3774692755392</v>
      </c>
      <c r="C4585">
        <v>51112</v>
      </c>
      <c r="D4585" t="s">
        <v>5873</v>
      </c>
      <c r="E4585">
        <v>41821</v>
      </c>
      <c r="F4585" t="s">
        <v>1376</v>
      </c>
      <c r="G4585">
        <v>418</v>
      </c>
      <c r="H4585" t="s">
        <v>92</v>
      </c>
      <c r="I4585">
        <v>4</v>
      </c>
      <c r="J4585" t="s">
        <v>75</v>
      </c>
    </row>
    <row r="4586" spans="1:10" x14ac:dyDescent="0.25">
      <c r="A4586" t="s">
        <v>7354</v>
      </c>
      <c r="B4586">
        <f>14212.3680226081*(1/100/100)</f>
        <v>1.42123680226081</v>
      </c>
      <c r="C4586">
        <v>51113</v>
      </c>
      <c r="D4586" t="s">
        <v>5859</v>
      </c>
      <c r="E4586">
        <v>41814</v>
      </c>
      <c r="F4586" t="s">
        <v>1369</v>
      </c>
      <c r="G4586">
        <v>418</v>
      </c>
      <c r="H4586" t="s">
        <v>92</v>
      </c>
      <c r="I4586">
        <v>4</v>
      </c>
      <c r="J4586" t="s">
        <v>75</v>
      </c>
    </row>
    <row r="4587" spans="1:10" x14ac:dyDescent="0.25">
      <c r="A4587" t="s">
        <v>7354</v>
      </c>
      <c r="B4587">
        <f>49185.4883681721*(1/100/100)</f>
        <v>4.9185488368172097</v>
      </c>
      <c r="C4587">
        <v>51114</v>
      </c>
      <c r="D4587" t="s">
        <v>5843</v>
      </c>
      <c r="E4587">
        <v>41803</v>
      </c>
      <c r="F4587" t="s">
        <v>1358</v>
      </c>
      <c r="G4587">
        <v>418</v>
      </c>
      <c r="H4587" t="s">
        <v>92</v>
      </c>
      <c r="I4587">
        <v>4</v>
      </c>
      <c r="J4587" t="s">
        <v>75</v>
      </c>
    </row>
    <row r="4588" spans="1:10" x14ac:dyDescent="0.25">
      <c r="A4588" t="s">
        <v>7354</v>
      </c>
      <c r="B4588">
        <f>197689.63435499*(1/100/100)</f>
        <v>19.768963435499</v>
      </c>
      <c r="C4588">
        <v>51115</v>
      </c>
      <c r="D4588" t="s">
        <v>5851</v>
      </c>
      <c r="E4588">
        <v>41806</v>
      </c>
      <c r="F4588" t="s">
        <v>1361</v>
      </c>
      <c r="G4588">
        <v>418</v>
      </c>
      <c r="H4588" t="s">
        <v>92</v>
      </c>
      <c r="I4588">
        <v>4</v>
      </c>
      <c r="J4588" t="s">
        <v>75</v>
      </c>
    </row>
    <row r="4589" spans="1:10" x14ac:dyDescent="0.25">
      <c r="A4589" t="s">
        <v>7354</v>
      </c>
      <c r="B4589">
        <f>56948.3467021937*(1/100/100)</f>
        <v>5.6948346702193708</v>
      </c>
      <c r="C4589">
        <v>51116</v>
      </c>
      <c r="D4589" t="s">
        <v>5861</v>
      </c>
      <c r="E4589">
        <v>41815</v>
      </c>
      <c r="F4589" t="s">
        <v>1370</v>
      </c>
      <c r="G4589">
        <v>418</v>
      </c>
      <c r="H4589" t="s">
        <v>92</v>
      </c>
      <c r="I4589">
        <v>4</v>
      </c>
      <c r="J4589" t="s">
        <v>75</v>
      </c>
    </row>
    <row r="4590" spans="1:10" x14ac:dyDescent="0.25">
      <c r="A4590" t="s">
        <v>7354</v>
      </c>
      <c r="B4590">
        <f>246694.798342007*(1/100/100)</f>
        <v>24.6694798342007</v>
      </c>
      <c r="C4590">
        <v>51117</v>
      </c>
      <c r="D4590" t="s">
        <v>1366</v>
      </c>
      <c r="E4590">
        <v>41811</v>
      </c>
      <c r="F4590" t="s">
        <v>1366</v>
      </c>
      <c r="G4590">
        <v>418</v>
      </c>
      <c r="H4590" t="s">
        <v>92</v>
      </c>
      <c r="I4590">
        <v>4</v>
      </c>
      <c r="J4590" t="s">
        <v>75</v>
      </c>
    </row>
    <row r="4591" spans="1:10" x14ac:dyDescent="0.25">
      <c r="A4591" t="s">
        <v>7354</v>
      </c>
      <c r="B4591">
        <f>62308.8246136898*(1/100/100)</f>
        <v>6.2308824613689806</v>
      </c>
      <c r="C4591">
        <v>51118</v>
      </c>
      <c r="D4591" t="s">
        <v>5852</v>
      </c>
      <c r="E4591">
        <v>41806</v>
      </c>
      <c r="F4591" t="s">
        <v>1361</v>
      </c>
      <c r="G4591">
        <v>418</v>
      </c>
      <c r="H4591" t="s">
        <v>92</v>
      </c>
      <c r="I4591">
        <v>4</v>
      </c>
      <c r="J4591" t="s">
        <v>75</v>
      </c>
    </row>
    <row r="4592" spans="1:10" x14ac:dyDescent="0.25">
      <c r="A4592" t="s">
        <v>7354</v>
      </c>
      <c r="B4592">
        <f>143739.283831534*(1/100/100)</f>
        <v>14.373928383153402</v>
      </c>
      <c r="C4592">
        <v>51119</v>
      </c>
      <c r="D4592" t="s">
        <v>5850</v>
      </c>
      <c r="E4592">
        <v>41805</v>
      </c>
      <c r="F4592" t="s">
        <v>1360</v>
      </c>
      <c r="G4592">
        <v>418</v>
      </c>
      <c r="H4592" t="s">
        <v>92</v>
      </c>
      <c r="I4592">
        <v>4</v>
      </c>
      <c r="J4592" t="s">
        <v>75</v>
      </c>
    </row>
    <row r="4593" spans="1:10" x14ac:dyDescent="0.25">
      <c r="A4593" t="s">
        <v>7354</v>
      </c>
      <c r="B4593">
        <f>132273.938472003*(1/100/100)</f>
        <v>13.227393847200302</v>
      </c>
      <c r="C4593">
        <v>51120</v>
      </c>
      <c r="D4593" t="s">
        <v>1368</v>
      </c>
      <c r="E4593">
        <v>41813</v>
      </c>
      <c r="F4593" t="s">
        <v>1368</v>
      </c>
      <c r="G4593">
        <v>418</v>
      </c>
      <c r="H4593" t="s">
        <v>92</v>
      </c>
      <c r="I4593">
        <v>4</v>
      </c>
      <c r="J4593" t="s">
        <v>75</v>
      </c>
    </row>
    <row r="4594" spans="1:10" x14ac:dyDescent="0.25">
      <c r="A4594" t="s">
        <v>7354</v>
      </c>
      <c r="B4594">
        <f>67911.9225451368*(1/100/100)</f>
        <v>6.79119225451368</v>
      </c>
      <c r="C4594">
        <v>51121</v>
      </c>
      <c r="D4594" t="s">
        <v>5844</v>
      </c>
      <c r="E4594">
        <v>41803</v>
      </c>
      <c r="F4594" t="s">
        <v>1358</v>
      </c>
      <c r="G4594">
        <v>418</v>
      </c>
      <c r="H4594" t="s">
        <v>92</v>
      </c>
      <c r="I4594">
        <v>4</v>
      </c>
      <c r="J4594" t="s">
        <v>75</v>
      </c>
    </row>
    <row r="4595" spans="1:10" x14ac:dyDescent="0.25">
      <c r="A4595" t="s">
        <v>7354</v>
      </c>
      <c r="B4595">
        <f>37890.105164047*(1/100/100)</f>
        <v>3.7890105164047005</v>
      </c>
      <c r="C4595">
        <v>51122</v>
      </c>
      <c r="D4595" t="s">
        <v>5874</v>
      </c>
      <c r="E4595">
        <v>41821</v>
      </c>
      <c r="F4595" t="s">
        <v>1376</v>
      </c>
      <c r="G4595">
        <v>418</v>
      </c>
      <c r="H4595" t="s">
        <v>92</v>
      </c>
      <c r="I4595">
        <v>4</v>
      </c>
      <c r="J4595" t="s">
        <v>75</v>
      </c>
    </row>
    <row r="4596" spans="1:10" x14ac:dyDescent="0.25">
      <c r="A4596" t="s">
        <v>7354</v>
      </c>
      <c r="B4596">
        <f>107192.524959451*(1/100/100)</f>
        <v>10.719252495945099</v>
      </c>
      <c r="C4596">
        <v>51123</v>
      </c>
      <c r="D4596" t="s">
        <v>1369</v>
      </c>
      <c r="E4596">
        <v>41814</v>
      </c>
      <c r="F4596" t="s">
        <v>1369</v>
      </c>
      <c r="G4596">
        <v>418</v>
      </c>
      <c r="H4596" t="s">
        <v>92</v>
      </c>
      <c r="I4596">
        <v>4</v>
      </c>
      <c r="J4596" t="s">
        <v>75</v>
      </c>
    </row>
    <row r="4597" spans="1:10" x14ac:dyDescent="0.25">
      <c r="A4597" t="s">
        <v>7354</v>
      </c>
      <c r="B4597">
        <f>44836.7331604886*(1/100/100)</f>
        <v>4.4836733160488604</v>
      </c>
      <c r="C4597">
        <v>51124</v>
      </c>
      <c r="D4597" t="s">
        <v>5875</v>
      </c>
      <c r="E4597">
        <v>41821</v>
      </c>
      <c r="F4597" t="s">
        <v>1376</v>
      </c>
      <c r="G4597">
        <v>418</v>
      </c>
      <c r="H4597" t="s">
        <v>92</v>
      </c>
      <c r="I4597">
        <v>4</v>
      </c>
      <c r="J4597" t="s">
        <v>75</v>
      </c>
    </row>
    <row r="4598" spans="1:10" x14ac:dyDescent="0.25">
      <c r="A4598" t="s">
        <v>7354</v>
      </c>
      <c r="B4598">
        <f>81441.1133849962*(1/100/100)</f>
        <v>8.1441113384996218</v>
      </c>
      <c r="C4598">
        <v>51125</v>
      </c>
      <c r="D4598" t="s">
        <v>5870</v>
      </c>
      <c r="E4598">
        <v>41820</v>
      </c>
      <c r="F4598" t="s">
        <v>1375</v>
      </c>
      <c r="G4598">
        <v>418</v>
      </c>
      <c r="H4598" t="s">
        <v>92</v>
      </c>
      <c r="I4598">
        <v>4</v>
      </c>
      <c r="J4598" t="s">
        <v>75</v>
      </c>
    </row>
    <row r="4599" spans="1:10" x14ac:dyDescent="0.25">
      <c r="A4599" t="s">
        <v>7354</v>
      </c>
      <c r="B4599">
        <f>293710.261608489*(1/100/100)</f>
        <v>29.371026160848899</v>
      </c>
      <c r="C4599">
        <v>51126</v>
      </c>
      <c r="D4599" t="s">
        <v>5871</v>
      </c>
      <c r="E4599">
        <v>41820</v>
      </c>
      <c r="F4599" t="s">
        <v>1375</v>
      </c>
      <c r="G4599">
        <v>418</v>
      </c>
      <c r="H4599" t="s">
        <v>92</v>
      </c>
      <c r="I4599">
        <v>4</v>
      </c>
      <c r="J4599" t="s">
        <v>75</v>
      </c>
    </row>
    <row r="4600" spans="1:10" x14ac:dyDescent="0.25">
      <c r="A4600" t="s">
        <v>7354</v>
      </c>
      <c r="B4600">
        <f>36554.2387904854*(1/100/100)</f>
        <v>3.65542387904854</v>
      </c>
      <c r="C4600">
        <v>51127</v>
      </c>
      <c r="D4600" t="s">
        <v>5862</v>
      </c>
      <c r="E4600">
        <v>41815</v>
      </c>
      <c r="F4600" t="s">
        <v>1370</v>
      </c>
      <c r="G4600">
        <v>418</v>
      </c>
      <c r="H4600" t="s">
        <v>92</v>
      </c>
      <c r="I4600">
        <v>4</v>
      </c>
      <c r="J4600" t="s">
        <v>75</v>
      </c>
    </row>
    <row r="4601" spans="1:10" x14ac:dyDescent="0.25">
      <c r="A4601" t="s">
        <v>7354</v>
      </c>
      <c r="B4601">
        <f>165872.748474507*(1/100/100)</f>
        <v>16.587274847450701</v>
      </c>
      <c r="C4601">
        <v>51128</v>
      </c>
      <c r="D4601" t="s">
        <v>1376</v>
      </c>
      <c r="E4601">
        <v>41821</v>
      </c>
      <c r="F4601" t="s">
        <v>1376</v>
      </c>
      <c r="G4601">
        <v>418</v>
      </c>
      <c r="H4601" t="s">
        <v>92</v>
      </c>
      <c r="I4601">
        <v>4</v>
      </c>
      <c r="J4601" t="s">
        <v>75</v>
      </c>
    </row>
    <row r="4602" spans="1:10" x14ac:dyDescent="0.25">
      <c r="A4602" t="s">
        <v>7354</v>
      </c>
      <c r="B4602">
        <f>110731.05923069*(1/100/100)</f>
        <v>11.073105923069001</v>
      </c>
      <c r="C4602">
        <v>51129</v>
      </c>
      <c r="D4602" t="s">
        <v>5845</v>
      </c>
      <c r="E4602">
        <v>41803</v>
      </c>
      <c r="F4602" t="s">
        <v>1358</v>
      </c>
      <c r="G4602">
        <v>418</v>
      </c>
      <c r="H4602" t="s">
        <v>92</v>
      </c>
      <c r="I4602">
        <v>4</v>
      </c>
      <c r="J4602" t="s">
        <v>75</v>
      </c>
    </row>
    <row r="4603" spans="1:10" x14ac:dyDescent="0.25">
      <c r="A4603" t="s">
        <v>7354</v>
      </c>
      <c r="B4603">
        <f>115788.099243442*(1/100/100)</f>
        <v>11.578809924344201</v>
      </c>
      <c r="C4603">
        <v>51130</v>
      </c>
      <c r="D4603" t="s">
        <v>4729</v>
      </c>
      <c r="E4603">
        <v>41805</v>
      </c>
      <c r="F4603" t="s">
        <v>1360</v>
      </c>
      <c r="G4603">
        <v>418</v>
      </c>
      <c r="H4603" t="s">
        <v>92</v>
      </c>
      <c r="I4603">
        <v>4</v>
      </c>
      <c r="J4603" t="s">
        <v>75</v>
      </c>
    </row>
    <row r="4604" spans="1:10" x14ac:dyDescent="0.25">
      <c r="A4604" t="s">
        <v>7354</v>
      </c>
      <c r="B4604">
        <f>51984.5236477836*(1/100/100)</f>
        <v>5.19845236477836</v>
      </c>
      <c r="C4604">
        <v>51131</v>
      </c>
      <c r="D4604" t="s">
        <v>5860</v>
      </c>
      <c r="E4604">
        <v>41814</v>
      </c>
      <c r="F4604" t="s">
        <v>1369</v>
      </c>
      <c r="G4604">
        <v>418</v>
      </c>
      <c r="H4604" t="s">
        <v>92</v>
      </c>
      <c r="I4604">
        <v>4</v>
      </c>
      <c r="J4604" t="s">
        <v>75</v>
      </c>
    </row>
    <row r="4605" spans="1:10" x14ac:dyDescent="0.25">
      <c r="A4605" t="s">
        <v>7354</v>
      </c>
      <c r="B4605">
        <f>126615.283161225*(1/100/100)</f>
        <v>12.661528316122501</v>
      </c>
      <c r="C4605">
        <v>51201</v>
      </c>
      <c r="D4605" t="s">
        <v>5877</v>
      </c>
      <c r="E4605">
        <v>41823</v>
      </c>
      <c r="F4605" t="s">
        <v>1378</v>
      </c>
      <c r="G4605">
        <v>418</v>
      </c>
      <c r="H4605" t="s">
        <v>92</v>
      </c>
      <c r="I4605">
        <v>4</v>
      </c>
      <c r="J4605" t="s">
        <v>75</v>
      </c>
    </row>
    <row r="4606" spans="1:10" x14ac:dyDescent="0.25">
      <c r="A4606" t="s">
        <v>7354</v>
      </c>
      <c r="B4606">
        <f>130073.410566352*(1/100/100)</f>
        <v>13.007341056635202</v>
      </c>
      <c r="C4606">
        <v>51202</v>
      </c>
      <c r="D4606" t="s">
        <v>1359</v>
      </c>
      <c r="E4606">
        <v>41804</v>
      </c>
      <c r="F4606" t="s">
        <v>1359</v>
      </c>
      <c r="G4606">
        <v>418</v>
      </c>
      <c r="H4606" t="s">
        <v>92</v>
      </c>
      <c r="I4606">
        <v>4</v>
      </c>
      <c r="J4606" t="s">
        <v>75</v>
      </c>
    </row>
    <row r="4607" spans="1:10" x14ac:dyDescent="0.25">
      <c r="A4607" t="s">
        <v>7354</v>
      </c>
      <c r="B4607">
        <f>71888.7300720859*(1/100/100)</f>
        <v>7.1888730072085911</v>
      </c>
      <c r="C4607">
        <v>51203</v>
      </c>
      <c r="D4607" t="s">
        <v>1265</v>
      </c>
      <c r="E4607">
        <v>41818</v>
      </c>
      <c r="F4607" t="s">
        <v>1373</v>
      </c>
      <c r="G4607">
        <v>418</v>
      </c>
      <c r="H4607" t="s">
        <v>92</v>
      </c>
      <c r="I4607">
        <v>4</v>
      </c>
      <c r="J4607" t="s">
        <v>75</v>
      </c>
    </row>
    <row r="4608" spans="1:10" x14ac:dyDescent="0.25">
      <c r="A4608" t="s">
        <v>7354</v>
      </c>
      <c r="B4608">
        <f>115708.456137478*(1/100/100)</f>
        <v>11.570845613747801</v>
      </c>
      <c r="C4608">
        <v>51204</v>
      </c>
      <c r="D4608" t="s">
        <v>5854</v>
      </c>
      <c r="E4608">
        <v>41808</v>
      </c>
      <c r="F4608" t="s">
        <v>1363</v>
      </c>
      <c r="G4608">
        <v>418</v>
      </c>
      <c r="H4608" t="s">
        <v>92</v>
      </c>
      <c r="I4608">
        <v>4</v>
      </c>
      <c r="J4608" t="s">
        <v>75</v>
      </c>
    </row>
    <row r="4609" spans="1:10" x14ac:dyDescent="0.25">
      <c r="A4609" t="s">
        <v>7354</v>
      </c>
      <c r="B4609">
        <f>126522.285470175*(1/100/100)</f>
        <v>12.652228547017501</v>
      </c>
      <c r="C4609">
        <v>51205</v>
      </c>
      <c r="D4609" t="s">
        <v>1362</v>
      </c>
      <c r="E4609">
        <v>41807</v>
      </c>
      <c r="F4609" t="s">
        <v>1362</v>
      </c>
      <c r="G4609">
        <v>418</v>
      </c>
      <c r="H4609" t="s">
        <v>92</v>
      </c>
      <c r="I4609">
        <v>4</v>
      </c>
      <c r="J4609" t="s">
        <v>75</v>
      </c>
    </row>
    <row r="4610" spans="1:10" x14ac:dyDescent="0.25">
      <c r="A4610" t="s">
        <v>7354</v>
      </c>
      <c r="B4610">
        <f>73874.3927532043*(1/100/100)</f>
        <v>7.3874392753204301</v>
      </c>
      <c r="C4610">
        <v>51206</v>
      </c>
      <c r="D4610" t="s">
        <v>5853</v>
      </c>
      <c r="E4610">
        <v>41807</v>
      </c>
      <c r="F4610" t="s">
        <v>1362</v>
      </c>
      <c r="G4610">
        <v>418</v>
      </c>
      <c r="H4610" t="s">
        <v>92</v>
      </c>
      <c r="I4610">
        <v>4</v>
      </c>
      <c r="J4610" t="s">
        <v>75</v>
      </c>
    </row>
    <row r="4611" spans="1:10" x14ac:dyDescent="0.25">
      <c r="A4611" t="s">
        <v>7354</v>
      </c>
      <c r="B4611">
        <f>31786.3538605718*(1/100/100)</f>
        <v>3.1786353860571799</v>
      </c>
      <c r="C4611">
        <v>51207</v>
      </c>
      <c r="D4611" t="s">
        <v>5879</v>
      </c>
      <c r="E4611">
        <v>41824</v>
      </c>
      <c r="F4611" t="s">
        <v>1379</v>
      </c>
      <c r="G4611">
        <v>418</v>
      </c>
      <c r="H4611" t="s">
        <v>92</v>
      </c>
      <c r="I4611">
        <v>4</v>
      </c>
      <c r="J4611" t="s">
        <v>75</v>
      </c>
    </row>
    <row r="4612" spans="1:10" x14ac:dyDescent="0.25">
      <c r="A4612" t="s">
        <v>7354</v>
      </c>
      <c r="B4612">
        <f>77338.0708567748*(1/100/100)</f>
        <v>7.7338070856774799</v>
      </c>
      <c r="C4612">
        <v>51208</v>
      </c>
      <c r="D4612" t="s">
        <v>1042</v>
      </c>
      <c r="E4612">
        <v>41808</v>
      </c>
      <c r="F4612" t="s">
        <v>1363</v>
      </c>
      <c r="G4612">
        <v>418</v>
      </c>
      <c r="H4612" t="s">
        <v>92</v>
      </c>
      <c r="I4612">
        <v>4</v>
      </c>
      <c r="J4612" t="s">
        <v>75</v>
      </c>
    </row>
    <row r="4613" spans="1:10" x14ac:dyDescent="0.25">
      <c r="A4613" t="s">
        <v>7354</v>
      </c>
      <c r="B4613">
        <f>74792.6418737128*(1/100/100)</f>
        <v>7.47926418737128</v>
      </c>
      <c r="C4613">
        <v>51209</v>
      </c>
      <c r="D4613" t="s">
        <v>5856</v>
      </c>
      <c r="E4613">
        <v>41810</v>
      </c>
      <c r="F4613" t="s">
        <v>1365</v>
      </c>
      <c r="G4613">
        <v>418</v>
      </c>
      <c r="H4613" t="s">
        <v>92</v>
      </c>
      <c r="I4613">
        <v>4</v>
      </c>
      <c r="J4613" t="s">
        <v>75</v>
      </c>
    </row>
    <row r="4614" spans="1:10" x14ac:dyDescent="0.25">
      <c r="A4614" t="s">
        <v>7354</v>
      </c>
      <c r="B4614">
        <f>139986.101495224*(1/100/100)</f>
        <v>13.998610149522399</v>
      </c>
      <c r="C4614">
        <v>51210</v>
      </c>
      <c r="D4614" t="s">
        <v>1364</v>
      </c>
      <c r="E4614">
        <v>41809</v>
      </c>
      <c r="F4614" t="s">
        <v>1364</v>
      </c>
      <c r="G4614">
        <v>418</v>
      </c>
      <c r="H4614" t="s">
        <v>92</v>
      </c>
      <c r="I4614">
        <v>4</v>
      </c>
      <c r="J4614" t="s">
        <v>75</v>
      </c>
    </row>
    <row r="4615" spans="1:10" x14ac:dyDescent="0.25">
      <c r="A4615" t="s">
        <v>7354</v>
      </c>
      <c r="B4615">
        <f>78721.2345614909*(1/100/100)</f>
        <v>7.8721234561490903</v>
      </c>
      <c r="C4615">
        <v>51211</v>
      </c>
      <c r="D4615" t="s">
        <v>5846</v>
      </c>
      <c r="E4615">
        <v>41804</v>
      </c>
      <c r="F4615" t="s">
        <v>1359</v>
      </c>
      <c r="G4615">
        <v>418</v>
      </c>
      <c r="H4615" t="s">
        <v>92</v>
      </c>
      <c r="I4615">
        <v>4</v>
      </c>
      <c r="J4615" t="s">
        <v>75</v>
      </c>
    </row>
    <row r="4616" spans="1:10" x14ac:dyDescent="0.25">
      <c r="A4616" t="s">
        <v>7354</v>
      </c>
      <c r="B4616">
        <f>178444.20912783*(1/100/100)</f>
        <v>17.844420912783001</v>
      </c>
      <c r="C4616">
        <v>51212</v>
      </c>
      <c r="D4616" t="s">
        <v>5855</v>
      </c>
      <c r="E4616">
        <v>41808</v>
      </c>
      <c r="F4616" t="s">
        <v>1363</v>
      </c>
      <c r="G4616">
        <v>418</v>
      </c>
      <c r="H4616" t="s">
        <v>92</v>
      </c>
      <c r="I4616">
        <v>4</v>
      </c>
      <c r="J4616" t="s">
        <v>75</v>
      </c>
    </row>
    <row r="4617" spans="1:10" x14ac:dyDescent="0.25">
      <c r="A4617" t="s">
        <v>7354</v>
      </c>
      <c r="B4617">
        <f>65485.8792862642*(1/100/100)</f>
        <v>6.5485879286264206</v>
      </c>
      <c r="C4617">
        <v>51213</v>
      </c>
      <c r="D4617" t="s">
        <v>5152</v>
      </c>
      <c r="E4617">
        <v>41810</v>
      </c>
      <c r="F4617" t="s">
        <v>1365</v>
      </c>
      <c r="G4617">
        <v>418</v>
      </c>
      <c r="H4617" t="s">
        <v>92</v>
      </c>
      <c r="I4617">
        <v>4</v>
      </c>
      <c r="J4617" t="s">
        <v>75</v>
      </c>
    </row>
    <row r="4618" spans="1:10" x14ac:dyDescent="0.25">
      <c r="A4618" t="s">
        <v>7354</v>
      </c>
      <c r="B4618">
        <f>97923.2214826391*(1/100/100)</f>
        <v>9.79232214826391</v>
      </c>
      <c r="C4618">
        <v>51214</v>
      </c>
      <c r="D4618" t="s">
        <v>5868</v>
      </c>
      <c r="E4618">
        <v>41819</v>
      </c>
      <c r="F4618" t="s">
        <v>1374</v>
      </c>
      <c r="G4618">
        <v>418</v>
      </c>
      <c r="H4618" t="s">
        <v>92</v>
      </c>
      <c r="I4618">
        <v>4</v>
      </c>
      <c r="J4618" t="s">
        <v>75</v>
      </c>
    </row>
    <row r="4619" spans="1:10" x14ac:dyDescent="0.25">
      <c r="A4619" t="s">
        <v>7354</v>
      </c>
      <c r="B4619">
        <f>1127105.7623458*(1/100/100)</f>
        <v>112.71057623458</v>
      </c>
      <c r="C4619">
        <v>51215</v>
      </c>
      <c r="D4619" t="s">
        <v>945</v>
      </c>
      <c r="E4619">
        <v>40301</v>
      </c>
      <c r="F4619" t="s">
        <v>991</v>
      </c>
      <c r="G4619">
        <v>403</v>
      </c>
      <c r="H4619" t="s">
        <v>77</v>
      </c>
      <c r="I4619">
        <v>4</v>
      </c>
      <c r="J4619" t="s">
        <v>75</v>
      </c>
    </row>
    <row r="4620" spans="1:10" x14ac:dyDescent="0.25">
      <c r="A4620" t="s">
        <v>7354</v>
      </c>
      <c r="B4620">
        <f>1201228.06423383*(1/100/100)</f>
        <v>120.122806423383</v>
      </c>
      <c r="C4620">
        <v>51216</v>
      </c>
      <c r="D4620" t="s">
        <v>1367</v>
      </c>
      <c r="E4620">
        <v>41812</v>
      </c>
      <c r="F4620" t="s">
        <v>1367</v>
      </c>
      <c r="G4620">
        <v>418</v>
      </c>
      <c r="H4620" t="s">
        <v>92</v>
      </c>
      <c r="I4620">
        <v>4</v>
      </c>
      <c r="J4620" t="s">
        <v>75</v>
      </c>
    </row>
    <row r="4621" spans="1:10" x14ac:dyDescent="0.25">
      <c r="A4621" t="s">
        <v>7354</v>
      </c>
      <c r="B4621">
        <f>119345.427447862*(1/100/100)</f>
        <v>11.934542744786201</v>
      </c>
      <c r="C4621">
        <v>51217</v>
      </c>
      <c r="D4621" t="s">
        <v>5847</v>
      </c>
      <c r="E4621">
        <v>41804</v>
      </c>
      <c r="F4621" t="s">
        <v>1359</v>
      </c>
      <c r="G4621">
        <v>418</v>
      </c>
      <c r="H4621" t="s">
        <v>92</v>
      </c>
      <c r="I4621">
        <v>4</v>
      </c>
      <c r="J4621" t="s">
        <v>75</v>
      </c>
    </row>
    <row r="4622" spans="1:10" x14ac:dyDescent="0.25">
      <c r="A4622" t="s">
        <v>7354</v>
      </c>
      <c r="B4622">
        <f>228055.70214576*(1/100/100)</f>
        <v>22.805570214576001</v>
      </c>
      <c r="C4622">
        <v>51218</v>
      </c>
      <c r="D4622" t="s">
        <v>5157</v>
      </c>
      <c r="E4622">
        <v>40301</v>
      </c>
      <c r="F4622" t="s">
        <v>991</v>
      </c>
      <c r="G4622">
        <v>403</v>
      </c>
      <c r="H4622" t="s">
        <v>77</v>
      </c>
      <c r="I4622">
        <v>4</v>
      </c>
      <c r="J4622" t="s">
        <v>75</v>
      </c>
    </row>
    <row r="4623" spans="1:10" x14ac:dyDescent="0.25">
      <c r="A4623" t="s">
        <v>7354</v>
      </c>
      <c r="B4623">
        <f>141770.362905169*(1/100/100)</f>
        <v>14.177036290516901</v>
      </c>
      <c r="C4623">
        <v>51219</v>
      </c>
      <c r="D4623" t="s">
        <v>5848</v>
      </c>
      <c r="E4623">
        <v>41804</v>
      </c>
      <c r="F4623" t="s">
        <v>1359</v>
      </c>
      <c r="G4623">
        <v>418</v>
      </c>
      <c r="H4623" t="s">
        <v>92</v>
      </c>
      <c r="I4623">
        <v>4</v>
      </c>
      <c r="J4623" t="s">
        <v>75</v>
      </c>
    </row>
    <row r="4624" spans="1:10" x14ac:dyDescent="0.25">
      <c r="A4624" t="s">
        <v>7354</v>
      </c>
      <c r="B4624">
        <f>137146.05153427*(1/100/100)</f>
        <v>13.714605153427</v>
      </c>
      <c r="C4624">
        <v>51220</v>
      </c>
      <c r="D4624" t="s">
        <v>5876</v>
      </c>
      <c r="E4624">
        <v>41822</v>
      </c>
      <c r="F4624" t="s">
        <v>1377</v>
      </c>
      <c r="G4624">
        <v>418</v>
      </c>
      <c r="H4624" t="s">
        <v>92</v>
      </c>
      <c r="I4624">
        <v>4</v>
      </c>
      <c r="J4624" t="s">
        <v>75</v>
      </c>
    </row>
    <row r="4625" spans="1:10" x14ac:dyDescent="0.25">
      <c r="A4625" t="s">
        <v>7354</v>
      </c>
      <c r="B4625">
        <f>30824.275970872*(1/100/100)</f>
        <v>3.0824275970872002</v>
      </c>
      <c r="C4625">
        <v>51221</v>
      </c>
      <c r="D4625" t="s">
        <v>5863</v>
      </c>
      <c r="E4625">
        <v>41816</v>
      </c>
      <c r="F4625" t="s">
        <v>1371</v>
      </c>
      <c r="G4625">
        <v>418</v>
      </c>
      <c r="H4625" t="s">
        <v>92</v>
      </c>
      <c r="I4625">
        <v>4</v>
      </c>
      <c r="J4625" t="s">
        <v>75</v>
      </c>
    </row>
    <row r="4626" spans="1:10" x14ac:dyDescent="0.25">
      <c r="A4626" t="s">
        <v>7354</v>
      </c>
      <c r="B4626">
        <f>45089.0919851065*(1/100/100)</f>
        <v>4.5089091985106498</v>
      </c>
      <c r="C4626">
        <v>51222</v>
      </c>
      <c r="D4626" t="s">
        <v>5864</v>
      </c>
      <c r="E4626">
        <v>41816</v>
      </c>
      <c r="F4626" t="s">
        <v>1371</v>
      </c>
      <c r="G4626">
        <v>418</v>
      </c>
      <c r="H4626" t="s">
        <v>92</v>
      </c>
      <c r="I4626">
        <v>4</v>
      </c>
      <c r="J4626" t="s">
        <v>75</v>
      </c>
    </row>
    <row r="4627" spans="1:10" x14ac:dyDescent="0.25">
      <c r="A4627" t="s">
        <v>7354</v>
      </c>
      <c r="B4627">
        <f>157846.192909246*(1/100/100)</f>
        <v>15.784619290924599</v>
      </c>
      <c r="C4627">
        <v>51223</v>
      </c>
      <c r="D4627" t="s">
        <v>5878</v>
      </c>
      <c r="E4627">
        <v>41823</v>
      </c>
      <c r="F4627" t="s">
        <v>1378</v>
      </c>
      <c r="G4627">
        <v>418</v>
      </c>
      <c r="H4627" t="s">
        <v>92</v>
      </c>
      <c r="I4627">
        <v>4</v>
      </c>
      <c r="J4627" t="s">
        <v>75</v>
      </c>
    </row>
    <row r="4628" spans="1:10" x14ac:dyDescent="0.25">
      <c r="A4628" t="s">
        <v>7354</v>
      </c>
      <c r="B4628">
        <f>1303529.1778016*(1/100/100)</f>
        <v>130.35291778016</v>
      </c>
      <c r="C4628">
        <v>51224</v>
      </c>
      <c r="D4628" t="s">
        <v>5158</v>
      </c>
      <c r="E4628">
        <v>40301</v>
      </c>
      <c r="F4628" t="s">
        <v>991</v>
      </c>
      <c r="G4628">
        <v>403</v>
      </c>
      <c r="H4628" t="s">
        <v>77</v>
      </c>
      <c r="I4628">
        <v>4</v>
      </c>
      <c r="J4628" t="s">
        <v>75</v>
      </c>
    </row>
    <row r="4629" spans="1:10" x14ac:dyDescent="0.25">
      <c r="A4629" t="s">
        <v>7354</v>
      </c>
      <c r="B4629">
        <f>159006.834854147*(1/100/100)</f>
        <v>15.900683485414699</v>
      </c>
      <c r="C4629">
        <v>51225</v>
      </c>
      <c r="D4629" t="s">
        <v>1371</v>
      </c>
      <c r="E4629">
        <v>41816</v>
      </c>
      <c r="F4629" t="s">
        <v>1371</v>
      </c>
      <c r="G4629">
        <v>418</v>
      </c>
      <c r="H4629" t="s">
        <v>92</v>
      </c>
      <c r="I4629">
        <v>4</v>
      </c>
      <c r="J4629" t="s">
        <v>75</v>
      </c>
    </row>
    <row r="4630" spans="1:10" x14ac:dyDescent="0.25">
      <c r="A4630" t="s">
        <v>7354</v>
      </c>
      <c r="B4630">
        <f>476545.701459881*(1/100/100)</f>
        <v>47.654570145988103</v>
      </c>
      <c r="C4630">
        <v>51226</v>
      </c>
      <c r="D4630" t="s">
        <v>5159</v>
      </c>
      <c r="E4630">
        <v>40301</v>
      </c>
      <c r="F4630" t="s">
        <v>991</v>
      </c>
      <c r="G4630">
        <v>403</v>
      </c>
      <c r="H4630" t="s">
        <v>77</v>
      </c>
      <c r="I4630">
        <v>4</v>
      </c>
      <c r="J4630" t="s">
        <v>75</v>
      </c>
    </row>
    <row r="4631" spans="1:10" x14ac:dyDescent="0.25">
      <c r="A4631" t="s">
        <v>7354</v>
      </c>
      <c r="B4631">
        <f>53077.2610027228*(1/100/100)</f>
        <v>5.30772610027228</v>
      </c>
      <c r="C4631">
        <v>51227</v>
      </c>
      <c r="D4631" t="s">
        <v>2610</v>
      </c>
      <c r="E4631">
        <v>41804</v>
      </c>
      <c r="F4631" t="s">
        <v>1359</v>
      </c>
      <c r="G4631">
        <v>418</v>
      </c>
      <c r="H4631" t="s">
        <v>92</v>
      </c>
      <c r="I4631">
        <v>4</v>
      </c>
      <c r="J4631" t="s">
        <v>75</v>
      </c>
    </row>
    <row r="4632" spans="1:10" x14ac:dyDescent="0.25">
      <c r="A4632" t="s">
        <v>7354</v>
      </c>
      <c r="B4632">
        <f>535747.985623002*(1/100/100)</f>
        <v>53.574798562300209</v>
      </c>
      <c r="C4632">
        <v>51228</v>
      </c>
      <c r="D4632" t="s">
        <v>5867</v>
      </c>
      <c r="E4632">
        <v>41817</v>
      </c>
      <c r="F4632" t="s">
        <v>1372</v>
      </c>
      <c r="G4632">
        <v>418</v>
      </c>
      <c r="H4632" t="s">
        <v>92</v>
      </c>
      <c r="I4632">
        <v>4</v>
      </c>
      <c r="J4632" t="s">
        <v>75</v>
      </c>
    </row>
    <row r="4633" spans="1:10" x14ac:dyDescent="0.25">
      <c r="A4633" t="s">
        <v>7354</v>
      </c>
      <c r="B4633">
        <f>66049.5056795712*(1/100/100)</f>
        <v>6.6049505679571201</v>
      </c>
      <c r="C4633">
        <v>51229</v>
      </c>
      <c r="D4633" t="s">
        <v>1373</v>
      </c>
      <c r="E4633">
        <v>41818</v>
      </c>
      <c r="F4633" t="s">
        <v>1373</v>
      </c>
      <c r="G4633">
        <v>418</v>
      </c>
      <c r="H4633" t="s">
        <v>92</v>
      </c>
      <c r="I4633">
        <v>4</v>
      </c>
      <c r="J4633" t="s">
        <v>75</v>
      </c>
    </row>
    <row r="4634" spans="1:10" x14ac:dyDescent="0.25">
      <c r="A4634" t="s">
        <v>7354</v>
      </c>
      <c r="B4634">
        <f>203788.825961116*(1/100/100)</f>
        <v>20.378882596111602</v>
      </c>
      <c r="C4634">
        <v>51230</v>
      </c>
      <c r="D4634" t="s">
        <v>5857</v>
      </c>
      <c r="E4634">
        <v>41810</v>
      </c>
      <c r="F4634" t="s">
        <v>1365</v>
      </c>
      <c r="G4634">
        <v>418</v>
      </c>
      <c r="H4634" t="s">
        <v>92</v>
      </c>
      <c r="I4634">
        <v>4</v>
      </c>
      <c r="J4634" t="s">
        <v>75</v>
      </c>
    </row>
    <row r="4635" spans="1:10" x14ac:dyDescent="0.25">
      <c r="A4635" t="s">
        <v>7354</v>
      </c>
      <c r="B4635">
        <f>89290.2065668272*(1/100/100)</f>
        <v>8.9290206566827202</v>
      </c>
      <c r="C4635">
        <v>51231</v>
      </c>
      <c r="D4635" t="s">
        <v>5869</v>
      </c>
      <c r="E4635">
        <v>41819</v>
      </c>
      <c r="F4635" t="s">
        <v>1374</v>
      </c>
      <c r="G4635">
        <v>418</v>
      </c>
      <c r="H4635" t="s">
        <v>92</v>
      </c>
      <c r="I4635">
        <v>4</v>
      </c>
      <c r="J4635" t="s">
        <v>75</v>
      </c>
    </row>
    <row r="4636" spans="1:10" x14ac:dyDescent="0.25">
      <c r="A4636" t="s">
        <v>7354</v>
      </c>
      <c r="B4636">
        <f>51040.8422364401*(1/100/100)</f>
        <v>5.1040842236440103</v>
      </c>
      <c r="C4636">
        <v>51232</v>
      </c>
      <c r="D4636" t="s">
        <v>5880</v>
      </c>
      <c r="E4636">
        <v>41824</v>
      </c>
      <c r="F4636" t="s">
        <v>1379</v>
      </c>
      <c r="G4636">
        <v>418</v>
      </c>
      <c r="H4636" t="s">
        <v>92</v>
      </c>
      <c r="I4636">
        <v>4</v>
      </c>
      <c r="J4636" t="s">
        <v>75</v>
      </c>
    </row>
    <row r="4637" spans="1:10" x14ac:dyDescent="0.25">
      <c r="A4637" t="s">
        <v>7354</v>
      </c>
      <c r="B4637">
        <f>120734.157059656*(1/100/100)</f>
        <v>12.073415705965601</v>
      </c>
      <c r="C4637">
        <v>51233</v>
      </c>
      <c r="D4637" t="s">
        <v>1374</v>
      </c>
      <c r="E4637">
        <v>41819</v>
      </c>
      <c r="F4637" t="s">
        <v>1374</v>
      </c>
      <c r="G4637">
        <v>418</v>
      </c>
      <c r="H4637" t="s">
        <v>92</v>
      </c>
      <c r="I4637">
        <v>4</v>
      </c>
      <c r="J4637" t="s">
        <v>75</v>
      </c>
    </row>
    <row r="4638" spans="1:10" x14ac:dyDescent="0.25">
      <c r="A4638" t="s">
        <v>7354</v>
      </c>
      <c r="B4638">
        <f>234595.75925967*(1/100/100)</f>
        <v>23.459575925967002</v>
      </c>
      <c r="C4638">
        <v>51234</v>
      </c>
      <c r="D4638" t="s">
        <v>1377</v>
      </c>
      <c r="E4638">
        <v>41822</v>
      </c>
      <c r="F4638" t="s">
        <v>1377</v>
      </c>
      <c r="G4638">
        <v>418</v>
      </c>
      <c r="H4638" t="s">
        <v>92</v>
      </c>
      <c r="I4638">
        <v>4</v>
      </c>
      <c r="J4638" t="s">
        <v>75</v>
      </c>
    </row>
    <row r="4639" spans="1:10" x14ac:dyDescent="0.25">
      <c r="A4639" t="s">
        <v>7354</v>
      </c>
      <c r="B4639">
        <f>461818.046894262*(1/100/100)</f>
        <v>46.181804689426201</v>
      </c>
      <c r="C4639">
        <v>51235</v>
      </c>
      <c r="D4639" t="s">
        <v>3820</v>
      </c>
      <c r="E4639">
        <v>41808</v>
      </c>
      <c r="F4639" t="s">
        <v>1363</v>
      </c>
      <c r="G4639">
        <v>418</v>
      </c>
      <c r="H4639" t="s">
        <v>92</v>
      </c>
      <c r="I4639">
        <v>4</v>
      </c>
      <c r="J4639" t="s">
        <v>75</v>
      </c>
    </row>
    <row r="4640" spans="1:10" x14ac:dyDescent="0.25">
      <c r="A4640" t="s">
        <v>7354</v>
      </c>
      <c r="B4640">
        <f>41064.4645971233*(1/100/100)</f>
        <v>4.1064464597123296</v>
      </c>
      <c r="C4640">
        <v>51236</v>
      </c>
      <c r="D4640" t="s">
        <v>5865</v>
      </c>
      <c r="E4640">
        <v>41816</v>
      </c>
      <c r="F4640" t="s">
        <v>1371</v>
      </c>
      <c r="G4640">
        <v>418</v>
      </c>
      <c r="H4640" t="s">
        <v>92</v>
      </c>
      <c r="I4640">
        <v>4</v>
      </c>
      <c r="J4640" t="s">
        <v>75</v>
      </c>
    </row>
    <row r="4641" spans="1:10" x14ac:dyDescent="0.25">
      <c r="A4641" t="s">
        <v>7354</v>
      </c>
      <c r="B4641">
        <f>200477.226488038*(1/100/100)</f>
        <v>20.047722648803802</v>
      </c>
      <c r="C4641">
        <v>51237</v>
      </c>
      <c r="D4641" t="s">
        <v>4407</v>
      </c>
      <c r="E4641">
        <v>41823</v>
      </c>
      <c r="F4641" t="s">
        <v>1378</v>
      </c>
      <c r="G4641">
        <v>418</v>
      </c>
      <c r="H4641" t="s">
        <v>92</v>
      </c>
      <c r="I4641">
        <v>4</v>
      </c>
      <c r="J4641" t="s">
        <v>75</v>
      </c>
    </row>
    <row r="4642" spans="1:10" x14ac:dyDescent="0.25">
      <c r="A4642" t="s">
        <v>7354</v>
      </c>
      <c r="B4642">
        <f>218912.961387084*(1/100/100)</f>
        <v>21.891296138708402</v>
      </c>
      <c r="C4642">
        <v>51238</v>
      </c>
      <c r="D4642" t="s">
        <v>5160</v>
      </c>
      <c r="E4642">
        <v>40301</v>
      </c>
      <c r="F4642" t="s">
        <v>991</v>
      </c>
      <c r="G4642">
        <v>403</v>
      </c>
      <c r="H4642" t="s">
        <v>77</v>
      </c>
      <c r="I4642">
        <v>4</v>
      </c>
      <c r="J4642" t="s">
        <v>75</v>
      </c>
    </row>
    <row r="4643" spans="1:10" x14ac:dyDescent="0.25">
      <c r="A4643" t="s">
        <v>7354</v>
      </c>
      <c r="B4643">
        <f>62973.6013711348*(1/100/100)</f>
        <v>6.29736013711348</v>
      </c>
      <c r="C4643">
        <v>51239</v>
      </c>
      <c r="D4643" t="s">
        <v>5866</v>
      </c>
      <c r="E4643">
        <v>41816</v>
      </c>
      <c r="F4643" t="s">
        <v>1371</v>
      </c>
      <c r="G4643">
        <v>418</v>
      </c>
      <c r="H4643" t="s">
        <v>92</v>
      </c>
      <c r="I4643">
        <v>4</v>
      </c>
      <c r="J4643" t="s">
        <v>75</v>
      </c>
    </row>
    <row r="4644" spans="1:10" x14ac:dyDescent="0.25">
      <c r="A4644" t="s">
        <v>7354</v>
      </c>
      <c r="B4644">
        <f>63603.6053782382*(1/100/100)</f>
        <v>6.3603605378238202</v>
      </c>
      <c r="C4644">
        <v>51240</v>
      </c>
      <c r="D4644" t="s">
        <v>1206</v>
      </c>
      <c r="E4644">
        <v>41816</v>
      </c>
      <c r="F4644" t="s">
        <v>1371</v>
      </c>
      <c r="G4644">
        <v>418</v>
      </c>
      <c r="H4644" t="s">
        <v>92</v>
      </c>
      <c r="I4644">
        <v>4</v>
      </c>
      <c r="J4644" t="s">
        <v>75</v>
      </c>
    </row>
    <row r="4645" spans="1:10" x14ac:dyDescent="0.25">
      <c r="A4645" t="s">
        <v>7354</v>
      </c>
      <c r="B4645">
        <f>224924.816384835*(1/100/100)</f>
        <v>22.4924816384835</v>
      </c>
      <c r="C4645">
        <v>51241</v>
      </c>
      <c r="D4645" t="s">
        <v>5881</v>
      </c>
      <c r="E4645">
        <v>41824</v>
      </c>
      <c r="F4645" t="s">
        <v>1379</v>
      </c>
      <c r="G4645">
        <v>418</v>
      </c>
      <c r="H4645" t="s">
        <v>92</v>
      </c>
      <c r="I4645">
        <v>4</v>
      </c>
      <c r="J4645" t="s">
        <v>75</v>
      </c>
    </row>
    <row r="4646" spans="1:10" x14ac:dyDescent="0.25">
      <c r="A4646" t="s">
        <v>7354</v>
      </c>
      <c r="B4646">
        <f>1046196.25593751*(1/100/100)</f>
        <v>104.61962559375101</v>
      </c>
      <c r="C4646">
        <v>51242</v>
      </c>
      <c r="D4646" t="s">
        <v>991</v>
      </c>
      <c r="E4646">
        <v>40301</v>
      </c>
      <c r="F4646" t="s">
        <v>991</v>
      </c>
      <c r="G4646">
        <v>403</v>
      </c>
      <c r="H4646" t="s">
        <v>77</v>
      </c>
      <c r="I4646">
        <v>4</v>
      </c>
      <c r="J4646" t="s">
        <v>75</v>
      </c>
    </row>
    <row r="4647" spans="1:10" x14ac:dyDescent="0.25">
      <c r="A4647" t="s">
        <v>7354</v>
      </c>
      <c r="B4647">
        <f>99847.2241333408*(1/100/100)</f>
        <v>9.9847224133340813</v>
      </c>
      <c r="C4647">
        <v>51243</v>
      </c>
      <c r="D4647" t="s">
        <v>5882</v>
      </c>
      <c r="E4647">
        <v>41824</v>
      </c>
      <c r="F4647" t="s">
        <v>1379</v>
      </c>
      <c r="G4647">
        <v>418</v>
      </c>
      <c r="H4647" t="s">
        <v>92</v>
      </c>
      <c r="I4647">
        <v>4</v>
      </c>
      <c r="J4647" t="s">
        <v>75</v>
      </c>
    </row>
    <row r="4648" spans="1:10" x14ac:dyDescent="0.25">
      <c r="A4648" t="s">
        <v>146</v>
      </c>
      <c r="B4648">
        <f>203162.190236586*(1/100/100)</f>
        <v>20.316219023658601</v>
      </c>
      <c r="C4648">
        <v>55001</v>
      </c>
      <c r="D4648" t="s">
        <v>5988</v>
      </c>
      <c r="E4648">
        <v>50403</v>
      </c>
      <c r="F4648" t="s">
        <v>1431</v>
      </c>
      <c r="G4648">
        <v>504</v>
      </c>
      <c r="H4648" t="s">
        <v>97</v>
      </c>
      <c r="I4648">
        <v>5</v>
      </c>
      <c r="J4648" t="s">
        <v>93</v>
      </c>
    </row>
    <row r="4649" spans="1:10" x14ac:dyDescent="0.25">
      <c r="A4649" t="s">
        <v>146</v>
      </c>
      <c r="B4649">
        <f>237031.168432667*(1/100/100)</f>
        <v>23.703116843266702</v>
      </c>
      <c r="C4649">
        <v>55002</v>
      </c>
      <c r="D4649" t="s">
        <v>1430</v>
      </c>
      <c r="E4649">
        <v>50402</v>
      </c>
      <c r="F4649" t="s">
        <v>1430</v>
      </c>
      <c r="G4649">
        <v>504</v>
      </c>
      <c r="H4649" t="s">
        <v>97</v>
      </c>
      <c r="I4649">
        <v>5</v>
      </c>
      <c r="J4649" t="s">
        <v>93</v>
      </c>
    </row>
    <row r="4650" spans="1:10" x14ac:dyDescent="0.25">
      <c r="A4650" t="s">
        <v>146</v>
      </c>
      <c r="B4650">
        <f>141328.605620821*(1/100/100)</f>
        <v>14.132860562082101</v>
      </c>
      <c r="C4650">
        <v>55003</v>
      </c>
      <c r="D4650" t="s">
        <v>5989</v>
      </c>
      <c r="E4650">
        <v>50403</v>
      </c>
      <c r="F4650" t="s">
        <v>1431</v>
      </c>
      <c r="G4650">
        <v>504</v>
      </c>
      <c r="H4650" t="s">
        <v>97</v>
      </c>
      <c r="I4650">
        <v>5</v>
      </c>
      <c r="J4650" t="s">
        <v>93</v>
      </c>
    </row>
    <row r="4651" spans="1:10" x14ac:dyDescent="0.25">
      <c r="A4651" t="s">
        <v>146</v>
      </c>
      <c r="B4651">
        <f>88039.26009459*(1/100/100)</f>
        <v>8.8039260094590013</v>
      </c>
      <c r="C4651">
        <v>55004</v>
      </c>
      <c r="D4651" t="s">
        <v>1433</v>
      </c>
      <c r="E4651">
        <v>50405</v>
      </c>
      <c r="F4651" t="s">
        <v>1433</v>
      </c>
      <c r="G4651">
        <v>504</v>
      </c>
      <c r="H4651" t="s">
        <v>97</v>
      </c>
      <c r="I4651">
        <v>5</v>
      </c>
      <c r="J4651" t="s">
        <v>93</v>
      </c>
    </row>
    <row r="4652" spans="1:10" x14ac:dyDescent="0.25">
      <c r="A4652" t="s">
        <v>146</v>
      </c>
      <c r="B4652">
        <f>48288.4835381589*(1/100/100)</f>
        <v>4.8288483538158902</v>
      </c>
      <c r="C4652">
        <v>55005</v>
      </c>
      <c r="D4652" t="s">
        <v>3280</v>
      </c>
      <c r="E4652">
        <v>50402</v>
      </c>
      <c r="F4652" t="s">
        <v>1430</v>
      </c>
      <c r="G4652">
        <v>504</v>
      </c>
      <c r="H4652" t="s">
        <v>97</v>
      </c>
      <c r="I4652">
        <v>5</v>
      </c>
      <c r="J4652" t="s">
        <v>93</v>
      </c>
    </row>
    <row r="4653" spans="1:10" x14ac:dyDescent="0.25">
      <c r="A4653" t="s">
        <v>146</v>
      </c>
      <c r="B4653">
        <f>68120.1273978713*(1/100/100)</f>
        <v>6.8120127397871304</v>
      </c>
      <c r="C4653">
        <v>55006</v>
      </c>
      <c r="D4653" t="s">
        <v>5985</v>
      </c>
      <c r="E4653">
        <v>50402</v>
      </c>
      <c r="F4653" t="s">
        <v>1430</v>
      </c>
      <c r="G4653">
        <v>504</v>
      </c>
      <c r="H4653" t="s">
        <v>97</v>
      </c>
      <c r="I4653">
        <v>5</v>
      </c>
      <c r="J4653" t="s">
        <v>93</v>
      </c>
    </row>
    <row r="4654" spans="1:10" x14ac:dyDescent="0.25">
      <c r="A4654" t="s">
        <v>146</v>
      </c>
      <c r="B4654">
        <f>73358.3721329588*(1/100/100)</f>
        <v>7.3358372132958802</v>
      </c>
      <c r="C4654">
        <v>55007</v>
      </c>
      <c r="D4654" t="s">
        <v>5992</v>
      </c>
      <c r="E4654">
        <v>50405</v>
      </c>
      <c r="F4654" t="s">
        <v>1433</v>
      </c>
      <c r="G4654">
        <v>504</v>
      </c>
      <c r="H4654" t="s">
        <v>97</v>
      </c>
      <c r="I4654">
        <v>5</v>
      </c>
      <c r="J4654" t="s">
        <v>93</v>
      </c>
    </row>
    <row r="4655" spans="1:10" x14ac:dyDescent="0.25">
      <c r="A4655" t="s">
        <v>146</v>
      </c>
      <c r="B4655">
        <f>49040.7247127352*(1/100/100)</f>
        <v>4.9040724712735209</v>
      </c>
      <c r="C4655">
        <v>55008</v>
      </c>
      <c r="D4655" t="s">
        <v>5990</v>
      </c>
      <c r="E4655">
        <v>50403</v>
      </c>
      <c r="F4655" t="s">
        <v>1431</v>
      </c>
      <c r="G4655">
        <v>504</v>
      </c>
      <c r="H4655" t="s">
        <v>97</v>
      </c>
      <c r="I4655">
        <v>5</v>
      </c>
      <c r="J4655" t="s">
        <v>93</v>
      </c>
    </row>
    <row r="4656" spans="1:10" x14ac:dyDescent="0.25">
      <c r="A4656" t="s">
        <v>146</v>
      </c>
      <c r="B4656">
        <f>144147.412244734*(1/100/100)</f>
        <v>14.414741224473401</v>
      </c>
      <c r="C4656">
        <v>55009</v>
      </c>
      <c r="D4656" t="s">
        <v>5986</v>
      </c>
      <c r="E4656">
        <v>50402</v>
      </c>
      <c r="F4656" t="s">
        <v>1430</v>
      </c>
      <c r="G4656">
        <v>504</v>
      </c>
      <c r="H4656" t="s">
        <v>97</v>
      </c>
      <c r="I4656">
        <v>5</v>
      </c>
      <c r="J4656" t="s">
        <v>93</v>
      </c>
    </row>
    <row r="4657" spans="1:10" x14ac:dyDescent="0.25">
      <c r="A4657" t="s">
        <v>146</v>
      </c>
      <c r="B4657">
        <f>74240.9840792134*(1/100/100)</f>
        <v>7.424098407921341</v>
      </c>
      <c r="C4657">
        <v>55010</v>
      </c>
      <c r="D4657" t="s">
        <v>5987</v>
      </c>
      <c r="E4657">
        <v>50402</v>
      </c>
      <c r="F4657" t="s">
        <v>1430</v>
      </c>
      <c r="G4657">
        <v>504</v>
      </c>
      <c r="H4657" t="s">
        <v>97</v>
      </c>
      <c r="I4657">
        <v>5</v>
      </c>
      <c r="J4657" t="s">
        <v>93</v>
      </c>
    </row>
    <row r="4658" spans="1:10" x14ac:dyDescent="0.25">
      <c r="A4658" t="s">
        <v>146</v>
      </c>
      <c r="B4658">
        <f>49175.9723929958*(1/100/100)</f>
        <v>4.9175972392995799</v>
      </c>
      <c r="C4658">
        <v>55101</v>
      </c>
      <c r="D4658" t="s">
        <v>2056</v>
      </c>
      <c r="E4658">
        <v>50411</v>
      </c>
      <c r="F4658" t="s">
        <v>1439</v>
      </c>
      <c r="G4658">
        <v>504</v>
      </c>
      <c r="H4658" t="s">
        <v>97</v>
      </c>
      <c r="I4658">
        <v>5</v>
      </c>
      <c r="J4658" t="s">
        <v>93</v>
      </c>
    </row>
    <row r="4659" spans="1:10" x14ac:dyDescent="0.25">
      <c r="A4659" t="s">
        <v>146</v>
      </c>
      <c r="B4659">
        <f>47728.5547593769*(1/100/100)</f>
        <v>4.77285547593769</v>
      </c>
      <c r="C4659">
        <v>55102</v>
      </c>
      <c r="D4659" t="s">
        <v>1955</v>
      </c>
      <c r="E4659">
        <v>50411</v>
      </c>
      <c r="F4659" t="s">
        <v>1439</v>
      </c>
      <c r="G4659">
        <v>504</v>
      </c>
      <c r="H4659" t="s">
        <v>97</v>
      </c>
      <c r="I4659">
        <v>5</v>
      </c>
      <c r="J4659" t="s">
        <v>93</v>
      </c>
    </row>
    <row r="4660" spans="1:10" x14ac:dyDescent="0.25">
      <c r="A4660" t="s">
        <v>146</v>
      </c>
      <c r="B4660">
        <f>74185.2981583083*(1/100/100)</f>
        <v>7.4185298158308308</v>
      </c>
      <c r="C4660">
        <v>55103</v>
      </c>
      <c r="D4660" t="s">
        <v>3507</v>
      </c>
      <c r="E4660">
        <v>50410</v>
      </c>
      <c r="F4660" t="s">
        <v>1438</v>
      </c>
      <c r="G4660">
        <v>504</v>
      </c>
      <c r="H4660" t="s">
        <v>97</v>
      </c>
      <c r="I4660">
        <v>5</v>
      </c>
      <c r="J4660" t="s">
        <v>93</v>
      </c>
    </row>
    <row r="4661" spans="1:10" x14ac:dyDescent="0.25">
      <c r="A4661" t="s">
        <v>146</v>
      </c>
      <c r="B4661">
        <f>43766.6741977258*(1/100/100)</f>
        <v>4.3766674197725797</v>
      </c>
      <c r="C4661">
        <v>55104</v>
      </c>
      <c r="D4661" t="s">
        <v>5297</v>
      </c>
      <c r="E4661">
        <v>50411</v>
      </c>
      <c r="F4661" t="s">
        <v>1439</v>
      </c>
      <c r="G4661">
        <v>504</v>
      </c>
      <c r="H4661" t="s">
        <v>97</v>
      </c>
      <c r="I4661">
        <v>5</v>
      </c>
      <c r="J4661" t="s">
        <v>93</v>
      </c>
    </row>
    <row r="4662" spans="1:10" x14ac:dyDescent="0.25">
      <c r="A4662" t="s">
        <v>146</v>
      </c>
      <c r="B4662">
        <f>69823.6406099549*(1/100/100)</f>
        <v>6.9823640609954909</v>
      </c>
      <c r="C4662">
        <v>55105</v>
      </c>
      <c r="D4662" t="s">
        <v>6010</v>
      </c>
      <c r="E4662">
        <v>50418</v>
      </c>
      <c r="F4662" t="s">
        <v>97</v>
      </c>
      <c r="G4662">
        <v>504</v>
      </c>
      <c r="H4662" t="s">
        <v>97</v>
      </c>
      <c r="I4662">
        <v>5</v>
      </c>
      <c r="J4662" t="s">
        <v>93</v>
      </c>
    </row>
    <row r="4663" spans="1:10" x14ac:dyDescent="0.25">
      <c r="A4663" t="s">
        <v>146</v>
      </c>
      <c r="B4663">
        <f>20267.0372995864*(1/100/100)</f>
        <v>2.0267037299586401</v>
      </c>
      <c r="C4663">
        <v>55106</v>
      </c>
      <c r="D4663" t="s">
        <v>6011</v>
      </c>
      <c r="E4663">
        <v>50418</v>
      </c>
      <c r="F4663" t="s">
        <v>97</v>
      </c>
      <c r="G4663">
        <v>504</v>
      </c>
      <c r="H4663" t="s">
        <v>97</v>
      </c>
      <c r="I4663">
        <v>5</v>
      </c>
      <c r="J4663" t="s">
        <v>93</v>
      </c>
    </row>
    <row r="4664" spans="1:10" x14ac:dyDescent="0.25">
      <c r="A4664" t="s">
        <v>146</v>
      </c>
      <c r="B4664">
        <f>5368.35427730252*(1/100/100)</f>
        <v>0.53683542773025206</v>
      </c>
      <c r="C4664">
        <v>55107</v>
      </c>
      <c r="D4664" t="s">
        <v>6012</v>
      </c>
      <c r="E4664">
        <v>50418</v>
      </c>
      <c r="F4664" t="s">
        <v>97</v>
      </c>
      <c r="G4664">
        <v>504</v>
      </c>
      <c r="H4664" t="s">
        <v>97</v>
      </c>
      <c r="I4664">
        <v>5</v>
      </c>
      <c r="J4664" t="s">
        <v>93</v>
      </c>
    </row>
    <row r="4665" spans="1:10" x14ac:dyDescent="0.25">
      <c r="A4665" t="s">
        <v>146</v>
      </c>
      <c r="B4665">
        <f>83789.719655736*(1/100/100)</f>
        <v>8.3789719655735997</v>
      </c>
      <c r="C4665">
        <v>55108</v>
      </c>
      <c r="D4665" t="s">
        <v>1438</v>
      </c>
      <c r="E4665">
        <v>50410</v>
      </c>
      <c r="F4665" t="s">
        <v>1438</v>
      </c>
      <c r="G4665">
        <v>504</v>
      </c>
      <c r="H4665" t="s">
        <v>97</v>
      </c>
      <c r="I4665">
        <v>5</v>
      </c>
      <c r="J4665" t="s">
        <v>93</v>
      </c>
    </row>
    <row r="4666" spans="1:10" x14ac:dyDescent="0.25">
      <c r="A4666" t="s">
        <v>146</v>
      </c>
      <c r="B4666">
        <f>112308.240570697*(1/100/100)</f>
        <v>11.2308240570697</v>
      </c>
      <c r="C4666">
        <v>55109</v>
      </c>
      <c r="D4666" t="s">
        <v>1439</v>
      </c>
      <c r="E4666">
        <v>50411</v>
      </c>
      <c r="F4666" t="s">
        <v>1439</v>
      </c>
      <c r="G4666">
        <v>504</v>
      </c>
      <c r="H4666" t="s">
        <v>97</v>
      </c>
      <c r="I4666">
        <v>5</v>
      </c>
      <c r="J4666" t="s">
        <v>93</v>
      </c>
    </row>
    <row r="4667" spans="1:10" x14ac:dyDescent="0.25">
      <c r="A4667" t="s">
        <v>146</v>
      </c>
      <c r="B4667">
        <f>13263.2790820877*(1/100/100)</f>
        <v>1.32632790820877</v>
      </c>
      <c r="C4667">
        <v>55110</v>
      </c>
      <c r="D4667" t="s">
        <v>6013</v>
      </c>
      <c r="E4667">
        <v>50418</v>
      </c>
      <c r="F4667" t="s">
        <v>97</v>
      </c>
      <c r="G4667">
        <v>504</v>
      </c>
      <c r="H4667" t="s">
        <v>97</v>
      </c>
      <c r="I4667">
        <v>5</v>
      </c>
      <c r="J4667" t="s">
        <v>93</v>
      </c>
    </row>
    <row r="4668" spans="1:10" x14ac:dyDescent="0.25">
      <c r="A4668" t="s">
        <v>146</v>
      </c>
      <c r="B4668">
        <f>8625.43279154713*(1/100/100)</f>
        <v>0.86254327915471296</v>
      </c>
      <c r="C4668">
        <v>55111</v>
      </c>
      <c r="D4668" t="s">
        <v>6002</v>
      </c>
      <c r="E4668">
        <v>50414</v>
      </c>
      <c r="F4668" t="s">
        <v>1442</v>
      </c>
      <c r="G4668">
        <v>504</v>
      </c>
      <c r="H4668" t="s">
        <v>97</v>
      </c>
      <c r="I4668">
        <v>5</v>
      </c>
      <c r="J4668" t="s">
        <v>93</v>
      </c>
    </row>
    <row r="4669" spans="1:10" x14ac:dyDescent="0.25">
      <c r="A4669" t="s">
        <v>146</v>
      </c>
      <c r="B4669">
        <f>100047.787185731*(1/100/100)</f>
        <v>10.0047787185731</v>
      </c>
      <c r="C4669">
        <v>55112</v>
      </c>
      <c r="D4669" t="s">
        <v>3766</v>
      </c>
      <c r="E4669">
        <v>50423</v>
      </c>
      <c r="F4669" t="s">
        <v>1450</v>
      </c>
      <c r="G4669">
        <v>504</v>
      </c>
      <c r="H4669" t="s">
        <v>97</v>
      </c>
      <c r="I4669">
        <v>5</v>
      </c>
      <c r="J4669" t="s">
        <v>93</v>
      </c>
    </row>
    <row r="4670" spans="1:10" x14ac:dyDescent="0.25">
      <c r="A4670" t="s">
        <v>146</v>
      </c>
      <c r="B4670">
        <f>88054.1329538871*(1/100/100)</f>
        <v>8.8054132953887105</v>
      </c>
      <c r="C4670">
        <v>55113</v>
      </c>
      <c r="D4670" t="s">
        <v>6025</v>
      </c>
      <c r="E4670">
        <v>50423</v>
      </c>
      <c r="F4670" t="s">
        <v>1450</v>
      </c>
      <c r="G4670">
        <v>504</v>
      </c>
      <c r="H4670" t="s">
        <v>97</v>
      </c>
      <c r="I4670">
        <v>5</v>
      </c>
      <c r="J4670" t="s">
        <v>93</v>
      </c>
    </row>
    <row r="4671" spans="1:10" x14ac:dyDescent="0.25">
      <c r="A4671" t="s">
        <v>146</v>
      </c>
      <c r="B4671">
        <f>51690.9838932198*(1/100/100)</f>
        <v>5.1690983893219808</v>
      </c>
      <c r="C4671">
        <v>55114</v>
      </c>
      <c r="D4671" t="s">
        <v>1441</v>
      </c>
      <c r="E4671">
        <v>50413</v>
      </c>
      <c r="F4671" t="s">
        <v>1441</v>
      </c>
      <c r="G4671">
        <v>504</v>
      </c>
      <c r="H4671" t="s">
        <v>97</v>
      </c>
      <c r="I4671">
        <v>5</v>
      </c>
      <c r="J4671" t="s">
        <v>93</v>
      </c>
    </row>
    <row r="4672" spans="1:10" x14ac:dyDescent="0.25">
      <c r="A4672" t="s">
        <v>146</v>
      </c>
      <c r="B4672">
        <f>22392.3548098059*(1/100/100)</f>
        <v>2.2392354809805899</v>
      </c>
      <c r="C4672">
        <v>55115</v>
      </c>
      <c r="D4672" t="s">
        <v>6001</v>
      </c>
      <c r="E4672">
        <v>50413</v>
      </c>
      <c r="F4672" t="s">
        <v>1441</v>
      </c>
      <c r="G4672">
        <v>504</v>
      </c>
      <c r="H4672" t="s">
        <v>97</v>
      </c>
      <c r="I4672">
        <v>5</v>
      </c>
      <c r="J4672" t="s">
        <v>93</v>
      </c>
    </row>
    <row r="4673" spans="1:10" x14ac:dyDescent="0.25">
      <c r="A4673" t="s">
        <v>146</v>
      </c>
      <c r="B4673">
        <f>17734.3911329788*(1/100/100)</f>
        <v>1.77343911329788</v>
      </c>
      <c r="C4673">
        <v>55116</v>
      </c>
      <c r="D4673" t="s">
        <v>4345</v>
      </c>
      <c r="E4673">
        <v>50420</v>
      </c>
      <c r="F4673" t="s">
        <v>1447</v>
      </c>
      <c r="G4673">
        <v>504</v>
      </c>
      <c r="H4673" t="s">
        <v>97</v>
      </c>
      <c r="I4673">
        <v>5</v>
      </c>
      <c r="J4673" t="s">
        <v>93</v>
      </c>
    </row>
    <row r="4674" spans="1:10" x14ac:dyDescent="0.25">
      <c r="A4674" t="s">
        <v>146</v>
      </c>
      <c r="B4674">
        <f>27694.6207446309*(1/100/100)</f>
        <v>2.7694620744630902</v>
      </c>
      <c r="C4674">
        <v>55117</v>
      </c>
      <c r="D4674" t="s">
        <v>3985</v>
      </c>
      <c r="E4674">
        <v>50420</v>
      </c>
      <c r="F4674" t="s">
        <v>1447</v>
      </c>
      <c r="G4674">
        <v>504</v>
      </c>
      <c r="H4674" t="s">
        <v>97</v>
      </c>
      <c r="I4674">
        <v>5</v>
      </c>
      <c r="J4674" t="s">
        <v>93</v>
      </c>
    </row>
    <row r="4675" spans="1:10" x14ac:dyDescent="0.25">
      <c r="A4675" t="s">
        <v>146</v>
      </c>
      <c r="B4675">
        <f>56218.085820849*(1/100/100)</f>
        <v>5.6218085820849009</v>
      </c>
      <c r="C4675">
        <v>55118</v>
      </c>
      <c r="D4675" t="s">
        <v>6014</v>
      </c>
      <c r="E4675">
        <v>50418</v>
      </c>
      <c r="F4675" t="s">
        <v>97</v>
      </c>
      <c r="G4675">
        <v>504</v>
      </c>
      <c r="H4675" t="s">
        <v>97</v>
      </c>
      <c r="I4675">
        <v>5</v>
      </c>
      <c r="J4675" t="s">
        <v>93</v>
      </c>
    </row>
    <row r="4676" spans="1:10" x14ac:dyDescent="0.25">
      <c r="A4676" t="s">
        <v>146</v>
      </c>
      <c r="B4676">
        <f>91276.101752913*(1/100/100)</f>
        <v>9.1276101752913004</v>
      </c>
      <c r="C4676">
        <v>55119</v>
      </c>
      <c r="D4676" t="s">
        <v>6003</v>
      </c>
      <c r="E4676">
        <v>50414</v>
      </c>
      <c r="F4676" t="s">
        <v>1442</v>
      </c>
      <c r="G4676">
        <v>504</v>
      </c>
      <c r="H4676" t="s">
        <v>97</v>
      </c>
      <c r="I4676">
        <v>5</v>
      </c>
      <c r="J4676" t="s">
        <v>93</v>
      </c>
    </row>
    <row r="4677" spans="1:10" x14ac:dyDescent="0.25">
      <c r="A4677" t="s">
        <v>146</v>
      </c>
      <c r="B4677">
        <f>4064.92847451369*(1/100/100)</f>
        <v>0.40649284745136904</v>
      </c>
      <c r="C4677">
        <v>55120</v>
      </c>
      <c r="D4677" t="s">
        <v>6021</v>
      </c>
      <c r="E4677">
        <v>50420</v>
      </c>
      <c r="F4677" t="s">
        <v>1447</v>
      </c>
      <c r="G4677">
        <v>504</v>
      </c>
      <c r="H4677" t="s">
        <v>97</v>
      </c>
      <c r="I4677">
        <v>5</v>
      </c>
      <c r="J4677" t="s">
        <v>93</v>
      </c>
    </row>
    <row r="4678" spans="1:10" x14ac:dyDescent="0.25">
      <c r="A4678" t="s">
        <v>146</v>
      </c>
      <c r="B4678">
        <f>146879.627951248*(1/100/100)</f>
        <v>14.6879627951248</v>
      </c>
      <c r="C4678">
        <v>55121</v>
      </c>
      <c r="D4678" t="s">
        <v>6015</v>
      </c>
      <c r="E4678">
        <v>50418</v>
      </c>
      <c r="F4678" t="s">
        <v>97</v>
      </c>
      <c r="G4678">
        <v>504</v>
      </c>
      <c r="H4678" t="s">
        <v>97</v>
      </c>
      <c r="I4678">
        <v>5</v>
      </c>
      <c r="J4678" t="s">
        <v>93</v>
      </c>
    </row>
    <row r="4679" spans="1:10" x14ac:dyDescent="0.25">
      <c r="A4679" t="s">
        <v>146</v>
      </c>
      <c r="B4679">
        <f>160888.242637368*(1/100/100)</f>
        <v>16.0888242637368</v>
      </c>
      <c r="C4679">
        <v>55122</v>
      </c>
      <c r="D4679" t="s">
        <v>6016</v>
      </c>
      <c r="E4679">
        <v>50418</v>
      </c>
      <c r="F4679" t="s">
        <v>97</v>
      </c>
      <c r="G4679">
        <v>504</v>
      </c>
      <c r="H4679" t="s">
        <v>97</v>
      </c>
      <c r="I4679">
        <v>5</v>
      </c>
      <c r="J4679" t="s">
        <v>93</v>
      </c>
    </row>
    <row r="4680" spans="1:10" x14ac:dyDescent="0.25">
      <c r="A4680" t="s">
        <v>146</v>
      </c>
      <c r="B4680">
        <f>59785.4853971147*(1/100/100)</f>
        <v>5.9785485397114702</v>
      </c>
      <c r="C4680">
        <v>55123</v>
      </c>
      <c r="D4680" t="s">
        <v>6017</v>
      </c>
      <c r="E4680">
        <v>50418</v>
      </c>
      <c r="F4680" t="s">
        <v>97</v>
      </c>
      <c r="G4680">
        <v>504</v>
      </c>
      <c r="H4680" t="s">
        <v>97</v>
      </c>
      <c r="I4680">
        <v>5</v>
      </c>
      <c r="J4680" t="s">
        <v>93</v>
      </c>
    </row>
    <row r="4681" spans="1:10" x14ac:dyDescent="0.25">
      <c r="A4681" t="s">
        <v>146</v>
      </c>
      <c r="B4681">
        <f>214503.28214474*(1/100/100)</f>
        <v>21.450328214473998</v>
      </c>
      <c r="C4681">
        <v>55124</v>
      </c>
      <c r="D4681" t="s">
        <v>6018</v>
      </c>
      <c r="E4681">
        <v>50418</v>
      </c>
      <c r="F4681" t="s">
        <v>97</v>
      </c>
      <c r="G4681">
        <v>504</v>
      </c>
      <c r="H4681" t="s">
        <v>97</v>
      </c>
      <c r="I4681">
        <v>5</v>
      </c>
      <c r="J4681" t="s">
        <v>93</v>
      </c>
    </row>
    <row r="4682" spans="1:10" x14ac:dyDescent="0.25">
      <c r="A4682" t="s">
        <v>146</v>
      </c>
      <c r="B4682">
        <f>80684.2648615166*(1/100/100)</f>
        <v>8.0684264861516599</v>
      </c>
      <c r="C4682">
        <v>55125</v>
      </c>
      <c r="D4682" t="s">
        <v>5611</v>
      </c>
      <c r="E4682">
        <v>50420</v>
      </c>
      <c r="F4682" t="s">
        <v>1447</v>
      </c>
      <c r="G4682">
        <v>504</v>
      </c>
      <c r="H4682" t="s">
        <v>97</v>
      </c>
      <c r="I4682">
        <v>5</v>
      </c>
      <c r="J4682" t="s">
        <v>93</v>
      </c>
    </row>
    <row r="4683" spans="1:10" x14ac:dyDescent="0.25">
      <c r="A4683" t="s">
        <v>146</v>
      </c>
      <c r="B4683">
        <f>41251.2382501827*(1/100/100)</f>
        <v>4.12512382501827</v>
      </c>
      <c r="C4683">
        <v>55126</v>
      </c>
      <c r="D4683" t="s">
        <v>5998</v>
      </c>
      <c r="E4683">
        <v>50411</v>
      </c>
      <c r="F4683" t="s">
        <v>1439</v>
      </c>
      <c r="G4683">
        <v>504</v>
      </c>
      <c r="H4683" t="s">
        <v>97</v>
      </c>
      <c r="I4683">
        <v>5</v>
      </c>
      <c r="J4683" t="s">
        <v>93</v>
      </c>
    </row>
    <row r="4684" spans="1:10" x14ac:dyDescent="0.25">
      <c r="A4684" t="s">
        <v>146</v>
      </c>
      <c r="B4684">
        <f>101416.874596357*(1/100/100)</f>
        <v>10.141687459635699</v>
      </c>
      <c r="C4684">
        <v>55127</v>
      </c>
      <c r="D4684" t="s">
        <v>6026</v>
      </c>
      <c r="E4684">
        <v>50423</v>
      </c>
      <c r="F4684" t="s">
        <v>1450</v>
      </c>
      <c r="G4684">
        <v>504</v>
      </c>
      <c r="H4684" t="s">
        <v>97</v>
      </c>
      <c r="I4684">
        <v>5</v>
      </c>
      <c r="J4684" t="s">
        <v>93</v>
      </c>
    </row>
    <row r="4685" spans="1:10" x14ac:dyDescent="0.25">
      <c r="A4685" t="s">
        <v>146</v>
      </c>
      <c r="B4685">
        <f>180212.112298337*(1/100/100)</f>
        <v>18.0212112298337</v>
      </c>
      <c r="C4685">
        <v>55128</v>
      </c>
      <c r="D4685" t="s">
        <v>6024</v>
      </c>
      <c r="E4685">
        <v>50421</v>
      </c>
      <c r="F4685" t="s">
        <v>1448</v>
      </c>
      <c r="G4685">
        <v>504</v>
      </c>
      <c r="H4685" t="s">
        <v>97</v>
      </c>
      <c r="I4685">
        <v>5</v>
      </c>
      <c r="J4685" t="s">
        <v>93</v>
      </c>
    </row>
    <row r="4686" spans="1:10" x14ac:dyDescent="0.25">
      <c r="A4686" t="s">
        <v>146</v>
      </c>
      <c r="B4686">
        <f>123413.232254854*(1/100/100)</f>
        <v>12.3413232254854</v>
      </c>
      <c r="C4686">
        <v>55129</v>
      </c>
      <c r="D4686" t="s">
        <v>6022</v>
      </c>
      <c r="E4686">
        <v>50420</v>
      </c>
      <c r="F4686" t="s">
        <v>1447</v>
      </c>
      <c r="G4686">
        <v>504</v>
      </c>
      <c r="H4686" t="s">
        <v>97</v>
      </c>
      <c r="I4686">
        <v>5</v>
      </c>
      <c r="J4686" t="s">
        <v>93</v>
      </c>
    </row>
    <row r="4687" spans="1:10" x14ac:dyDescent="0.25">
      <c r="A4687" t="s">
        <v>146</v>
      </c>
      <c r="B4687">
        <f>15823.0448789813*(1/100/100)</f>
        <v>1.5823044878981301</v>
      </c>
      <c r="C4687">
        <v>55130</v>
      </c>
      <c r="D4687" t="s">
        <v>1918</v>
      </c>
      <c r="E4687">
        <v>50413</v>
      </c>
      <c r="F4687" t="s">
        <v>1441</v>
      </c>
      <c r="G4687">
        <v>504</v>
      </c>
      <c r="H4687" t="s">
        <v>97</v>
      </c>
      <c r="I4687">
        <v>5</v>
      </c>
      <c r="J4687" t="s">
        <v>93</v>
      </c>
    </row>
    <row r="4688" spans="1:10" x14ac:dyDescent="0.25">
      <c r="A4688" t="s">
        <v>146</v>
      </c>
      <c r="B4688">
        <f>73907.6744365387*(1/100/100)</f>
        <v>7.3907674436538704</v>
      </c>
      <c r="C4688">
        <v>55131</v>
      </c>
      <c r="D4688" t="s">
        <v>5903</v>
      </c>
      <c r="E4688">
        <v>50411</v>
      </c>
      <c r="F4688" t="s">
        <v>1439</v>
      </c>
      <c r="G4688">
        <v>504</v>
      </c>
      <c r="H4688" t="s">
        <v>97</v>
      </c>
      <c r="I4688">
        <v>5</v>
      </c>
      <c r="J4688" t="s">
        <v>93</v>
      </c>
    </row>
    <row r="4689" spans="1:10" x14ac:dyDescent="0.25">
      <c r="A4689" t="s">
        <v>146</v>
      </c>
      <c r="B4689">
        <f>38171.095877393*(1/100/100)</f>
        <v>3.8171095877393006</v>
      </c>
      <c r="C4689">
        <v>55132</v>
      </c>
      <c r="D4689" t="s">
        <v>6023</v>
      </c>
      <c r="E4689">
        <v>50420</v>
      </c>
      <c r="F4689" t="s">
        <v>1447</v>
      </c>
      <c r="G4689">
        <v>504</v>
      </c>
      <c r="H4689" t="s">
        <v>97</v>
      </c>
      <c r="I4689">
        <v>5</v>
      </c>
      <c r="J4689" t="s">
        <v>93</v>
      </c>
    </row>
    <row r="4690" spans="1:10" x14ac:dyDescent="0.25">
      <c r="A4690" t="s">
        <v>146</v>
      </c>
      <c r="B4690">
        <f>57440.5867454131*(1/100/100)</f>
        <v>5.7440586745413107</v>
      </c>
      <c r="C4690">
        <v>55133</v>
      </c>
      <c r="D4690" t="s">
        <v>6019</v>
      </c>
      <c r="E4690">
        <v>50418</v>
      </c>
      <c r="F4690" t="s">
        <v>97</v>
      </c>
      <c r="G4690">
        <v>504</v>
      </c>
      <c r="H4690" t="s">
        <v>97</v>
      </c>
      <c r="I4690">
        <v>5</v>
      </c>
      <c r="J4690" t="s">
        <v>93</v>
      </c>
    </row>
    <row r="4691" spans="1:10" x14ac:dyDescent="0.25">
      <c r="A4691" t="s">
        <v>146</v>
      </c>
      <c r="B4691">
        <f>30996.1377747789*(1/100/100)</f>
        <v>3.0996137774778902</v>
      </c>
      <c r="C4691">
        <v>55134</v>
      </c>
      <c r="D4691" t="s">
        <v>6027</v>
      </c>
      <c r="E4691">
        <v>50423</v>
      </c>
      <c r="F4691" t="s">
        <v>1450</v>
      </c>
      <c r="G4691">
        <v>504</v>
      </c>
      <c r="H4691" t="s">
        <v>97</v>
      </c>
      <c r="I4691">
        <v>5</v>
      </c>
      <c r="J4691" t="s">
        <v>93</v>
      </c>
    </row>
    <row r="4692" spans="1:10" x14ac:dyDescent="0.25">
      <c r="A4692" t="s">
        <v>146</v>
      </c>
      <c r="B4692">
        <f>37628.5817619958*(1/100/100)</f>
        <v>3.7628581761995807</v>
      </c>
      <c r="C4692">
        <v>55135</v>
      </c>
      <c r="D4692" t="s">
        <v>1450</v>
      </c>
      <c r="E4692">
        <v>50423</v>
      </c>
      <c r="F4692" t="s">
        <v>1450</v>
      </c>
      <c r="G4692">
        <v>504</v>
      </c>
      <c r="H4692" t="s">
        <v>97</v>
      </c>
      <c r="I4692">
        <v>5</v>
      </c>
      <c r="J4692" t="s">
        <v>93</v>
      </c>
    </row>
    <row r="4693" spans="1:10" x14ac:dyDescent="0.25">
      <c r="A4693" t="s">
        <v>146</v>
      </c>
      <c r="B4693">
        <f>68543.404021008*(1/100/100)</f>
        <v>6.8543404021008003</v>
      </c>
      <c r="C4693">
        <v>55136</v>
      </c>
      <c r="D4693" t="s">
        <v>5241</v>
      </c>
      <c r="E4693">
        <v>50410</v>
      </c>
      <c r="F4693" t="s">
        <v>1438</v>
      </c>
      <c r="G4693">
        <v>504</v>
      </c>
      <c r="H4693" t="s">
        <v>97</v>
      </c>
      <c r="I4693">
        <v>5</v>
      </c>
      <c r="J4693" t="s">
        <v>93</v>
      </c>
    </row>
    <row r="4694" spans="1:10" x14ac:dyDescent="0.25">
      <c r="A4694" t="s">
        <v>146</v>
      </c>
      <c r="B4694">
        <f>261543.223513496*(1/100/100)</f>
        <v>26.154322351349599</v>
      </c>
      <c r="C4694">
        <v>55301</v>
      </c>
      <c r="D4694" t="s">
        <v>2535</v>
      </c>
      <c r="E4694">
        <v>50401</v>
      </c>
      <c r="F4694" t="s">
        <v>1429</v>
      </c>
      <c r="G4694">
        <v>504</v>
      </c>
      <c r="H4694" t="s">
        <v>97</v>
      </c>
      <c r="I4694">
        <v>5</v>
      </c>
      <c r="J4694" t="s">
        <v>93</v>
      </c>
    </row>
    <row r="4695" spans="1:10" x14ac:dyDescent="0.25">
      <c r="A4695" t="s">
        <v>146</v>
      </c>
      <c r="B4695">
        <f>23593.5340635402*(1/100/100)</f>
        <v>2.3593534063540198</v>
      </c>
      <c r="C4695">
        <v>55302</v>
      </c>
      <c r="D4695" t="s">
        <v>5999</v>
      </c>
      <c r="E4695">
        <v>50412</v>
      </c>
      <c r="F4695" t="s">
        <v>1440</v>
      </c>
      <c r="G4695">
        <v>504</v>
      </c>
      <c r="H4695" t="s">
        <v>97</v>
      </c>
      <c r="I4695">
        <v>5</v>
      </c>
      <c r="J4695" t="s">
        <v>93</v>
      </c>
    </row>
    <row r="4696" spans="1:10" x14ac:dyDescent="0.25">
      <c r="A4696" t="s">
        <v>146</v>
      </c>
      <c r="B4696">
        <f>111205.063668033*(1/100/100)</f>
        <v>11.120506366803301</v>
      </c>
      <c r="C4696">
        <v>55303</v>
      </c>
      <c r="D4696" t="s">
        <v>1434</v>
      </c>
      <c r="E4696">
        <v>50406</v>
      </c>
      <c r="F4696" t="s">
        <v>1434</v>
      </c>
      <c r="G4696">
        <v>504</v>
      </c>
      <c r="H4696" t="s">
        <v>97</v>
      </c>
      <c r="I4696">
        <v>5</v>
      </c>
      <c r="J4696" t="s">
        <v>93</v>
      </c>
    </row>
    <row r="4697" spans="1:10" x14ac:dyDescent="0.25">
      <c r="A4697" t="s">
        <v>146</v>
      </c>
      <c r="B4697">
        <f>161231.642695216*(1/100/100)</f>
        <v>16.123164269521599</v>
      </c>
      <c r="C4697">
        <v>55304</v>
      </c>
      <c r="D4697" t="s">
        <v>5995</v>
      </c>
      <c r="E4697">
        <v>50408</v>
      </c>
      <c r="F4697" t="s">
        <v>1436</v>
      </c>
      <c r="G4697">
        <v>504</v>
      </c>
      <c r="H4697" t="s">
        <v>97</v>
      </c>
      <c r="I4697">
        <v>5</v>
      </c>
      <c r="J4697" t="s">
        <v>93</v>
      </c>
    </row>
    <row r="4698" spans="1:10" x14ac:dyDescent="0.25">
      <c r="A4698" t="s">
        <v>146</v>
      </c>
      <c r="B4698">
        <f>86304.31900037*(1/100/100)</f>
        <v>8.6304319000370011</v>
      </c>
      <c r="C4698">
        <v>55305</v>
      </c>
      <c r="D4698" t="s">
        <v>1435</v>
      </c>
      <c r="E4698">
        <v>50407</v>
      </c>
      <c r="F4698" t="s">
        <v>1435</v>
      </c>
      <c r="G4698">
        <v>504</v>
      </c>
      <c r="H4698" t="s">
        <v>97</v>
      </c>
      <c r="I4698">
        <v>5</v>
      </c>
      <c r="J4698" t="s">
        <v>93</v>
      </c>
    </row>
    <row r="4699" spans="1:10" x14ac:dyDescent="0.25">
      <c r="A4699" t="s">
        <v>146</v>
      </c>
      <c r="B4699">
        <f>133729.243252727*(1/100/100)</f>
        <v>13.372924325272701</v>
      </c>
      <c r="C4699">
        <v>55306</v>
      </c>
      <c r="D4699" t="s">
        <v>1436</v>
      </c>
      <c r="E4699">
        <v>50408</v>
      </c>
      <c r="F4699" t="s">
        <v>1436</v>
      </c>
      <c r="G4699">
        <v>504</v>
      </c>
      <c r="H4699" t="s">
        <v>97</v>
      </c>
      <c r="I4699">
        <v>5</v>
      </c>
      <c r="J4699" t="s">
        <v>93</v>
      </c>
    </row>
    <row r="4700" spans="1:10" x14ac:dyDescent="0.25">
      <c r="A4700" t="s">
        <v>146</v>
      </c>
      <c r="B4700">
        <f>73440.9730064386*(1/100/100)</f>
        <v>7.3440973006438597</v>
      </c>
      <c r="C4700">
        <v>55307</v>
      </c>
      <c r="D4700" t="s">
        <v>1437</v>
      </c>
      <c r="E4700">
        <v>50409</v>
      </c>
      <c r="F4700" t="s">
        <v>1437</v>
      </c>
      <c r="G4700">
        <v>504</v>
      </c>
      <c r="H4700" t="s">
        <v>97</v>
      </c>
      <c r="I4700">
        <v>5</v>
      </c>
      <c r="J4700" t="s">
        <v>93</v>
      </c>
    </row>
    <row r="4701" spans="1:10" x14ac:dyDescent="0.25">
      <c r="A4701" t="s">
        <v>146</v>
      </c>
      <c r="B4701">
        <f>77317.8380164519*(1/100/100)</f>
        <v>7.7317838016451912</v>
      </c>
      <c r="C4701">
        <v>55308</v>
      </c>
      <c r="D4701" t="s">
        <v>5993</v>
      </c>
      <c r="E4701">
        <v>50406</v>
      </c>
      <c r="F4701" t="s">
        <v>1434</v>
      </c>
      <c r="G4701">
        <v>504</v>
      </c>
      <c r="H4701" t="s">
        <v>97</v>
      </c>
      <c r="I4701">
        <v>5</v>
      </c>
      <c r="J4701" t="s">
        <v>93</v>
      </c>
    </row>
    <row r="4702" spans="1:10" x14ac:dyDescent="0.25">
      <c r="A4702" t="s">
        <v>146</v>
      </c>
      <c r="B4702">
        <f>54075.8657272329*(1/100/100)</f>
        <v>5.4075865727232904</v>
      </c>
      <c r="C4702">
        <v>55309</v>
      </c>
      <c r="D4702" t="s">
        <v>5996</v>
      </c>
      <c r="E4702">
        <v>50408</v>
      </c>
      <c r="F4702" t="s">
        <v>1436</v>
      </c>
      <c r="G4702">
        <v>504</v>
      </c>
      <c r="H4702" t="s">
        <v>97</v>
      </c>
      <c r="I4702">
        <v>5</v>
      </c>
      <c r="J4702" t="s">
        <v>93</v>
      </c>
    </row>
    <row r="4703" spans="1:10" x14ac:dyDescent="0.25">
      <c r="A4703" t="s">
        <v>146</v>
      </c>
      <c r="B4703">
        <f>76979.8710189134*(1/100/100)</f>
        <v>7.6979871018913402</v>
      </c>
      <c r="C4703">
        <v>55310</v>
      </c>
      <c r="D4703" t="s">
        <v>6006</v>
      </c>
      <c r="E4703">
        <v>50417</v>
      </c>
      <c r="F4703" t="s">
        <v>1445</v>
      </c>
      <c r="G4703">
        <v>504</v>
      </c>
      <c r="H4703" t="s">
        <v>97</v>
      </c>
      <c r="I4703">
        <v>5</v>
      </c>
      <c r="J4703" t="s">
        <v>93</v>
      </c>
    </row>
    <row r="4704" spans="1:10" x14ac:dyDescent="0.25">
      <c r="A4704" t="s">
        <v>146</v>
      </c>
      <c r="B4704">
        <f>35969.0919742584*(1/100/100)</f>
        <v>3.5969091974258403</v>
      </c>
      <c r="C4704">
        <v>55311</v>
      </c>
      <c r="D4704" t="s">
        <v>1440</v>
      </c>
      <c r="E4704">
        <v>50412</v>
      </c>
      <c r="F4704" t="s">
        <v>1440</v>
      </c>
      <c r="G4704">
        <v>504</v>
      </c>
      <c r="H4704" t="s">
        <v>97</v>
      </c>
      <c r="I4704">
        <v>5</v>
      </c>
      <c r="J4704" t="s">
        <v>93</v>
      </c>
    </row>
    <row r="4705" spans="1:10" x14ac:dyDescent="0.25">
      <c r="A4705" t="s">
        <v>146</v>
      </c>
      <c r="B4705">
        <f>54916.5782137421*(1/100/100)</f>
        <v>5.4916578213742104</v>
      </c>
      <c r="C4705">
        <v>55312</v>
      </c>
      <c r="D4705" t="s">
        <v>6020</v>
      </c>
      <c r="E4705">
        <v>50419</v>
      </c>
      <c r="F4705" t="s">
        <v>1446</v>
      </c>
      <c r="G4705">
        <v>504</v>
      </c>
      <c r="H4705" t="s">
        <v>97</v>
      </c>
      <c r="I4705">
        <v>5</v>
      </c>
      <c r="J4705" t="s">
        <v>93</v>
      </c>
    </row>
    <row r="4706" spans="1:10" x14ac:dyDescent="0.25">
      <c r="A4706" t="s">
        <v>146</v>
      </c>
      <c r="B4706">
        <f>70293.994215917*(1/100/100)</f>
        <v>7.0293994215917008</v>
      </c>
      <c r="C4706">
        <v>55313</v>
      </c>
      <c r="D4706" t="s">
        <v>6007</v>
      </c>
      <c r="E4706">
        <v>50417</v>
      </c>
      <c r="F4706" t="s">
        <v>1445</v>
      </c>
      <c r="G4706">
        <v>504</v>
      </c>
      <c r="H4706" t="s">
        <v>97</v>
      </c>
      <c r="I4706">
        <v>5</v>
      </c>
      <c r="J4706" t="s">
        <v>93</v>
      </c>
    </row>
    <row r="4707" spans="1:10" x14ac:dyDescent="0.25">
      <c r="A4707" t="s">
        <v>146</v>
      </c>
      <c r="B4707">
        <f>50657.3887233193*(1/100/100)</f>
        <v>5.0657388723319308</v>
      </c>
      <c r="C4707">
        <v>55314</v>
      </c>
      <c r="D4707" t="s">
        <v>6008</v>
      </c>
      <c r="E4707">
        <v>50417</v>
      </c>
      <c r="F4707" t="s">
        <v>1445</v>
      </c>
      <c r="G4707">
        <v>504</v>
      </c>
      <c r="H4707" t="s">
        <v>97</v>
      </c>
      <c r="I4707">
        <v>5</v>
      </c>
      <c r="J4707" t="s">
        <v>93</v>
      </c>
    </row>
    <row r="4708" spans="1:10" x14ac:dyDescent="0.25">
      <c r="A4708" t="s">
        <v>146</v>
      </c>
      <c r="B4708">
        <f>76209.2529087685*(1/100/100)</f>
        <v>7.6209252908768503</v>
      </c>
      <c r="C4708">
        <v>55315</v>
      </c>
      <c r="D4708" t="s">
        <v>2147</v>
      </c>
      <c r="E4708">
        <v>50407</v>
      </c>
      <c r="F4708" t="s">
        <v>1435</v>
      </c>
      <c r="G4708">
        <v>504</v>
      </c>
      <c r="H4708" t="s">
        <v>97</v>
      </c>
      <c r="I4708">
        <v>5</v>
      </c>
      <c r="J4708" t="s">
        <v>93</v>
      </c>
    </row>
    <row r="4709" spans="1:10" x14ac:dyDescent="0.25">
      <c r="A4709" t="s">
        <v>146</v>
      </c>
      <c r="B4709">
        <f>109264.342284084*(1/100/100)</f>
        <v>10.926434228408402</v>
      </c>
      <c r="C4709">
        <v>55316</v>
      </c>
      <c r="D4709" t="s">
        <v>5983</v>
      </c>
      <c r="E4709">
        <v>50401</v>
      </c>
      <c r="F4709" t="s">
        <v>1429</v>
      </c>
      <c r="G4709">
        <v>504</v>
      </c>
      <c r="H4709" t="s">
        <v>97</v>
      </c>
      <c r="I4709">
        <v>5</v>
      </c>
      <c r="J4709" t="s">
        <v>93</v>
      </c>
    </row>
    <row r="4710" spans="1:10" x14ac:dyDescent="0.25">
      <c r="A4710" t="s">
        <v>146</v>
      </c>
      <c r="B4710">
        <f>155784.882920234*(1/100/100)</f>
        <v>15.578488292023401</v>
      </c>
      <c r="C4710">
        <v>55317</v>
      </c>
      <c r="D4710" t="s">
        <v>1445</v>
      </c>
      <c r="E4710">
        <v>50417</v>
      </c>
      <c r="F4710" t="s">
        <v>1445</v>
      </c>
      <c r="G4710">
        <v>504</v>
      </c>
      <c r="H4710" t="s">
        <v>97</v>
      </c>
      <c r="I4710">
        <v>5</v>
      </c>
      <c r="J4710" t="s">
        <v>93</v>
      </c>
    </row>
    <row r="4711" spans="1:10" x14ac:dyDescent="0.25">
      <c r="A4711" t="s">
        <v>146</v>
      </c>
      <c r="B4711">
        <f>88352.2775665302*(1/100/100)</f>
        <v>8.8352277566530208</v>
      </c>
      <c r="C4711">
        <v>55318</v>
      </c>
      <c r="D4711" t="s">
        <v>5997</v>
      </c>
      <c r="E4711">
        <v>50408</v>
      </c>
      <c r="F4711" t="s">
        <v>1436</v>
      </c>
      <c r="G4711">
        <v>504</v>
      </c>
      <c r="H4711" t="s">
        <v>97</v>
      </c>
      <c r="I4711">
        <v>5</v>
      </c>
      <c r="J4711" t="s">
        <v>93</v>
      </c>
    </row>
    <row r="4712" spans="1:10" x14ac:dyDescent="0.25">
      <c r="A4712" t="s">
        <v>146</v>
      </c>
      <c r="B4712">
        <f>87933.7045034721*(1/100/100)</f>
        <v>8.7933704503472097</v>
      </c>
      <c r="C4712">
        <v>55319</v>
      </c>
      <c r="D4712" t="s">
        <v>2218</v>
      </c>
      <c r="E4712">
        <v>50419</v>
      </c>
      <c r="F4712" t="s">
        <v>1446</v>
      </c>
      <c r="G4712">
        <v>504</v>
      </c>
      <c r="H4712" t="s">
        <v>97</v>
      </c>
      <c r="I4712">
        <v>5</v>
      </c>
      <c r="J4712" t="s">
        <v>93</v>
      </c>
    </row>
    <row r="4713" spans="1:10" x14ac:dyDescent="0.25">
      <c r="A4713" t="s">
        <v>146</v>
      </c>
      <c r="B4713">
        <f>25522.2966726208*(1/100/100)</f>
        <v>2.5522296672620799</v>
      </c>
      <c r="C4713">
        <v>55320</v>
      </c>
      <c r="D4713" t="s">
        <v>5994</v>
      </c>
      <c r="E4713">
        <v>50406</v>
      </c>
      <c r="F4713" t="s">
        <v>1434</v>
      </c>
      <c r="G4713">
        <v>504</v>
      </c>
      <c r="H4713" t="s">
        <v>97</v>
      </c>
      <c r="I4713">
        <v>5</v>
      </c>
      <c r="J4713" t="s">
        <v>93</v>
      </c>
    </row>
    <row r="4714" spans="1:10" x14ac:dyDescent="0.25">
      <c r="A4714" t="s">
        <v>146</v>
      </c>
      <c r="B4714">
        <f>87409.5014327739*(1/100/100)</f>
        <v>8.7409501432773915</v>
      </c>
      <c r="C4714">
        <v>55321</v>
      </c>
      <c r="D4714" t="s">
        <v>6009</v>
      </c>
      <c r="E4714">
        <v>50417</v>
      </c>
      <c r="F4714" t="s">
        <v>1445</v>
      </c>
      <c r="G4714">
        <v>504</v>
      </c>
      <c r="H4714" t="s">
        <v>97</v>
      </c>
      <c r="I4714">
        <v>5</v>
      </c>
      <c r="J4714" t="s">
        <v>93</v>
      </c>
    </row>
    <row r="4715" spans="1:10" x14ac:dyDescent="0.25">
      <c r="A4715" t="s">
        <v>146</v>
      </c>
      <c r="B4715">
        <f>49675.6359464276*(1/100/100)</f>
        <v>4.9675635946427601</v>
      </c>
      <c r="C4715">
        <v>55322</v>
      </c>
      <c r="D4715" t="s">
        <v>5984</v>
      </c>
      <c r="E4715">
        <v>50401</v>
      </c>
      <c r="F4715" t="s">
        <v>1429</v>
      </c>
      <c r="G4715">
        <v>504</v>
      </c>
      <c r="H4715" t="s">
        <v>97</v>
      </c>
      <c r="I4715">
        <v>5</v>
      </c>
      <c r="J4715" t="s">
        <v>93</v>
      </c>
    </row>
    <row r="4716" spans="1:10" x14ac:dyDescent="0.25">
      <c r="A4716" t="s">
        <v>146</v>
      </c>
      <c r="B4716">
        <f>55859.4976305789*(1/100/100)</f>
        <v>5.5859497630578909</v>
      </c>
      <c r="C4716">
        <v>55323</v>
      </c>
      <c r="D4716" t="s">
        <v>2607</v>
      </c>
      <c r="E4716">
        <v>50412</v>
      </c>
      <c r="F4716" t="s">
        <v>1440</v>
      </c>
      <c r="G4716">
        <v>504</v>
      </c>
      <c r="H4716" t="s">
        <v>97</v>
      </c>
      <c r="I4716">
        <v>5</v>
      </c>
      <c r="J4716" t="s">
        <v>93</v>
      </c>
    </row>
    <row r="4717" spans="1:10" x14ac:dyDescent="0.25">
      <c r="A4717" t="s">
        <v>146</v>
      </c>
      <c r="B4717">
        <f>15831.7857521177*(1/100/100)</f>
        <v>1.58317857521177</v>
      </c>
      <c r="C4717">
        <v>55324</v>
      </c>
      <c r="D4717" t="s">
        <v>6000</v>
      </c>
      <c r="E4717">
        <v>50412</v>
      </c>
      <c r="F4717" t="s">
        <v>1440</v>
      </c>
      <c r="G4717">
        <v>504</v>
      </c>
      <c r="H4717" t="s">
        <v>97</v>
      </c>
      <c r="I4717">
        <v>5</v>
      </c>
      <c r="J4717" t="s">
        <v>93</v>
      </c>
    </row>
    <row r="4718" spans="1:10" x14ac:dyDescent="0.25">
      <c r="A4718" t="s">
        <v>146</v>
      </c>
      <c r="B4718">
        <f>137281.102203883*(1/100/100)</f>
        <v>13.728110220388301</v>
      </c>
      <c r="C4718">
        <v>55325</v>
      </c>
      <c r="D4718" t="s">
        <v>1449</v>
      </c>
      <c r="E4718">
        <v>50422</v>
      </c>
      <c r="F4718" t="s">
        <v>1449</v>
      </c>
      <c r="G4718">
        <v>504</v>
      </c>
      <c r="H4718" t="s">
        <v>97</v>
      </c>
      <c r="I4718">
        <v>5</v>
      </c>
      <c r="J4718" t="s">
        <v>93</v>
      </c>
    </row>
    <row r="4719" spans="1:10" x14ac:dyDescent="0.25">
      <c r="A4719" t="s">
        <v>146</v>
      </c>
      <c r="B4719">
        <f>376432.461686078*(1/100/100)</f>
        <v>37.643246168607803</v>
      </c>
      <c r="C4719">
        <v>55501</v>
      </c>
      <c r="D4719" t="s">
        <v>1432</v>
      </c>
      <c r="E4719">
        <v>50404</v>
      </c>
      <c r="F4719" t="s">
        <v>1432</v>
      </c>
      <c r="G4719">
        <v>504</v>
      </c>
      <c r="H4719" t="s">
        <v>97</v>
      </c>
      <c r="I4719">
        <v>5</v>
      </c>
      <c r="J4719" t="s">
        <v>93</v>
      </c>
    </row>
    <row r="4720" spans="1:10" x14ac:dyDescent="0.25">
      <c r="A4720" t="s">
        <v>146</v>
      </c>
      <c r="B4720">
        <f>63543.4621064573*(1/100/100)</f>
        <v>6.3543462106457307</v>
      </c>
      <c r="C4720">
        <v>55502</v>
      </c>
      <c r="D4720" t="s">
        <v>3507</v>
      </c>
      <c r="E4720">
        <v>50404</v>
      </c>
      <c r="F4720" t="s">
        <v>1432</v>
      </c>
      <c r="G4720">
        <v>504</v>
      </c>
      <c r="H4720" t="s">
        <v>97</v>
      </c>
      <c r="I4720">
        <v>5</v>
      </c>
      <c r="J4720" t="s">
        <v>93</v>
      </c>
    </row>
    <row r="4721" spans="1:10" x14ac:dyDescent="0.25">
      <c r="A4721" t="s">
        <v>146</v>
      </c>
      <c r="B4721">
        <f>107959.189835161*(1/100/100)</f>
        <v>10.795918983516101</v>
      </c>
      <c r="C4721">
        <v>55503</v>
      </c>
      <c r="D4721" t="s">
        <v>6005</v>
      </c>
      <c r="E4721">
        <v>50416</v>
      </c>
      <c r="F4721" t="s">
        <v>1444</v>
      </c>
      <c r="G4721">
        <v>504</v>
      </c>
      <c r="H4721" t="s">
        <v>97</v>
      </c>
      <c r="I4721">
        <v>5</v>
      </c>
      <c r="J4721" t="s">
        <v>93</v>
      </c>
    </row>
    <row r="4722" spans="1:10" x14ac:dyDescent="0.25">
      <c r="A4722" t="s">
        <v>146</v>
      </c>
      <c r="B4722">
        <f>100332.013043328*(1/100/100)</f>
        <v>10.033201304332801</v>
      </c>
      <c r="C4722">
        <v>55504</v>
      </c>
      <c r="D4722" t="s">
        <v>3069</v>
      </c>
      <c r="E4722">
        <v>50416</v>
      </c>
      <c r="F4722" t="s">
        <v>1444</v>
      </c>
      <c r="G4722">
        <v>504</v>
      </c>
      <c r="H4722" t="s">
        <v>97</v>
      </c>
      <c r="I4722">
        <v>5</v>
      </c>
      <c r="J4722" t="s">
        <v>93</v>
      </c>
    </row>
    <row r="4723" spans="1:10" x14ac:dyDescent="0.25">
      <c r="A4723" t="s">
        <v>146</v>
      </c>
      <c r="B4723">
        <f>118446.00872948*(1/100/100)</f>
        <v>11.844600872948002</v>
      </c>
      <c r="C4723">
        <v>55505</v>
      </c>
      <c r="D4723" t="s">
        <v>5991</v>
      </c>
      <c r="E4723">
        <v>50404</v>
      </c>
      <c r="F4723" t="s">
        <v>1432</v>
      </c>
      <c r="G4723">
        <v>504</v>
      </c>
      <c r="H4723" t="s">
        <v>97</v>
      </c>
      <c r="I4723">
        <v>5</v>
      </c>
      <c r="J4723" t="s">
        <v>93</v>
      </c>
    </row>
    <row r="4724" spans="1:10" x14ac:dyDescent="0.25">
      <c r="A4724" t="s">
        <v>146</v>
      </c>
      <c r="B4724">
        <f>90668.0226192611*(1/100/100)</f>
        <v>9.0668022619261102</v>
      </c>
      <c r="C4724">
        <v>55506</v>
      </c>
      <c r="D4724" t="s">
        <v>6028</v>
      </c>
      <c r="E4724">
        <v>50424</v>
      </c>
      <c r="F4724" t="s">
        <v>1451</v>
      </c>
      <c r="G4724">
        <v>504</v>
      </c>
      <c r="H4724" t="s">
        <v>97</v>
      </c>
      <c r="I4724">
        <v>5</v>
      </c>
      <c r="J4724" t="s">
        <v>93</v>
      </c>
    </row>
    <row r="4725" spans="1:10" x14ac:dyDescent="0.25">
      <c r="A4725" t="s">
        <v>146</v>
      </c>
      <c r="B4725">
        <f>123600.607843536*(1/100/100)</f>
        <v>12.3600607843536</v>
      </c>
      <c r="C4725">
        <v>55507</v>
      </c>
      <c r="D4725" t="s">
        <v>2662</v>
      </c>
      <c r="E4725">
        <v>50415</v>
      </c>
      <c r="F4725" t="s">
        <v>1443</v>
      </c>
      <c r="G4725">
        <v>504</v>
      </c>
      <c r="H4725" t="s">
        <v>97</v>
      </c>
      <c r="I4725">
        <v>5</v>
      </c>
      <c r="J4725" t="s">
        <v>93</v>
      </c>
    </row>
    <row r="4726" spans="1:10" x14ac:dyDescent="0.25">
      <c r="A4726" t="s">
        <v>146</v>
      </c>
      <c r="B4726">
        <f>44220.9467747401*(1/100/100)</f>
        <v>4.4220946774740097</v>
      </c>
      <c r="C4726">
        <v>55508</v>
      </c>
      <c r="D4726" t="s">
        <v>6029</v>
      </c>
      <c r="E4726">
        <v>50424</v>
      </c>
      <c r="F4726" t="s">
        <v>1451</v>
      </c>
      <c r="G4726">
        <v>504</v>
      </c>
      <c r="H4726" t="s">
        <v>97</v>
      </c>
      <c r="I4726">
        <v>5</v>
      </c>
      <c r="J4726" t="s">
        <v>93</v>
      </c>
    </row>
    <row r="4727" spans="1:10" x14ac:dyDescent="0.25">
      <c r="A4727" t="s">
        <v>146</v>
      </c>
      <c r="B4727">
        <f>11054.2395506266*(1/100/100)</f>
        <v>1.1054239550626601</v>
      </c>
      <c r="C4727">
        <v>55509</v>
      </c>
      <c r="D4727" t="s">
        <v>1040</v>
      </c>
      <c r="E4727">
        <v>50424</v>
      </c>
      <c r="F4727" t="s">
        <v>1451</v>
      </c>
      <c r="G4727">
        <v>504</v>
      </c>
      <c r="H4727" t="s">
        <v>97</v>
      </c>
      <c r="I4727">
        <v>5</v>
      </c>
      <c r="J4727" t="s">
        <v>93</v>
      </c>
    </row>
    <row r="4728" spans="1:10" x14ac:dyDescent="0.25">
      <c r="A4728" t="s">
        <v>146</v>
      </c>
      <c r="B4728">
        <f>19398.1601968829*(1/100/100)</f>
        <v>1.9398160196882903</v>
      </c>
      <c r="C4728">
        <v>55510</v>
      </c>
      <c r="D4728" t="s">
        <v>6004</v>
      </c>
      <c r="E4728">
        <v>50415</v>
      </c>
      <c r="F4728" t="s">
        <v>1443</v>
      </c>
      <c r="G4728">
        <v>504</v>
      </c>
      <c r="H4728" t="s">
        <v>97</v>
      </c>
      <c r="I4728">
        <v>5</v>
      </c>
      <c r="J4728" t="s">
        <v>93</v>
      </c>
    </row>
    <row r="4729" spans="1:10" x14ac:dyDescent="0.25">
      <c r="A4729" t="s">
        <v>146</v>
      </c>
      <c r="B4729">
        <f>89852.8048413551*(1/100/100)</f>
        <v>8.9852804841355098</v>
      </c>
      <c r="C4729">
        <v>55511</v>
      </c>
      <c r="D4729" t="s">
        <v>6030</v>
      </c>
      <c r="E4729">
        <v>50424</v>
      </c>
      <c r="F4729" t="s">
        <v>1451</v>
      </c>
      <c r="G4729">
        <v>504</v>
      </c>
      <c r="H4729" t="s">
        <v>97</v>
      </c>
      <c r="I4729">
        <v>5</v>
      </c>
      <c r="J4729" t="s">
        <v>93</v>
      </c>
    </row>
    <row r="4730" spans="1:10" x14ac:dyDescent="0.25">
      <c r="A4730" t="s">
        <v>146</v>
      </c>
      <c r="B4730">
        <f>106453.057362725*(1/100/100)</f>
        <v>10.645305736272499</v>
      </c>
      <c r="C4730">
        <v>55512</v>
      </c>
      <c r="D4730" t="s">
        <v>1452</v>
      </c>
      <c r="E4730">
        <v>50425</v>
      </c>
      <c r="F4730" t="s">
        <v>1452</v>
      </c>
      <c r="G4730">
        <v>504</v>
      </c>
      <c r="H4730" t="s">
        <v>97</v>
      </c>
      <c r="I4730">
        <v>5</v>
      </c>
      <c r="J4730" t="s">
        <v>93</v>
      </c>
    </row>
    <row r="4731" spans="1:10" x14ac:dyDescent="0.25">
      <c r="A4731" t="s">
        <v>146</v>
      </c>
      <c r="B4731">
        <f>25810.6793838037*(1/100/100)</f>
        <v>2.5810679383803703</v>
      </c>
      <c r="C4731">
        <v>55513</v>
      </c>
      <c r="D4731" t="s">
        <v>4003</v>
      </c>
      <c r="E4731">
        <v>50424</v>
      </c>
      <c r="F4731" t="s">
        <v>1451</v>
      </c>
      <c r="G4731">
        <v>504</v>
      </c>
      <c r="H4731" t="s">
        <v>97</v>
      </c>
      <c r="I4731">
        <v>5</v>
      </c>
      <c r="J4731" t="s">
        <v>93</v>
      </c>
    </row>
    <row r="4732" spans="1:10" x14ac:dyDescent="0.25">
      <c r="A4732" t="s">
        <v>146</v>
      </c>
      <c r="B4732">
        <f>67889.3044617174*(1/100/100)</f>
        <v>6.7889304461717401</v>
      </c>
      <c r="C4732">
        <v>55514</v>
      </c>
      <c r="D4732" t="s">
        <v>3568</v>
      </c>
      <c r="E4732">
        <v>50404</v>
      </c>
      <c r="F4732" t="s">
        <v>1432</v>
      </c>
      <c r="G4732">
        <v>504</v>
      </c>
      <c r="H4732" t="s">
        <v>97</v>
      </c>
      <c r="I4732">
        <v>5</v>
      </c>
      <c r="J4732" t="s">
        <v>93</v>
      </c>
    </row>
    <row r="4733" spans="1:10" x14ac:dyDescent="0.25">
      <c r="A4733" t="s">
        <v>146</v>
      </c>
      <c r="B4733">
        <f>102354.513589111*(1/100/100)</f>
        <v>10.235451358911099</v>
      </c>
      <c r="C4733">
        <v>56001</v>
      </c>
      <c r="D4733" t="s">
        <v>5896</v>
      </c>
      <c r="E4733">
        <v>50201</v>
      </c>
      <c r="F4733" t="s">
        <v>1380</v>
      </c>
      <c r="G4733">
        <v>502</v>
      </c>
      <c r="H4733" t="s">
        <v>95</v>
      </c>
      <c r="I4733">
        <v>5</v>
      </c>
      <c r="J4733" t="s">
        <v>93</v>
      </c>
    </row>
    <row r="4734" spans="1:10" x14ac:dyDescent="0.25">
      <c r="A4734" t="s">
        <v>146</v>
      </c>
      <c r="B4734">
        <f>81242.9842121813*(1/100/100)</f>
        <v>8.1242984212181302</v>
      </c>
      <c r="C4734">
        <v>56002</v>
      </c>
      <c r="D4734" t="s">
        <v>5897</v>
      </c>
      <c r="E4734">
        <v>50201</v>
      </c>
      <c r="F4734" t="s">
        <v>1380</v>
      </c>
      <c r="G4734">
        <v>502</v>
      </c>
      <c r="H4734" t="s">
        <v>95</v>
      </c>
      <c r="I4734">
        <v>5</v>
      </c>
      <c r="J4734" t="s">
        <v>93</v>
      </c>
    </row>
    <row r="4735" spans="1:10" x14ac:dyDescent="0.25">
      <c r="A4735" t="s">
        <v>146</v>
      </c>
      <c r="B4735">
        <f>123262.431216745*(1/100/100)</f>
        <v>12.3262431216745</v>
      </c>
      <c r="C4735">
        <v>56003</v>
      </c>
      <c r="D4735" t="s">
        <v>697</v>
      </c>
      <c r="E4735">
        <v>50203</v>
      </c>
      <c r="F4735" t="s">
        <v>1382</v>
      </c>
      <c r="G4735">
        <v>502</v>
      </c>
      <c r="H4735" t="s">
        <v>95</v>
      </c>
      <c r="I4735">
        <v>5</v>
      </c>
      <c r="J4735" t="s">
        <v>93</v>
      </c>
    </row>
    <row r="4736" spans="1:10" x14ac:dyDescent="0.25">
      <c r="A4736" t="s">
        <v>146</v>
      </c>
      <c r="B4736">
        <f>107923.0441885*(1/100/100)</f>
        <v>10.792304418850001</v>
      </c>
      <c r="C4736">
        <v>56004</v>
      </c>
      <c r="D4736" t="s">
        <v>1642</v>
      </c>
      <c r="E4736">
        <v>50201</v>
      </c>
      <c r="F4736" t="s">
        <v>1380</v>
      </c>
      <c r="G4736">
        <v>502</v>
      </c>
      <c r="H4736" t="s">
        <v>95</v>
      </c>
      <c r="I4736">
        <v>5</v>
      </c>
      <c r="J4736" t="s">
        <v>93</v>
      </c>
    </row>
    <row r="4737" spans="1:10" x14ac:dyDescent="0.25">
      <c r="A4737" t="s">
        <v>146</v>
      </c>
      <c r="B4737">
        <f>62416.0981307884*(1/100/100)</f>
        <v>6.2416098130788402</v>
      </c>
      <c r="C4737">
        <v>56005</v>
      </c>
      <c r="D4737" t="s">
        <v>5906</v>
      </c>
      <c r="E4737">
        <v>50203</v>
      </c>
      <c r="F4737" t="s">
        <v>1382</v>
      </c>
      <c r="G4737">
        <v>502</v>
      </c>
      <c r="H4737" t="s">
        <v>95</v>
      </c>
      <c r="I4737">
        <v>5</v>
      </c>
      <c r="J4737" t="s">
        <v>93</v>
      </c>
    </row>
    <row r="4738" spans="1:10" x14ac:dyDescent="0.25">
      <c r="A4738" t="s">
        <v>146</v>
      </c>
      <c r="B4738">
        <f>21450.5020754101*(1/100/100)</f>
        <v>2.1450502075410101</v>
      </c>
      <c r="C4738">
        <v>56006</v>
      </c>
      <c r="D4738" t="s">
        <v>5898</v>
      </c>
      <c r="E4738">
        <v>50201</v>
      </c>
      <c r="F4738" t="s">
        <v>1380</v>
      </c>
      <c r="G4738">
        <v>502</v>
      </c>
      <c r="H4738" t="s">
        <v>95</v>
      </c>
      <c r="I4738">
        <v>5</v>
      </c>
      <c r="J4738" t="s">
        <v>93</v>
      </c>
    </row>
    <row r="4739" spans="1:10" x14ac:dyDescent="0.25">
      <c r="A4739" t="s">
        <v>146</v>
      </c>
      <c r="B4739">
        <f>42446.9297998877*(1/100/100)</f>
        <v>4.2446929799887707</v>
      </c>
      <c r="C4739">
        <v>56007</v>
      </c>
      <c r="D4739" t="s">
        <v>3989</v>
      </c>
      <c r="E4739">
        <v>50203</v>
      </c>
      <c r="F4739" t="s">
        <v>1382</v>
      </c>
      <c r="G4739">
        <v>502</v>
      </c>
      <c r="H4739" t="s">
        <v>95</v>
      </c>
      <c r="I4739">
        <v>5</v>
      </c>
      <c r="J4739" t="s">
        <v>93</v>
      </c>
    </row>
    <row r="4740" spans="1:10" x14ac:dyDescent="0.25">
      <c r="A4740" t="s">
        <v>146</v>
      </c>
      <c r="B4740">
        <f>113966.105372412*(1/100/100)</f>
        <v>11.3966105372412</v>
      </c>
      <c r="C4740">
        <v>56008</v>
      </c>
      <c r="D4740" t="s">
        <v>5899</v>
      </c>
      <c r="E4740">
        <v>50201</v>
      </c>
      <c r="F4740" t="s">
        <v>1380</v>
      </c>
      <c r="G4740">
        <v>502</v>
      </c>
      <c r="H4740" t="s">
        <v>95</v>
      </c>
      <c r="I4740">
        <v>5</v>
      </c>
      <c r="J4740" t="s">
        <v>93</v>
      </c>
    </row>
    <row r="4741" spans="1:10" x14ac:dyDescent="0.25">
      <c r="A4741" t="s">
        <v>146</v>
      </c>
      <c r="B4741">
        <f>88654.9941033347*(1/100/100)</f>
        <v>8.8654994103334701</v>
      </c>
      <c r="C4741">
        <v>56009</v>
      </c>
      <c r="D4741" t="s">
        <v>661</v>
      </c>
      <c r="E4741">
        <v>50210</v>
      </c>
      <c r="F4741" t="s">
        <v>1388</v>
      </c>
      <c r="G4741">
        <v>502</v>
      </c>
      <c r="H4741" t="s">
        <v>95</v>
      </c>
      <c r="I4741">
        <v>5</v>
      </c>
      <c r="J4741" t="s">
        <v>93</v>
      </c>
    </row>
    <row r="4742" spans="1:10" x14ac:dyDescent="0.25">
      <c r="A4742" t="s">
        <v>146</v>
      </c>
      <c r="B4742">
        <f>70397.7443126026*(1/100/100)</f>
        <v>7.0397744312602608</v>
      </c>
      <c r="C4742">
        <v>56010</v>
      </c>
      <c r="D4742" t="s">
        <v>5900</v>
      </c>
      <c r="E4742">
        <v>50201</v>
      </c>
      <c r="F4742" t="s">
        <v>1380</v>
      </c>
      <c r="G4742">
        <v>502</v>
      </c>
      <c r="H4742" t="s">
        <v>95</v>
      </c>
      <c r="I4742">
        <v>5</v>
      </c>
      <c r="J4742" t="s">
        <v>93</v>
      </c>
    </row>
    <row r="4743" spans="1:10" x14ac:dyDescent="0.25">
      <c r="A4743" t="s">
        <v>146</v>
      </c>
      <c r="B4743">
        <f>42816.9261915167*(1/100/100)</f>
        <v>4.28169261915167</v>
      </c>
      <c r="C4743">
        <v>56011</v>
      </c>
      <c r="D4743" t="s">
        <v>5901</v>
      </c>
      <c r="E4743">
        <v>50201</v>
      </c>
      <c r="F4743" t="s">
        <v>1380</v>
      </c>
      <c r="G4743">
        <v>502</v>
      </c>
      <c r="H4743" t="s">
        <v>95</v>
      </c>
      <c r="I4743">
        <v>5</v>
      </c>
      <c r="J4743" t="s">
        <v>93</v>
      </c>
    </row>
    <row r="4744" spans="1:10" x14ac:dyDescent="0.25">
      <c r="A4744" t="s">
        <v>146</v>
      </c>
      <c r="B4744">
        <f>16852.9242346063*(1/100/100)</f>
        <v>1.6852924234606301</v>
      </c>
      <c r="C4744">
        <v>56012</v>
      </c>
      <c r="D4744" t="s">
        <v>5902</v>
      </c>
      <c r="E4744">
        <v>50201</v>
      </c>
      <c r="F4744" t="s">
        <v>1380</v>
      </c>
      <c r="G4744">
        <v>502</v>
      </c>
      <c r="H4744" t="s">
        <v>95</v>
      </c>
      <c r="I4744">
        <v>5</v>
      </c>
      <c r="J4744" t="s">
        <v>93</v>
      </c>
    </row>
    <row r="4745" spans="1:10" x14ac:dyDescent="0.25">
      <c r="A4745" t="s">
        <v>146</v>
      </c>
      <c r="B4745">
        <f>52725.9781964933*(1/100/100)</f>
        <v>5.2725978196493299</v>
      </c>
      <c r="C4745">
        <v>56013</v>
      </c>
      <c r="D4745" t="s">
        <v>5903</v>
      </c>
      <c r="E4745">
        <v>50201</v>
      </c>
      <c r="F4745" t="s">
        <v>1380</v>
      </c>
      <c r="G4745">
        <v>502</v>
      </c>
      <c r="H4745" t="s">
        <v>95</v>
      </c>
      <c r="I4745">
        <v>5</v>
      </c>
      <c r="J4745" t="s">
        <v>93</v>
      </c>
    </row>
    <row r="4746" spans="1:10" x14ac:dyDescent="0.25">
      <c r="A4746" t="s">
        <v>146</v>
      </c>
      <c r="B4746">
        <f>95741.9481493296*(1/100/100)</f>
        <v>9.5741948149329605</v>
      </c>
      <c r="C4746">
        <v>56101</v>
      </c>
      <c r="D4746" t="s">
        <v>3700</v>
      </c>
      <c r="E4746">
        <v>50336</v>
      </c>
      <c r="F4746" t="s">
        <v>1425</v>
      </c>
      <c r="G4746">
        <v>503</v>
      </c>
      <c r="H4746" t="s">
        <v>96</v>
      </c>
      <c r="I4746">
        <v>5</v>
      </c>
      <c r="J4746" t="s">
        <v>93</v>
      </c>
    </row>
    <row r="4747" spans="1:10" x14ac:dyDescent="0.25">
      <c r="A4747" t="s">
        <v>146</v>
      </c>
      <c r="B4747">
        <f>132171.980487819*(1/100/100)</f>
        <v>13.217198048781901</v>
      </c>
      <c r="C4747">
        <v>56102</v>
      </c>
      <c r="D4747" t="s">
        <v>5943</v>
      </c>
      <c r="E4747">
        <v>50312</v>
      </c>
      <c r="F4747" t="s">
        <v>1403</v>
      </c>
      <c r="G4747">
        <v>503</v>
      </c>
      <c r="H4747" t="s">
        <v>96</v>
      </c>
      <c r="I4747">
        <v>5</v>
      </c>
      <c r="J4747" t="s">
        <v>93</v>
      </c>
    </row>
    <row r="4748" spans="1:10" x14ac:dyDescent="0.25">
      <c r="A4748" t="s">
        <v>146</v>
      </c>
      <c r="B4748">
        <f>99980.2269972316*(1/100/100)</f>
        <v>9.99802269972316</v>
      </c>
      <c r="C4748">
        <v>56103</v>
      </c>
      <c r="D4748" t="s">
        <v>5962</v>
      </c>
      <c r="E4748">
        <v>50330</v>
      </c>
      <c r="F4748" t="s">
        <v>1421</v>
      </c>
      <c r="G4748">
        <v>503</v>
      </c>
      <c r="H4748" t="s">
        <v>96</v>
      </c>
      <c r="I4748">
        <v>5</v>
      </c>
      <c r="J4748" t="s">
        <v>93</v>
      </c>
    </row>
    <row r="4749" spans="1:10" x14ac:dyDescent="0.25">
      <c r="A4749" t="s">
        <v>146</v>
      </c>
      <c r="B4749">
        <f>67404.3139088886*(1/100/100)</f>
        <v>6.74043139088886</v>
      </c>
      <c r="C4749">
        <v>56104</v>
      </c>
      <c r="D4749" t="s">
        <v>4994</v>
      </c>
      <c r="E4749">
        <v>50336</v>
      </c>
      <c r="F4749" t="s">
        <v>1425</v>
      </c>
      <c r="G4749">
        <v>503</v>
      </c>
      <c r="H4749" t="s">
        <v>96</v>
      </c>
      <c r="I4749">
        <v>5</v>
      </c>
      <c r="J4749" t="s">
        <v>93</v>
      </c>
    </row>
    <row r="4750" spans="1:10" x14ac:dyDescent="0.25">
      <c r="A4750" t="s">
        <v>146</v>
      </c>
      <c r="B4750">
        <f>22710.3903089141*(1/100/100)</f>
        <v>2.2710390308914099</v>
      </c>
      <c r="C4750">
        <v>56105</v>
      </c>
      <c r="D4750" t="s">
        <v>5963</v>
      </c>
      <c r="E4750">
        <v>50330</v>
      </c>
      <c r="F4750" t="s">
        <v>1421</v>
      </c>
      <c r="G4750">
        <v>503</v>
      </c>
      <c r="H4750" t="s">
        <v>96</v>
      </c>
      <c r="I4750">
        <v>5</v>
      </c>
      <c r="J4750" t="s">
        <v>93</v>
      </c>
    </row>
    <row r="4751" spans="1:10" x14ac:dyDescent="0.25">
      <c r="A4751" t="s">
        <v>146</v>
      </c>
      <c r="B4751">
        <f>54897.6026770596*(1/100/100)</f>
        <v>5.48976026770596</v>
      </c>
      <c r="C4751">
        <v>56106</v>
      </c>
      <c r="D4751" t="s">
        <v>86</v>
      </c>
      <c r="E4751">
        <v>50330</v>
      </c>
      <c r="F4751" t="s">
        <v>1421</v>
      </c>
      <c r="G4751">
        <v>503</v>
      </c>
      <c r="H4751" t="s">
        <v>96</v>
      </c>
      <c r="I4751">
        <v>5</v>
      </c>
      <c r="J4751" t="s">
        <v>93</v>
      </c>
    </row>
    <row r="4752" spans="1:10" x14ac:dyDescent="0.25">
      <c r="A4752" t="s">
        <v>146</v>
      </c>
      <c r="B4752">
        <f>183438.443148755*(1/100/100)</f>
        <v>18.343844314875501</v>
      </c>
      <c r="C4752">
        <v>56107</v>
      </c>
      <c r="D4752" t="s">
        <v>5964</v>
      </c>
      <c r="E4752">
        <v>50330</v>
      </c>
      <c r="F4752" t="s">
        <v>1421</v>
      </c>
      <c r="G4752">
        <v>503</v>
      </c>
      <c r="H4752" t="s">
        <v>96</v>
      </c>
      <c r="I4752">
        <v>5</v>
      </c>
      <c r="J4752" t="s">
        <v>93</v>
      </c>
    </row>
    <row r="4753" spans="1:10" x14ac:dyDescent="0.25">
      <c r="A4753" t="s">
        <v>146</v>
      </c>
      <c r="B4753">
        <f>111351.014280935*(1/100/100)</f>
        <v>11.135101428093501</v>
      </c>
      <c r="C4753">
        <v>56108</v>
      </c>
      <c r="D4753" t="s">
        <v>1425</v>
      </c>
      <c r="E4753">
        <v>50336</v>
      </c>
      <c r="F4753" t="s">
        <v>1425</v>
      </c>
      <c r="G4753">
        <v>503</v>
      </c>
      <c r="H4753" t="s">
        <v>96</v>
      </c>
      <c r="I4753">
        <v>5</v>
      </c>
      <c r="J4753" t="s">
        <v>93</v>
      </c>
    </row>
    <row r="4754" spans="1:10" x14ac:dyDescent="0.25">
      <c r="A4754" t="s">
        <v>146</v>
      </c>
      <c r="B4754">
        <f>14533.3219252097*(1/100/100)</f>
        <v>1.4533321925209701</v>
      </c>
      <c r="C4754">
        <v>56109</v>
      </c>
      <c r="D4754" t="s">
        <v>5965</v>
      </c>
      <c r="E4754">
        <v>50330</v>
      </c>
      <c r="F4754" t="s">
        <v>1421</v>
      </c>
      <c r="G4754">
        <v>503</v>
      </c>
      <c r="H4754" t="s">
        <v>96</v>
      </c>
      <c r="I4754">
        <v>5</v>
      </c>
      <c r="J4754" t="s">
        <v>93</v>
      </c>
    </row>
    <row r="4755" spans="1:10" x14ac:dyDescent="0.25">
      <c r="A4755" t="s">
        <v>146</v>
      </c>
      <c r="B4755">
        <f>89404.4524281265*(1/100/100)</f>
        <v>8.9404452428126504</v>
      </c>
      <c r="C4755">
        <v>56110</v>
      </c>
      <c r="D4755" t="s">
        <v>4750</v>
      </c>
      <c r="E4755">
        <v>50336</v>
      </c>
      <c r="F4755" t="s">
        <v>1425</v>
      </c>
      <c r="G4755">
        <v>503</v>
      </c>
      <c r="H4755" t="s">
        <v>96</v>
      </c>
      <c r="I4755">
        <v>5</v>
      </c>
      <c r="J4755" t="s">
        <v>93</v>
      </c>
    </row>
    <row r="4756" spans="1:10" x14ac:dyDescent="0.25">
      <c r="A4756" t="s">
        <v>146</v>
      </c>
      <c r="B4756">
        <f>36066.6364311446*(1/100/100)</f>
        <v>3.6066636431144605</v>
      </c>
      <c r="C4756">
        <v>56111</v>
      </c>
      <c r="D4756" t="s">
        <v>3568</v>
      </c>
      <c r="E4756">
        <v>50330</v>
      </c>
      <c r="F4756" t="s">
        <v>1421</v>
      </c>
      <c r="G4756">
        <v>503</v>
      </c>
      <c r="H4756" t="s">
        <v>96</v>
      </c>
      <c r="I4756">
        <v>5</v>
      </c>
      <c r="J4756" t="s">
        <v>93</v>
      </c>
    </row>
    <row r="4757" spans="1:10" x14ac:dyDescent="0.25">
      <c r="A4757" t="s">
        <v>146</v>
      </c>
      <c r="B4757">
        <f>175450.608738338*(1/100/100)</f>
        <v>17.545060873833801</v>
      </c>
      <c r="C4757">
        <v>56201</v>
      </c>
      <c r="D4757" t="s">
        <v>5904</v>
      </c>
      <c r="E4757">
        <v>50202</v>
      </c>
      <c r="F4757" t="s">
        <v>1381</v>
      </c>
      <c r="G4757">
        <v>502</v>
      </c>
      <c r="H4757" t="s">
        <v>95</v>
      </c>
      <c r="I4757">
        <v>5</v>
      </c>
      <c r="J4757" t="s">
        <v>93</v>
      </c>
    </row>
    <row r="4758" spans="1:10" x14ac:dyDescent="0.25">
      <c r="A4758" t="s">
        <v>146</v>
      </c>
      <c r="B4758">
        <f>108325.860289382*(1/100/100)</f>
        <v>10.8325860289382</v>
      </c>
      <c r="C4758">
        <v>56202</v>
      </c>
      <c r="D4758" t="s">
        <v>2056</v>
      </c>
      <c r="E4758">
        <v>50205</v>
      </c>
      <c r="F4758" t="s">
        <v>95</v>
      </c>
      <c r="G4758">
        <v>502</v>
      </c>
      <c r="H4758" t="s">
        <v>95</v>
      </c>
      <c r="I4758">
        <v>5</v>
      </c>
      <c r="J4758" t="s">
        <v>93</v>
      </c>
    </row>
    <row r="4759" spans="1:10" x14ac:dyDescent="0.25">
      <c r="A4759" t="s">
        <v>146</v>
      </c>
      <c r="B4759">
        <f>124843.198510462*(1/100/100)</f>
        <v>12.4843198510462</v>
      </c>
      <c r="C4759">
        <v>56203</v>
      </c>
      <c r="D4759" t="s">
        <v>5909</v>
      </c>
      <c r="E4759">
        <v>50205</v>
      </c>
      <c r="F4759" t="s">
        <v>95</v>
      </c>
      <c r="G4759">
        <v>502</v>
      </c>
      <c r="H4759" t="s">
        <v>95</v>
      </c>
      <c r="I4759">
        <v>5</v>
      </c>
      <c r="J4759" t="s">
        <v>93</v>
      </c>
    </row>
    <row r="4760" spans="1:10" x14ac:dyDescent="0.25">
      <c r="A4760" t="s">
        <v>146</v>
      </c>
      <c r="B4760">
        <f>69923.6244072677*(1/100/100)</f>
        <v>6.9923624407267697</v>
      </c>
      <c r="C4760">
        <v>56204</v>
      </c>
      <c r="D4760" t="s">
        <v>5910</v>
      </c>
      <c r="E4760">
        <v>50205</v>
      </c>
      <c r="F4760" t="s">
        <v>95</v>
      </c>
      <c r="G4760">
        <v>502</v>
      </c>
      <c r="H4760" t="s">
        <v>95</v>
      </c>
      <c r="I4760">
        <v>5</v>
      </c>
      <c r="J4760" t="s">
        <v>93</v>
      </c>
    </row>
    <row r="4761" spans="1:10" x14ac:dyDescent="0.25">
      <c r="A4761" t="s">
        <v>146</v>
      </c>
      <c r="B4761">
        <f>29406.3533790738*(1/100/100)</f>
        <v>2.9406353379073802</v>
      </c>
      <c r="C4761">
        <v>56205</v>
      </c>
      <c r="D4761" t="s">
        <v>5911</v>
      </c>
      <c r="E4761">
        <v>50205</v>
      </c>
      <c r="F4761" t="s">
        <v>95</v>
      </c>
      <c r="G4761">
        <v>502</v>
      </c>
      <c r="H4761" t="s">
        <v>95</v>
      </c>
      <c r="I4761">
        <v>5</v>
      </c>
      <c r="J4761" t="s">
        <v>93</v>
      </c>
    </row>
    <row r="4762" spans="1:10" x14ac:dyDescent="0.25">
      <c r="A4762" t="s">
        <v>146</v>
      </c>
      <c r="B4762">
        <f>144802.989521027*(1/100/100)</f>
        <v>14.4802989521027</v>
      </c>
      <c r="C4762">
        <v>56206</v>
      </c>
      <c r="D4762" t="s">
        <v>5915</v>
      </c>
      <c r="E4762">
        <v>50207</v>
      </c>
      <c r="F4762" t="s">
        <v>1385</v>
      </c>
      <c r="G4762">
        <v>502</v>
      </c>
      <c r="H4762" t="s">
        <v>95</v>
      </c>
      <c r="I4762">
        <v>5</v>
      </c>
      <c r="J4762" t="s">
        <v>93</v>
      </c>
    </row>
    <row r="4763" spans="1:10" x14ac:dyDescent="0.25">
      <c r="A4763" t="s">
        <v>146</v>
      </c>
      <c r="B4763">
        <f>94809.2222213802*(1/100/100)</f>
        <v>9.4809222221380214</v>
      </c>
      <c r="C4763">
        <v>56207</v>
      </c>
      <c r="D4763" t="s">
        <v>3957</v>
      </c>
      <c r="E4763">
        <v>50204</v>
      </c>
      <c r="F4763" t="s">
        <v>1383</v>
      </c>
      <c r="G4763">
        <v>502</v>
      </c>
      <c r="H4763" t="s">
        <v>95</v>
      </c>
      <c r="I4763">
        <v>5</v>
      </c>
      <c r="J4763" t="s">
        <v>93</v>
      </c>
    </row>
    <row r="4764" spans="1:10" x14ac:dyDescent="0.25">
      <c r="A4764" t="s">
        <v>146</v>
      </c>
      <c r="B4764">
        <f>29534.2510491821*(1/100/100)</f>
        <v>2.9534251049182103</v>
      </c>
      <c r="C4764">
        <v>56208</v>
      </c>
      <c r="D4764" t="s">
        <v>2843</v>
      </c>
      <c r="E4764">
        <v>50205</v>
      </c>
      <c r="F4764" t="s">
        <v>95</v>
      </c>
      <c r="G4764">
        <v>502</v>
      </c>
      <c r="H4764" t="s">
        <v>95</v>
      </c>
      <c r="I4764">
        <v>5</v>
      </c>
      <c r="J4764" t="s">
        <v>93</v>
      </c>
    </row>
    <row r="4765" spans="1:10" x14ac:dyDescent="0.25">
      <c r="A4765" t="s">
        <v>146</v>
      </c>
      <c r="B4765">
        <f>383554.095367342*(1/100/100)</f>
        <v>38.3554095367342</v>
      </c>
      <c r="C4765">
        <v>56209</v>
      </c>
      <c r="D4765" t="s">
        <v>95</v>
      </c>
      <c r="E4765">
        <v>50205</v>
      </c>
      <c r="F4765" t="s">
        <v>95</v>
      </c>
      <c r="G4765">
        <v>502</v>
      </c>
      <c r="H4765" t="s">
        <v>95</v>
      </c>
      <c r="I4765">
        <v>5</v>
      </c>
      <c r="J4765" t="s">
        <v>93</v>
      </c>
    </row>
    <row r="4766" spans="1:10" x14ac:dyDescent="0.25">
      <c r="A4766" t="s">
        <v>146</v>
      </c>
      <c r="B4766">
        <f>17549.8601382769*(1/100/100)</f>
        <v>1.7549860138276903</v>
      </c>
      <c r="C4766">
        <v>56210</v>
      </c>
      <c r="D4766" t="s">
        <v>5919</v>
      </c>
      <c r="E4766">
        <v>50209</v>
      </c>
      <c r="F4766" t="s">
        <v>1387</v>
      </c>
      <c r="G4766">
        <v>502</v>
      </c>
      <c r="H4766" t="s">
        <v>95</v>
      </c>
      <c r="I4766">
        <v>5</v>
      </c>
      <c r="J4766" t="s">
        <v>93</v>
      </c>
    </row>
    <row r="4767" spans="1:10" x14ac:dyDescent="0.25">
      <c r="A4767" t="s">
        <v>146</v>
      </c>
      <c r="B4767">
        <f>184012.873459773*(1/100/100)</f>
        <v>18.401287345977302</v>
      </c>
      <c r="C4767">
        <v>56211</v>
      </c>
      <c r="D4767" t="s">
        <v>5916</v>
      </c>
      <c r="E4767">
        <v>50207</v>
      </c>
      <c r="F4767" t="s">
        <v>1385</v>
      </c>
      <c r="G4767">
        <v>502</v>
      </c>
      <c r="H4767" t="s">
        <v>95</v>
      </c>
      <c r="I4767">
        <v>5</v>
      </c>
      <c r="J4767" t="s">
        <v>93</v>
      </c>
    </row>
    <row r="4768" spans="1:10" x14ac:dyDescent="0.25">
      <c r="A4768" t="s">
        <v>146</v>
      </c>
      <c r="B4768">
        <f>111211.370920955*(1/100/100)</f>
        <v>11.1211370920955</v>
      </c>
      <c r="C4768">
        <v>56212</v>
      </c>
      <c r="D4768" t="s">
        <v>5917</v>
      </c>
      <c r="E4768">
        <v>50207</v>
      </c>
      <c r="F4768" t="s">
        <v>1385</v>
      </c>
      <c r="G4768">
        <v>502</v>
      </c>
      <c r="H4768" t="s">
        <v>95</v>
      </c>
      <c r="I4768">
        <v>5</v>
      </c>
      <c r="J4768" t="s">
        <v>93</v>
      </c>
    </row>
    <row r="4769" spans="1:10" x14ac:dyDescent="0.25">
      <c r="A4769" t="s">
        <v>146</v>
      </c>
      <c r="B4769">
        <f>94377.6941325054*(1/100/100)</f>
        <v>9.4377694132505408</v>
      </c>
      <c r="C4769">
        <v>56213</v>
      </c>
      <c r="D4769" t="s">
        <v>1384</v>
      </c>
      <c r="E4769">
        <v>50206</v>
      </c>
      <c r="F4769" t="s">
        <v>1384</v>
      </c>
      <c r="G4769">
        <v>502</v>
      </c>
      <c r="H4769" t="s">
        <v>95</v>
      </c>
      <c r="I4769">
        <v>5</v>
      </c>
      <c r="J4769" t="s">
        <v>93</v>
      </c>
    </row>
    <row r="4770" spans="1:10" x14ac:dyDescent="0.25">
      <c r="A4770" t="s">
        <v>146</v>
      </c>
      <c r="B4770">
        <f>116288.2110227*(1/100/100)</f>
        <v>11.628821102270001</v>
      </c>
      <c r="C4770">
        <v>56214</v>
      </c>
      <c r="D4770" t="s">
        <v>1385</v>
      </c>
      <c r="E4770">
        <v>50207</v>
      </c>
      <c r="F4770" t="s">
        <v>1385</v>
      </c>
      <c r="G4770">
        <v>502</v>
      </c>
      <c r="H4770" t="s">
        <v>95</v>
      </c>
      <c r="I4770">
        <v>5</v>
      </c>
      <c r="J4770" t="s">
        <v>93</v>
      </c>
    </row>
    <row r="4771" spans="1:10" x14ac:dyDescent="0.25">
      <c r="A4771" t="s">
        <v>146</v>
      </c>
      <c r="B4771">
        <f>261205.919878165*(1/100/100)</f>
        <v>26.120591987816503</v>
      </c>
      <c r="C4771">
        <v>56215</v>
      </c>
      <c r="D4771" t="s">
        <v>5918</v>
      </c>
      <c r="E4771">
        <v>50208</v>
      </c>
      <c r="F4771" t="s">
        <v>1386</v>
      </c>
      <c r="G4771">
        <v>502</v>
      </c>
      <c r="H4771" t="s">
        <v>95</v>
      </c>
      <c r="I4771">
        <v>5</v>
      </c>
      <c r="J4771" t="s">
        <v>93</v>
      </c>
    </row>
    <row r="4772" spans="1:10" x14ac:dyDescent="0.25">
      <c r="A4772" t="s">
        <v>146</v>
      </c>
      <c r="B4772">
        <f>108715.514670754*(1/100/100)</f>
        <v>10.871551467075401</v>
      </c>
      <c r="C4772">
        <v>56216</v>
      </c>
      <c r="D4772" t="s">
        <v>5907</v>
      </c>
      <c r="E4772">
        <v>50204</v>
      </c>
      <c r="F4772" t="s">
        <v>1383</v>
      </c>
      <c r="G4772">
        <v>502</v>
      </c>
      <c r="H4772" t="s">
        <v>95</v>
      </c>
      <c r="I4772">
        <v>5</v>
      </c>
      <c r="J4772" t="s">
        <v>93</v>
      </c>
    </row>
    <row r="4773" spans="1:10" x14ac:dyDescent="0.25">
      <c r="A4773" t="s">
        <v>146</v>
      </c>
      <c r="B4773">
        <f>63119.7014121529*(1/100/100)</f>
        <v>6.3119701412152907</v>
      </c>
      <c r="C4773">
        <v>56217</v>
      </c>
      <c r="D4773" t="s">
        <v>5920</v>
      </c>
      <c r="E4773">
        <v>50211</v>
      </c>
      <c r="F4773" t="s">
        <v>1389</v>
      </c>
      <c r="G4773">
        <v>502</v>
      </c>
      <c r="H4773" t="s">
        <v>95</v>
      </c>
      <c r="I4773">
        <v>5</v>
      </c>
      <c r="J4773" t="s">
        <v>93</v>
      </c>
    </row>
    <row r="4774" spans="1:10" x14ac:dyDescent="0.25">
      <c r="A4774" t="s">
        <v>146</v>
      </c>
      <c r="B4774">
        <f>39791.3095795322*(1/100/100)</f>
        <v>3.9791309579532204</v>
      </c>
      <c r="C4774">
        <v>56218</v>
      </c>
      <c r="D4774" t="s">
        <v>5926</v>
      </c>
      <c r="E4774">
        <v>50213</v>
      </c>
      <c r="F4774" t="s">
        <v>1391</v>
      </c>
      <c r="G4774">
        <v>502</v>
      </c>
      <c r="H4774" t="s">
        <v>95</v>
      </c>
      <c r="I4774">
        <v>5</v>
      </c>
      <c r="J4774" t="s">
        <v>93</v>
      </c>
    </row>
    <row r="4775" spans="1:10" x14ac:dyDescent="0.25">
      <c r="A4775" t="s">
        <v>146</v>
      </c>
      <c r="B4775">
        <f>97606.9291864833*(1/100/100)</f>
        <v>9.7606929186483313</v>
      </c>
      <c r="C4775">
        <v>56219</v>
      </c>
      <c r="D4775" t="s">
        <v>5923</v>
      </c>
      <c r="E4775">
        <v>50212</v>
      </c>
      <c r="F4775" t="s">
        <v>1390</v>
      </c>
      <c r="G4775">
        <v>502</v>
      </c>
      <c r="H4775" t="s">
        <v>95</v>
      </c>
      <c r="I4775">
        <v>5</v>
      </c>
      <c r="J4775" t="s">
        <v>93</v>
      </c>
    </row>
    <row r="4776" spans="1:10" x14ac:dyDescent="0.25">
      <c r="A4776" t="s">
        <v>146</v>
      </c>
      <c r="B4776">
        <f>95017.5177060097*(1/100/100)</f>
        <v>9.5017517706009702</v>
      </c>
      <c r="C4776">
        <v>56220</v>
      </c>
      <c r="D4776" t="s">
        <v>5905</v>
      </c>
      <c r="E4776">
        <v>50202</v>
      </c>
      <c r="F4776" t="s">
        <v>1381</v>
      </c>
      <c r="G4776">
        <v>502</v>
      </c>
      <c r="H4776" t="s">
        <v>95</v>
      </c>
      <c r="I4776">
        <v>5</v>
      </c>
      <c r="J4776" t="s">
        <v>93</v>
      </c>
    </row>
    <row r="4777" spans="1:10" x14ac:dyDescent="0.25">
      <c r="A4777" t="s">
        <v>146</v>
      </c>
      <c r="B4777">
        <f>125644.236133959*(1/100/100)</f>
        <v>12.564423613395901</v>
      </c>
      <c r="C4777">
        <v>56221</v>
      </c>
      <c r="D4777" t="s">
        <v>5921</v>
      </c>
      <c r="E4777">
        <v>50211</v>
      </c>
      <c r="F4777" t="s">
        <v>1389</v>
      </c>
      <c r="G4777">
        <v>502</v>
      </c>
      <c r="H4777" t="s">
        <v>95</v>
      </c>
      <c r="I4777">
        <v>5</v>
      </c>
      <c r="J4777" t="s">
        <v>93</v>
      </c>
    </row>
    <row r="4778" spans="1:10" x14ac:dyDescent="0.25">
      <c r="A4778" t="s">
        <v>146</v>
      </c>
      <c r="B4778">
        <f>10337.2639408143*(1/100/100)</f>
        <v>1.0337263940814301</v>
      </c>
      <c r="C4778">
        <v>56222</v>
      </c>
      <c r="D4778" t="s">
        <v>5922</v>
      </c>
      <c r="E4778">
        <v>50211</v>
      </c>
      <c r="F4778" t="s">
        <v>1389</v>
      </c>
      <c r="G4778">
        <v>502</v>
      </c>
      <c r="H4778" t="s">
        <v>95</v>
      </c>
      <c r="I4778">
        <v>5</v>
      </c>
      <c r="J4778" t="s">
        <v>93</v>
      </c>
    </row>
    <row r="4779" spans="1:10" x14ac:dyDescent="0.25">
      <c r="A4779" t="s">
        <v>146</v>
      </c>
      <c r="B4779">
        <f>228474.277385919*(1/100/100)</f>
        <v>22.8474277385919</v>
      </c>
      <c r="C4779">
        <v>56223</v>
      </c>
      <c r="D4779" t="s">
        <v>5912</v>
      </c>
      <c r="E4779">
        <v>50205</v>
      </c>
      <c r="F4779" t="s">
        <v>95</v>
      </c>
      <c r="G4779">
        <v>502</v>
      </c>
      <c r="H4779" t="s">
        <v>95</v>
      </c>
      <c r="I4779">
        <v>5</v>
      </c>
      <c r="J4779" t="s">
        <v>93</v>
      </c>
    </row>
    <row r="4780" spans="1:10" x14ac:dyDescent="0.25">
      <c r="A4780" t="s">
        <v>146</v>
      </c>
      <c r="B4780">
        <f>36301.1240185023*(1/100/100)</f>
        <v>3.63011240185023</v>
      </c>
      <c r="C4780">
        <v>56224</v>
      </c>
      <c r="D4780" t="s">
        <v>1950</v>
      </c>
      <c r="E4780">
        <v>50209</v>
      </c>
      <c r="F4780" t="s">
        <v>1387</v>
      </c>
      <c r="G4780">
        <v>502</v>
      </c>
      <c r="H4780" t="s">
        <v>95</v>
      </c>
      <c r="I4780">
        <v>5</v>
      </c>
      <c r="J4780" t="s">
        <v>93</v>
      </c>
    </row>
    <row r="4781" spans="1:10" x14ac:dyDescent="0.25">
      <c r="A4781" t="s">
        <v>146</v>
      </c>
      <c r="B4781">
        <f>268592.967212291*(1/100/100)</f>
        <v>26.859296721229104</v>
      </c>
      <c r="C4781">
        <v>56225</v>
      </c>
      <c r="D4781" t="s">
        <v>3736</v>
      </c>
      <c r="E4781">
        <v>50209</v>
      </c>
      <c r="F4781" t="s">
        <v>1387</v>
      </c>
      <c r="G4781">
        <v>502</v>
      </c>
      <c r="H4781" t="s">
        <v>95</v>
      </c>
      <c r="I4781">
        <v>5</v>
      </c>
      <c r="J4781" t="s">
        <v>93</v>
      </c>
    </row>
    <row r="4782" spans="1:10" x14ac:dyDescent="0.25">
      <c r="A4782" t="s">
        <v>146</v>
      </c>
      <c r="B4782">
        <f>116320.832693057*(1/100/100)</f>
        <v>11.632083269305701</v>
      </c>
      <c r="C4782">
        <v>56226</v>
      </c>
      <c r="D4782" t="s">
        <v>5908</v>
      </c>
      <c r="E4782">
        <v>50204</v>
      </c>
      <c r="F4782" t="s">
        <v>1383</v>
      </c>
      <c r="G4782">
        <v>502</v>
      </c>
      <c r="H4782" t="s">
        <v>95</v>
      </c>
      <c r="I4782">
        <v>5</v>
      </c>
      <c r="J4782" t="s">
        <v>93</v>
      </c>
    </row>
    <row r="4783" spans="1:10" x14ac:dyDescent="0.25">
      <c r="A4783" t="s">
        <v>146</v>
      </c>
      <c r="B4783">
        <f>127025.053043169*(1/100/100)</f>
        <v>12.702505304316901</v>
      </c>
      <c r="C4783">
        <v>56227</v>
      </c>
      <c r="D4783" t="s">
        <v>5927</v>
      </c>
      <c r="E4783">
        <v>50213</v>
      </c>
      <c r="F4783" t="s">
        <v>1391</v>
      </c>
      <c r="G4783">
        <v>502</v>
      </c>
      <c r="H4783" t="s">
        <v>95</v>
      </c>
      <c r="I4783">
        <v>5</v>
      </c>
      <c r="J4783" t="s">
        <v>93</v>
      </c>
    </row>
    <row r="4784" spans="1:10" x14ac:dyDescent="0.25">
      <c r="A4784" t="s">
        <v>146</v>
      </c>
      <c r="B4784">
        <f>15434.5541372837*(1/100/100)</f>
        <v>1.54345541372837</v>
      </c>
      <c r="C4784">
        <v>56228</v>
      </c>
      <c r="D4784" t="s">
        <v>5924</v>
      </c>
      <c r="E4784">
        <v>50212</v>
      </c>
      <c r="F4784" t="s">
        <v>1390</v>
      </c>
      <c r="G4784">
        <v>502</v>
      </c>
      <c r="H4784" t="s">
        <v>95</v>
      </c>
      <c r="I4784">
        <v>5</v>
      </c>
      <c r="J4784" t="s">
        <v>93</v>
      </c>
    </row>
    <row r="4785" spans="1:10" x14ac:dyDescent="0.25">
      <c r="A4785" t="s">
        <v>146</v>
      </c>
      <c r="B4785">
        <f>59772.4795716432*(1/100/100)</f>
        <v>5.9772479571643204</v>
      </c>
      <c r="C4785">
        <v>56229</v>
      </c>
      <c r="D4785" t="s">
        <v>4750</v>
      </c>
      <c r="E4785">
        <v>50207</v>
      </c>
      <c r="F4785" t="s">
        <v>1385</v>
      </c>
      <c r="G4785">
        <v>502</v>
      </c>
      <c r="H4785" t="s">
        <v>95</v>
      </c>
      <c r="I4785">
        <v>5</v>
      </c>
      <c r="J4785" t="s">
        <v>93</v>
      </c>
    </row>
    <row r="4786" spans="1:10" x14ac:dyDescent="0.25">
      <c r="A4786" t="s">
        <v>146</v>
      </c>
      <c r="B4786">
        <f>27027.973111223*(1/100/100)</f>
        <v>2.7027973111223003</v>
      </c>
      <c r="C4786">
        <v>56230</v>
      </c>
      <c r="D4786" t="s">
        <v>5925</v>
      </c>
      <c r="E4786">
        <v>50212</v>
      </c>
      <c r="F4786" t="s">
        <v>1390</v>
      </c>
      <c r="G4786">
        <v>502</v>
      </c>
      <c r="H4786" t="s">
        <v>95</v>
      </c>
      <c r="I4786">
        <v>5</v>
      </c>
      <c r="J4786" t="s">
        <v>93</v>
      </c>
    </row>
    <row r="4787" spans="1:10" x14ac:dyDescent="0.25">
      <c r="A4787" t="s">
        <v>146</v>
      </c>
      <c r="B4787">
        <f>81430.0839917927*(1/100/100)</f>
        <v>8.1430083991792692</v>
      </c>
      <c r="C4787">
        <v>56231</v>
      </c>
      <c r="D4787" t="s">
        <v>4116</v>
      </c>
      <c r="E4787">
        <v>50202</v>
      </c>
      <c r="F4787" t="s">
        <v>1381</v>
      </c>
      <c r="G4787">
        <v>502</v>
      </c>
      <c r="H4787" t="s">
        <v>95</v>
      </c>
      <c r="I4787">
        <v>5</v>
      </c>
      <c r="J4787" t="s">
        <v>93</v>
      </c>
    </row>
    <row r="4788" spans="1:10" x14ac:dyDescent="0.25">
      <c r="A4788" t="s">
        <v>146</v>
      </c>
      <c r="B4788">
        <f>28796.6434637375*(1/100/100)</f>
        <v>2.8796643463737501</v>
      </c>
      <c r="C4788">
        <v>56232</v>
      </c>
      <c r="D4788" t="s">
        <v>5913</v>
      </c>
      <c r="E4788">
        <v>50205</v>
      </c>
      <c r="F4788" t="s">
        <v>95</v>
      </c>
      <c r="G4788">
        <v>502</v>
      </c>
      <c r="H4788" t="s">
        <v>95</v>
      </c>
      <c r="I4788">
        <v>5</v>
      </c>
      <c r="J4788" t="s">
        <v>93</v>
      </c>
    </row>
    <row r="4789" spans="1:10" x14ac:dyDescent="0.25">
      <c r="A4789" t="s">
        <v>146</v>
      </c>
      <c r="B4789">
        <f>220743.237673575*(1/100/100)</f>
        <v>22.074323767357502</v>
      </c>
      <c r="C4789">
        <v>56233</v>
      </c>
      <c r="D4789" t="s">
        <v>5914</v>
      </c>
      <c r="E4789">
        <v>50205</v>
      </c>
      <c r="F4789" t="s">
        <v>95</v>
      </c>
      <c r="G4789">
        <v>502</v>
      </c>
      <c r="H4789" t="s">
        <v>95</v>
      </c>
      <c r="I4789">
        <v>5</v>
      </c>
      <c r="J4789" t="s">
        <v>93</v>
      </c>
    </row>
    <row r="4790" spans="1:10" x14ac:dyDescent="0.25">
      <c r="A4790" t="s">
        <v>146</v>
      </c>
      <c r="B4790">
        <f>93125.758373935*(1/100/100)</f>
        <v>9.3125758373934993</v>
      </c>
      <c r="C4790">
        <v>56301</v>
      </c>
      <c r="D4790" t="s">
        <v>5968</v>
      </c>
      <c r="E4790">
        <v>50335</v>
      </c>
      <c r="F4790" t="s">
        <v>1424</v>
      </c>
      <c r="G4790">
        <v>503</v>
      </c>
      <c r="H4790" t="s">
        <v>96</v>
      </c>
      <c r="I4790">
        <v>5</v>
      </c>
      <c r="J4790" t="s">
        <v>93</v>
      </c>
    </row>
    <row r="4791" spans="1:10" x14ac:dyDescent="0.25">
      <c r="A4791" t="s">
        <v>146</v>
      </c>
      <c r="B4791">
        <f>27967.5570174516*(1/100/100)</f>
        <v>2.7967557017451603</v>
      </c>
      <c r="C4791">
        <v>56302</v>
      </c>
      <c r="D4791" t="s">
        <v>4026</v>
      </c>
      <c r="E4791">
        <v>50335</v>
      </c>
      <c r="F4791" t="s">
        <v>1424</v>
      </c>
      <c r="G4791">
        <v>503</v>
      </c>
      <c r="H4791" t="s">
        <v>96</v>
      </c>
      <c r="I4791">
        <v>5</v>
      </c>
      <c r="J4791" t="s">
        <v>93</v>
      </c>
    </row>
    <row r="4792" spans="1:10" x14ac:dyDescent="0.25">
      <c r="A4792" t="s">
        <v>146</v>
      </c>
      <c r="B4792">
        <f>79042.1783361388*(1/100/100)</f>
        <v>7.9042178336138793</v>
      </c>
      <c r="C4792">
        <v>56303</v>
      </c>
      <c r="D4792" t="s">
        <v>5947</v>
      </c>
      <c r="E4792">
        <v>50320</v>
      </c>
      <c r="F4792" t="s">
        <v>1411</v>
      </c>
      <c r="G4792">
        <v>503</v>
      </c>
      <c r="H4792" t="s">
        <v>96</v>
      </c>
      <c r="I4792">
        <v>5</v>
      </c>
      <c r="J4792" t="s">
        <v>93</v>
      </c>
    </row>
    <row r="4793" spans="1:10" x14ac:dyDescent="0.25">
      <c r="A4793" t="s">
        <v>146</v>
      </c>
      <c r="B4793">
        <f>61768.0215899439*(1/100/100)</f>
        <v>6.1768021589943904</v>
      </c>
      <c r="C4793">
        <v>56304</v>
      </c>
      <c r="D4793" t="s">
        <v>5174</v>
      </c>
      <c r="E4793">
        <v>50335</v>
      </c>
      <c r="F4793" t="s">
        <v>1424</v>
      </c>
      <c r="G4793">
        <v>503</v>
      </c>
      <c r="H4793" t="s">
        <v>96</v>
      </c>
      <c r="I4793">
        <v>5</v>
      </c>
      <c r="J4793" t="s">
        <v>93</v>
      </c>
    </row>
    <row r="4794" spans="1:10" x14ac:dyDescent="0.25">
      <c r="A4794" t="s">
        <v>146</v>
      </c>
      <c r="B4794">
        <f>330263.239599377*(1/100/100)</f>
        <v>33.026323959937699</v>
      </c>
      <c r="C4794">
        <v>56305</v>
      </c>
      <c r="D4794" t="s">
        <v>5517</v>
      </c>
      <c r="E4794">
        <v>50317</v>
      </c>
      <c r="F4794" t="s">
        <v>1408</v>
      </c>
      <c r="G4794">
        <v>503</v>
      </c>
      <c r="H4794" t="s">
        <v>96</v>
      </c>
      <c r="I4794">
        <v>5</v>
      </c>
      <c r="J4794" t="s">
        <v>93</v>
      </c>
    </row>
    <row r="4795" spans="1:10" x14ac:dyDescent="0.25">
      <c r="A4795" t="s">
        <v>146</v>
      </c>
      <c r="B4795">
        <f>34553.5245859338*(1/100/100)</f>
        <v>3.4553524585933806</v>
      </c>
      <c r="C4795">
        <v>56306</v>
      </c>
      <c r="D4795" t="s">
        <v>3766</v>
      </c>
      <c r="E4795">
        <v>50317</v>
      </c>
      <c r="F4795" t="s">
        <v>1408</v>
      </c>
      <c r="G4795">
        <v>503</v>
      </c>
      <c r="H4795" t="s">
        <v>96</v>
      </c>
      <c r="I4795">
        <v>5</v>
      </c>
      <c r="J4795" t="s">
        <v>93</v>
      </c>
    </row>
    <row r="4796" spans="1:10" x14ac:dyDescent="0.25">
      <c r="A4796" t="s">
        <v>146</v>
      </c>
      <c r="B4796">
        <f>153463.658875522*(1/100/100)</f>
        <v>15.346365887552201</v>
      </c>
      <c r="C4796">
        <v>56307</v>
      </c>
      <c r="D4796" t="s">
        <v>5969</v>
      </c>
      <c r="E4796">
        <v>50335</v>
      </c>
      <c r="F4796" t="s">
        <v>1424</v>
      </c>
      <c r="G4796">
        <v>503</v>
      </c>
      <c r="H4796" t="s">
        <v>96</v>
      </c>
      <c r="I4796">
        <v>5</v>
      </c>
      <c r="J4796" t="s">
        <v>93</v>
      </c>
    </row>
    <row r="4797" spans="1:10" x14ac:dyDescent="0.25">
      <c r="A4797" t="s">
        <v>146</v>
      </c>
      <c r="B4797">
        <f>217017.023159902*(1/100/100)</f>
        <v>21.7017023159902</v>
      </c>
      <c r="C4797">
        <v>56308</v>
      </c>
      <c r="D4797" t="s">
        <v>1411</v>
      </c>
      <c r="E4797">
        <v>50320</v>
      </c>
      <c r="F4797" t="s">
        <v>1411</v>
      </c>
      <c r="G4797">
        <v>503</v>
      </c>
      <c r="H4797" t="s">
        <v>96</v>
      </c>
      <c r="I4797">
        <v>5</v>
      </c>
      <c r="J4797" t="s">
        <v>93</v>
      </c>
    </row>
    <row r="4798" spans="1:10" x14ac:dyDescent="0.25">
      <c r="A4798" t="s">
        <v>146</v>
      </c>
      <c r="B4798">
        <f>118139.351608765*(1/100/100)</f>
        <v>11.8139351608765</v>
      </c>
      <c r="C4798">
        <v>56309</v>
      </c>
      <c r="D4798" t="s">
        <v>5978</v>
      </c>
      <c r="E4798">
        <v>50339</v>
      </c>
      <c r="F4798" t="s">
        <v>1428</v>
      </c>
      <c r="G4798">
        <v>503</v>
      </c>
      <c r="H4798" t="s">
        <v>96</v>
      </c>
      <c r="I4798">
        <v>5</v>
      </c>
      <c r="J4798" t="s">
        <v>93</v>
      </c>
    </row>
    <row r="4799" spans="1:10" x14ac:dyDescent="0.25">
      <c r="A4799" t="s">
        <v>146</v>
      </c>
      <c r="B4799">
        <f>41059.0791638757*(1/100/100)</f>
        <v>4.1059079163875705</v>
      </c>
      <c r="C4799">
        <v>56310</v>
      </c>
      <c r="D4799" t="s">
        <v>5645</v>
      </c>
      <c r="E4799">
        <v>50324</v>
      </c>
      <c r="F4799" t="s">
        <v>1415</v>
      </c>
      <c r="G4799">
        <v>503</v>
      </c>
      <c r="H4799" t="s">
        <v>96</v>
      </c>
      <c r="I4799">
        <v>5</v>
      </c>
      <c r="J4799" t="s">
        <v>93</v>
      </c>
    </row>
    <row r="4800" spans="1:10" x14ac:dyDescent="0.25">
      <c r="A4800" t="s">
        <v>146</v>
      </c>
      <c r="B4800">
        <f>72403.4502468568*(1/100/100)</f>
        <v>7.2403450246856798</v>
      </c>
      <c r="C4800">
        <v>56311</v>
      </c>
      <c r="D4800" t="s">
        <v>5979</v>
      </c>
      <c r="E4800">
        <v>50339</v>
      </c>
      <c r="F4800" t="s">
        <v>1428</v>
      </c>
      <c r="G4800">
        <v>503</v>
      </c>
      <c r="H4800" t="s">
        <v>96</v>
      </c>
      <c r="I4800">
        <v>5</v>
      </c>
      <c r="J4800" t="s">
        <v>93</v>
      </c>
    </row>
    <row r="4801" spans="1:10" x14ac:dyDescent="0.25">
      <c r="A4801" t="s">
        <v>146</v>
      </c>
      <c r="B4801">
        <f>32774.845070953*(1/100/100)</f>
        <v>3.2774845070953003</v>
      </c>
      <c r="C4801">
        <v>56312</v>
      </c>
      <c r="D4801" t="s">
        <v>5953</v>
      </c>
      <c r="E4801">
        <v>50324</v>
      </c>
      <c r="F4801" t="s">
        <v>1415</v>
      </c>
      <c r="G4801">
        <v>503</v>
      </c>
      <c r="H4801" t="s">
        <v>96</v>
      </c>
      <c r="I4801">
        <v>5</v>
      </c>
      <c r="J4801" t="s">
        <v>93</v>
      </c>
    </row>
    <row r="4802" spans="1:10" x14ac:dyDescent="0.25">
      <c r="A4802" t="s">
        <v>146</v>
      </c>
      <c r="B4802">
        <f>278093.409100717*(1/100/100)</f>
        <v>27.8093409100717</v>
      </c>
      <c r="C4802">
        <v>56313</v>
      </c>
      <c r="D4802" t="s">
        <v>5954</v>
      </c>
      <c r="E4802">
        <v>50324</v>
      </c>
      <c r="F4802" t="s">
        <v>1415</v>
      </c>
      <c r="G4802">
        <v>503</v>
      </c>
      <c r="H4802" t="s">
        <v>96</v>
      </c>
      <c r="I4802">
        <v>5</v>
      </c>
      <c r="J4802" t="s">
        <v>93</v>
      </c>
    </row>
    <row r="4803" spans="1:10" x14ac:dyDescent="0.25">
      <c r="A4803" t="s">
        <v>146</v>
      </c>
      <c r="B4803">
        <f>161349.903250485*(1/100/100)</f>
        <v>16.134990325048499</v>
      </c>
      <c r="C4803">
        <v>56314</v>
      </c>
      <c r="D4803" t="s">
        <v>5955</v>
      </c>
      <c r="E4803">
        <v>50324</v>
      </c>
      <c r="F4803" t="s">
        <v>1415</v>
      </c>
      <c r="G4803">
        <v>503</v>
      </c>
      <c r="H4803" t="s">
        <v>96</v>
      </c>
      <c r="I4803">
        <v>5</v>
      </c>
      <c r="J4803" t="s">
        <v>93</v>
      </c>
    </row>
    <row r="4804" spans="1:10" x14ac:dyDescent="0.25">
      <c r="A4804" t="s">
        <v>146</v>
      </c>
      <c r="B4804">
        <f>99910.6870077034*(1/100/100)</f>
        <v>9.9910687007703398</v>
      </c>
      <c r="C4804">
        <v>56315</v>
      </c>
      <c r="D4804" t="s">
        <v>5980</v>
      </c>
      <c r="E4804">
        <v>50339</v>
      </c>
      <c r="F4804" t="s">
        <v>1428</v>
      </c>
      <c r="G4804">
        <v>503</v>
      </c>
      <c r="H4804" t="s">
        <v>96</v>
      </c>
      <c r="I4804">
        <v>5</v>
      </c>
      <c r="J4804" t="s">
        <v>93</v>
      </c>
    </row>
    <row r="4805" spans="1:10" x14ac:dyDescent="0.25">
      <c r="A4805" t="s">
        <v>146</v>
      </c>
      <c r="B4805">
        <f>174587.799659746*(1/100/100)</f>
        <v>17.4587799659746</v>
      </c>
      <c r="C4805">
        <v>56316</v>
      </c>
      <c r="D4805" t="s">
        <v>5981</v>
      </c>
      <c r="E4805">
        <v>50339</v>
      </c>
      <c r="F4805" t="s">
        <v>1428</v>
      </c>
      <c r="G4805">
        <v>503</v>
      </c>
      <c r="H4805" t="s">
        <v>96</v>
      </c>
      <c r="I4805">
        <v>5</v>
      </c>
      <c r="J4805" t="s">
        <v>93</v>
      </c>
    </row>
    <row r="4806" spans="1:10" x14ac:dyDescent="0.25">
      <c r="A4806" t="s">
        <v>146</v>
      </c>
      <c r="B4806">
        <f>120318.117782964*(1/100/100)</f>
        <v>12.031811778296399</v>
      </c>
      <c r="C4806">
        <v>56317</v>
      </c>
      <c r="D4806" t="s">
        <v>5829</v>
      </c>
      <c r="E4806">
        <v>50339</v>
      </c>
      <c r="F4806" t="s">
        <v>1428</v>
      </c>
      <c r="G4806">
        <v>503</v>
      </c>
      <c r="H4806" t="s">
        <v>96</v>
      </c>
      <c r="I4806">
        <v>5</v>
      </c>
      <c r="J4806" t="s">
        <v>93</v>
      </c>
    </row>
    <row r="4807" spans="1:10" x14ac:dyDescent="0.25">
      <c r="A4807" t="s">
        <v>146</v>
      </c>
      <c r="B4807">
        <f>198871.474608046*(1/100/100)</f>
        <v>19.887147460804602</v>
      </c>
      <c r="C4807">
        <v>56318</v>
      </c>
      <c r="D4807" t="s">
        <v>5970</v>
      </c>
      <c r="E4807">
        <v>50335</v>
      </c>
      <c r="F4807" t="s">
        <v>1424</v>
      </c>
      <c r="G4807">
        <v>503</v>
      </c>
      <c r="H4807" t="s">
        <v>96</v>
      </c>
      <c r="I4807">
        <v>5</v>
      </c>
      <c r="J4807" t="s">
        <v>93</v>
      </c>
    </row>
    <row r="4808" spans="1:10" x14ac:dyDescent="0.25">
      <c r="A4808" t="s">
        <v>146</v>
      </c>
      <c r="B4808">
        <f>326214.935920718*(1/100/100)</f>
        <v>32.621493592071801</v>
      </c>
      <c r="C4808">
        <v>56319</v>
      </c>
      <c r="D4808" t="s">
        <v>5971</v>
      </c>
      <c r="E4808">
        <v>50335</v>
      </c>
      <c r="F4808" t="s">
        <v>1424</v>
      </c>
      <c r="G4808">
        <v>503</v>
      </c>
      <c r="H4808" t="s">
        <v>96</v>
      </c>
      <c r="I4808">
        <v>5</v>
      </c>
      <c r="J4808" t="s">
        <v>93</v>
      </c>
    </row>
    <row r="4809" spans="1:10" x14ac:dyDescent="0.25">
      <c r="A4809" t="s">
        <v>146</v>
      </c>
      <c r="B4809">
        <f>319378.286479049*(1/100/100)</f>
        <v>31.937828647904904</v>
      </c>
      <c r="C4809">
        <v>56320</v>
      </c>
      <c r="D4809" t="s">
        <v>5982</v>
      </c>
      <c r="E4809">
        <v>50339</v>
      </c>
      <c r="F4809" t="s">
        <v>1428</v>
      </c>
      <c r="G4809">
        <v>503</v>
      </c>
      <c r="H4809" t="s">
        <v>96</v>
      </c>
      <c r="I4809">
        <v>5</v>
      </c>
      <c r="J4809" t="s">
        <v>93</v>
      </c>
    </row>
    <row r="4810" spans="1:10" x14ac:dyDescent="0.25">
      <c r="A4810" t="s">
        <v>146</v>
      </c>
      <c r="B4810">
        <f>85557.8709441243*(1/100/100)</f>
        <v>8.5557870944124303</v>
      </c>
      <c r="C4810">
        <v>56401</v>
      </c>
      <c r="D4810" t="s">
        <v>5928</v>
      </c>
      <c r="E4810">
        <v>50302</v>
      </c>
      <c r="F4810" t="s">
        <v>1393</v>
      </c>
      <c r="G4810">
        <v>503</v>
      </c>
      <c r="H4810" t="s">
        <v>96</v>
      </c>
      <c r="I4810">
        <v>5</v>
      </c>
      <c r="J4810" t="s">
        <v>93</v>
      </c>
    </row>
    <row r="4811" spans="1:10" x14ac:dyDescent="0.25">
      <c r="A4811" t="s">
        <v>146</v>
      </c>
      <c r="B4811">
        <f>231650.269568876*(1/100/100)</f>
        <v>23.165026956887601</v>
      </c>
      <c r="C4811">
        <v>56402</v>
      </c>
      <c r="D4811" t="s">
        <v>1393</v>
      </c>
      <c r="E4811">
        <v>50302</v>
      </c>
      <c r="F4811" t="s">
        <v>1393</v>
      </c>
      <c r="G4811">
        <v>503</v>
      </c>
      <c r="H4811" t="s">
        <v>96</v>
      </c>
      <c r="I4811">
        <v>5</v>
      </c>
      <c r="J4811" t="s">
        <v>93</v>
      </c>
    </row>
    <row r="4812" spans="1:10" x14ac:dyDescent="0.25">
      <c r="A4812" t="s">
        <v>146</v>
      </c>
      <c r="B4812">
        <f>77679.1270683364*(1/100/100)</f>
        <v>7.7679127068336404</v>
      </c>
      <c r="C4812">
        <v>56403</v>
      </c>
      <c r="D4812" t="s">
        <v>5949</v>
      </c>
      <c r="E4812">
        <v>50322</v>
      </c>
      <c r="F4812" t="s">
        <v>1413</v>
      </c>
      <c r="G4812">
        <v>503</v>
      </c>
      <c r="H4812" t="s">
        <v>96</v>
      </c>
      <c r="I4812">
        <v>5</v>
      </c>
      <c r="J4812" t="s">
        <v>93</v>
      </c>
    </row>
    <row r="4813" spans="1:10" x14ac:dyDescent="0.25">
      <c r="A4813" t="s">
        <v>146</v>
      </c>
      <c r="B4813">
        <f>179231.380062537*(1/100/100)</f>
        <v>17.923138006253701</v>
      </c>
      <c r="C4813">
        <v>56404</v>
      </c>
      <c r="D4813" t="s">
        <v>1397</v>
      </c>
      <c r="E4813">
        <v>50306</v>
      </c>
      <c r="F4813" t="s">
        <v>1397</v>
      </c>
      <c r="G4813">
        <v>503</v>
      </c>
      <c r="H4813" t="s">
        <v>96</v>
      </c>
      <c r="I4813">
        <v>5</v>
      </c>
      <c r="J4813" t="s">
        <v>93</v>
      </c>
    </row>
    <row r="4814" spans="1:10" x14ac:dyDescent="0.25">
      <c r="A4814" t="s">
        <v>146</v>
      </c>
      <c r="B4814">
        <f>113225.530049513*(1/100/100)</f>
        <v>11.322553004951301</v>
      </c>
      <c r="C4814">
        <v>56405</v>
      </c>
      <c r="D4814" t="s">
        <v>1404</v>
      </c>
      <c r="E4814">
        <v>50313</v>
      </c>
      <c r="F4814" t="s">
        <v>1404</v>
      </c>
      <c r="G4814">
        <v>503</v>
      </c>
      <c r="H4814" t="s">
        <v>96</v>
      </c>
      <c r="I4814">
        <v>5</v>
      </c>
      <c r="J4814" t="s">
        <v>93</v>
      </c>
    </row>
    <row r="4815" spans="1:10" x14ac:dyDescent="0.25">
      <c r="A4815" t="s">
        <v>146</v>
      </c>
      <c r="B4815">
        <f>90744.6733028075*(1/100/100)</f>
        <v>9.0744673302807506</v>
      </c>
      <c r="C4815">
        <v>56406</v>
      </c>
      <c r="D4815" t="s">
        <v>1364</v>
      </c>
      <c r="E4815">
        <v>50329</v>
      </c>
      <c r="F4815" t="s">
        <v>1420</v>
      </c>
      <c r="G4815">
        <v>503</v>
      </c>
      <c r="H4815" t="s">
        <v>96</v>
      </c>
      <c r="I4815">
        <v>5</v>
      </c>
      <c r="J4815" t="s">
        <v>93</v>
      </c>
    </row>
    <row r="4816" spans="1:10" x14ac:dyDescent="0.25">
      <c r="A4816" t="s">
        <v>146</v>
      </c>
      <c r="B4816">
        <f>46582.4173395041*(1/100/100)</f>
        <v>4.6582417339504101</v>
      </c>
      <c r="C4816">
        <v>56407</v>
      </c>
      <c r="D4816" t="s">
        <v>5961</v>
      </c>
      <c r="E4816">
        <v>50329</v>
      </c>
      <c r="F4816" t="s">
        <v>1420</v>
      </c>
      <c r="G4816">
        <v>503</v>
      </c>
      <c r="H4816" t="s">
        <v>96</v>
      </c>
      <c r="I4816">
        <v>5</v>
      </c>
      <c r="J4816" t="s">
        <v>93</v>
      </c>
    </row>
    <row r="4817" spans="1:10" x14ac:dyDescent="0.25">
      <c r="A4817" t="s">
        <v>146</v>
      </c>
      <c r="B4817">
        <f>251246.354332568*(1/100/100)</f>
        <v>25.124635433256802</v>
      </c>
      <c r="C4817">
        <v>56408</v>
      </c>
      <c r="D4817" t="s">
        <v>1413</v>
      </c>
      <c r="E4817">
        <v>50322</v>
      </c>
      <c r="F4817" t="s">
        <v>1413</v>
      </c>
      <c r="G4817">
        <v>503</v>
      </c>
      <c r="H4817" t="s">
        <v>96</v>
      </c>
      <c r="I4817">
        <v>5</v>
      </c>
      <c r="J4817" t="s">
        <v>93</v>
      </c>
    </row>
    <row r="4818" spans="1:10" x14ac:dyDescent="0.25">
      <c r="A4818" t="s">
        <v>146</v>
      </c>
      <c r="B4818">
        <f>146082.422880492*(1/100/100)</f>
        <v>14.608242288049201</v>
      </c>
      <c r="C4818">
        <v>56409</v>
      </c>
      <c r="D4818" t="s">
        <v>5956</v>
      </c>
      <c r="E4818">
        <v>50325</v>
      </c>
      <c r="F4818" t="s">
        <v>1416</v>
      </c>
      <c r="G4818">
        <v>503</v>
      </c>
      <c r="H4818" t="s">
        <v>96</v>
      </c>
      <c r="I4818">
        <v>5</v>
      </c>
      <c r="J4818" t="s">
        <v>93</v>
      </c>
    </row>
    <row r="4819" spans="1:10" x14ac:dyDescent="0.25">
      <c r="A4819" t="s">
        <v>146</v>
      </c>
      <c r="B4819">
        <f>301137.786582502*(1/100/100)</f>
        <v>30.113778658250201</v>
      </c>
      <c r="C4819">
        <v>56410</v>
      </c>
      <c r="D4819" t="s">
        <v>3770</v>
      </c>
      <c r="E4819">
        <v>50326</v>
      </c>
      <c r="F4819" t="s">
        <v>1417</v>
      </c>
      <c r="G4819">
        <v>503</v>
      </c>
      <c r="H4819" t="s">
        <v>96</v>
      </c>
      <c r="I4819">
        <v>5</v>
      </c>
      <c r="J4819" t="s">
        <v>93</v>
      </c>
    </row>
    <row r="4820" spans="1:10" x14ac:dyDescent="0.25">
      <c r="A4820" t="s">
        <v>146</v>
      </c>
      <c r="B4820">
        <f>45408.0010444831*(1/100/100)</f>
        <v>4.5408001044483104</v>
      </c>
      <c r="C4820">
        <v>56411</v>
      </c>
      <c r="D4820" t="s">
        <v>5957</v>
      </c>
      <c r="E4820">
        <v>50325</v>
      </c>
      <c r="F4820" t="s">
        <v>1416</v>
      </c>
      <c r="G4820">
        <v>503</v>
      </c>
      <c r="H4820" t="s">
        <v>96</v>
      </c>
      <c r="I4820">
        <v>5</v>
      </c>
      <c r="J4820" t="s">
        <v>93</v>
      </c>
    </row>
    <row r="4821" spans="1:10" x14ac:dyDescent="0.25">
      <c r="A4821" t="s">
        <v>146</v>
      </c>
      <c r="B4821">
        <f>52898.0302104516*(1/100/100)</f>
        <v>5.2898030210451603</v>
      </c>
      <c r="C4821">
        <v>56412</v>
      </c>
      <c r="D4821" t="s">
        <v>5950</v>
      </c>
      <c r="E4821">
        <v>50322</v>
      </c>
      <c r="F4821" t="s">
        <v>1413</v>
      </c>
      <c r="G4821">
        <v>503</v>
      </c>
      <c r="H4821" t="s">
        <v>96</v>
      </c>
      <c r="I4821">
        <v>5</v>
      </c>
      <c r="J4821" t="s">
        <v>93</v>
      </c>
    </row>
    <row r="4822" spans="1:10" x14ac:dyDescent="0.25">
      <c r="A4822" t="s">
        <v>146</v>
      </c>
      <c r="B4822">
        <f>225358.558709324*(1/100/100)</f>
        <v>22.535855870932402</v>
      </c>
      <c r="C4822">
        <v>56413</v>
      </c>
      <c r="D4822" t="s">
        <v>2122</v>
      </c>
      <c r="E4822">
        <v>50329</v>
      </c>
      <c r="F4822" t="s">
        <v>1420</v>
      </c>
      <c r="G4822">
        <v>503</v>
      </c>
      <c r="H4822" t="s">
        <v>96</v>
      </c>
      <c r="I4822">
        <v>5</v>
      </c>
      <c r="J4822" t="s">
        <v>93</v>
      </c>
    </row>
    <row r="4823" spans="1:10" x14ac:dyDescent="0.25">
      <c r="A4823" t="s">
        <v>146</v>
      </c>
      <c r="B4823">
        <f>101046.11225603*(1/100/100)</f>
        <v>10.104611225603</v>
      </c>
      <c r="C4823">
        <v>56414</v>
      </c>
      <c r="D4823" t="s">
        <v>5951</v>
      </c>
      <c r="E4823">
        <v>50322</v>
      </c>
      <c r="F4823" t="s">
        <v>1413</v>
      </c>
      <c r="G4823">
        <v>503</v>
      </c>
      <c r="H4823" t="s">
        <v>96</v>
      </c>
      <c r="I4823">
        <v>5</v>
      </c>
      <c r="J4823" t="s">
        <v>93</v>
      </c>
    </row>
    <row r="4824" spans="1:10" x14ac:dyDescent="0.25">
      <c r="A4824" t="s">
        <v>146</v>
      </c>
      <c r="B4824">
        <f>120725.421897048*(1/100/100)</f>
        <v>12.0725421897048</v>
      </c>
      <c r="C4824">
        <v>56415</v>
      </c>
      <c r="D4824" t="s">
        <v>5958</v>
      </c>
      <c r="E4824">
        <v>50325</v>
      </c>
      <c r="F4824" t="s">
        <v>1416</v>
      </c>
      <c r="G4824">
        <v>503</v>
      </c>
      <c r="H4824" t="s">
        <v>96</v>
      </c>
      <c r="I4824">
        <v>5</v>
      </c>
      <c r="J4824" t="s">
        <v>93</v>
      </c>
    </row>
    <row r="4825" spans="1:10" x14ac:dyDescent="0.25">
      <c r="A4825" t="s">
        <v>146</v>
      </c>
      <c r="B4825">
        <f>291803.463517038*(1/100/100)</f>
        <v>29.1803463517038</v>
      </c>
      <c r="C4825">
        <v>56416</v>
      </c>
      <c r="D4825" t="s">
        <v>1396</v>
      </c>
      <c r="E4825">
        <v>50305</v>
      </c>
      <c r="F4825" t="s">
        <v>1396</v>
      </c>
      <c r="G4825">
        <v>503</v>
      </c>
      <c r="H4825" t="s">
        <v>96</v>
      </c>
      <c r="I4825">
        <v>5</v>
      </c>
      <c r="J4825" t="s">
        <v>93</v>
      </c>
    </row>
    <row r="4826" spans="1:10" x14ac:dyDescent="0.25">
      <c r="A4826" t="s">
        <v>146</v>
      </c>
      <c r="B4826">
        <f>615777.278613866*(1/100/100)</f>
        <v>61.577727861386599</v>
      </c>
      <c r="C4826">
        <v>56501</v>
      </c>
      <c r="D4826" t="s">
        <v>5883</v>
      </c>
      <c r="E4826">
        <v>50101</v>
      </c>
      <c r="F4826" t="s">
        <v>93</v>
      </c>
      <c r="G4826">
        <v>501</v>
      </c>
      <c r="H4826" t="s">
        <v>94</v>
      </c>
      <c r="I4826">
        <v>5</v>
      </c>
      <c r="J4826" t="s">
        <v>93</v>
      </c>
    </row>
    <row r="4827" spans="1:10" x14ac:dyDescent="0.25">
      <c r="A4827" t="s">
        <v>146</v>
      </c>
      <c r="B4827">
        <f>331202.29503152*(1/100/100)</f>
        <v>33.120229503152004</v>
      </c>
      <c r="C4827">
        <v>56502</v>
      </c>
      <c r="D4827" t="s">
        <v>1392</v>
      </c>
      <c r="E4827">
        <v>50301</v>
      </c>
      <c r="F4827" t="s">
        <v>1392</v>
      </c>
      <c r="G4827">
        <v>503</v>
      </c>
      <c r="H4827" t="s">
        <v>96</v>
      </c>
      <c r="I4827">
        <v>5</v>
      </c>
      <c r="J4827" t="s">
        <v>93</v>
      </c>
    </row>
    <row r="4828" spans="1:10" x14ac:dyDescent="0.25">
      <c r="A4828" t="s">
        <v>146</v>
      </c>
      <c r="B4828">
        <f>400504.535151976*(1/100/100)</f>
        <v>40.050453515197603</v>
      </c>
      <c r="C4828">
        <v>56503</v>
      </c>
      <c r="D4828" t="s">
        <v>5929</v>
      </c>
      <c r="E4828">
        <v>50303</v>
      </c>
      <c r="F4828" t="s">
        <v>1394</v>
      </c>
      <c r="G4828">
        <v>503</v>
      </c>
      <c r="H4828" t="s">
        <v>96</v>
      </c>
      <c r="I4828">
        <v>5</v>
      </c>
      <c r="J4828" t="s">
        <v>93</v>
      </c>
    </row>
    <row r="4829" spans="1:10" x14ac:dyDescent="0.25">
      <c r="A4829" t="s">
        <v>146</v>
      </c>
      <c r="B4829">
        <f>124346.975904087*(1/100/100)</f>
        <v>12.4346975904087</v>
      </c>
      <c r="C4829">
        <v>56504</v>
      </c>
      <c r="D4829" t="s">
        <v>490</v>
      </c>
      <c r="E4829">
        <v>50304</v>
      </c>
      <c r="F4829" t="s">
        <v>1395</v>
      </c>
      <c r="G4829">
        <v>503</v>
      </c>
      <c r="H4829" t="s">
        <v>96</v>
      </c>
      <c r="I4829">
        <v>5</v>
      </c>
      <c r="J4829" t="s">
        <v>93</v>
      </c>
    </row>
    <row r="4830" spans="1:10" x14ac:dyDescent="0.25">
      <c r="A4830" t="s">
        <v>146</v>
      </c>
      <c r="B4830">
        <f>27340.6769616442*(1/100/100)</f>
        <v>2.7340676961644199</v>
      </c>
      <c r="C4830">
        <v>56505</v>
      </c>
      <c r="D4830" t="s">
        <v>5931</v>
      </c>
      <c r="E4830">
        <v>50307</v>
      </c>
      <c r="F4830" t="s">
        <v>1398</v>
      </c>
      <c r="G4830">
        <v>503</v>
      </c>
      <c r="H4830" t="s">
        <v>96</v>
      </c>
      <c r="I4830">
        <v>5</v>
      </c>
      <c r="J4830" t="s">
        <v>93</v>
      </c>
    </row>
    <row r="4831" spans="1:10" x14ac:dyDescent="0.25">
      <c r="A4831" t="s">
        <v>146</v>
      </c>
      <c r="B4831">
        <f>39650.7841103122*(1/100/100)</f>
        <v>3.9650784110312198</v>
      </c>
      <c r="C4831">
        <v>56506</v>
      </c>
      <c r="D4831" t="s">
        <v>5932</v>
      </c>
      <c r="E4831">
        <v>50307</v>
      </c>
      <c r="F4831" t="s">
        <v>1398</v>
      </c>
      <c r="G4831">
        <v>503</v>
      </c>
      <c r="H4831" t="s">
        <v>96</v>
      </c>
      <c r="I4831">
        <v>5</v>
      </c>
      <c r="J4831" t="s">
        <v>93</v>
      </c>
    </row>
    <row r="4832" spans="1:10" x14ac:dyDescent="0.25">
      <c r="A4832" t="s">
        <v>146</v>
      </c>
      <c r="B4832">
        <f>226698.934152047*(1/100/100)</f>
        <v>22.669893415204701</v>
      </c>
      <c r="C4832">
        <v>56507</v>
      </c>
      <c r="D4832" t="s">
        <v>1399</v>
      </c>
      <c r="E4832">
        <v>50308</v>
      </c>
      <c r="F4832" t="s">
        <v>1399</v>
      </c>
      <c r="G4832">
        <v>503</v>
      </c>
      <c r="H4832" t="s">
        <v>96</v>
      </c>
      <c r="I4832">
        <v>5</v>
      </c>
      <c r="J4832" t="s">
        <v>93</v>
      </c>
    </row>
    <row r="4833" spans="1:10" x14ac:dyDescent="0.25">
      <c r="A4833" t="s">
        <v>146</v>
      </c>
      <c r="B4833">
        <f>209068.64413539*(1/100/100)</f>
        <v>20.906864413539001</v>
      </c>
      <c r="C4833">
        <v>56508</v>
      </c>
      <c r="D4833" t="s">
        <v>1400</v>
      </c>
      <c r="E4833">
        <v>50309</v>
      </c>
      <c r="F4833" t="s">
        <v>1400</v>
      </c>
      <c r="G4833">
        <v>503</v>
      </c>
      <c r="H4833" t="s">
        <v>96</v>
      </c>
      <c r="I4833">
        <v>5</v>
      </c>
      <c r="J4833" t="s">
        <v>93</v>
      </c>
    </row>
    <row r="4834" spans="1:10" x14ac:dyDescent="0.25">
      <c r="A4834" t="s">
        <v>146</v>
      </c>
      <c r="B4834">
        <f>15411.9041696134*(1/100/100)</f>
        <v>1.5411904169613402</v>
      </c>
      <c r="C4834">
        <v>56509</v>
      </c>
      <c r="D4834" t="s">
        <v>5966</v>
      </c>
      <c r="E4834">
        <v>50331</v>
      </c>
      <c r="F4834" t="s">
        <v>1422</v>
      </c>
      <c r="G4834">
        <v>503</v>
      </c>
      <c r="H4834" t="s">
        <v>96</v>
      </c>
      <c r="I4834">
        <v>5</v>
      </c>
      <c r="J4834" t="s">
        <v>93</v>
      </c>
    </row>
    <row r="4835" spans="1:10" x14ac:dyDescent="0.25">
      <c r="A4835" t="s">
        <v>146</v>
      </c>
      <c r="B4835">
        <f>394308.806420923*(1/100/100)</f>
        <v>39.430880642092298</v>
      </c>
      <c r="C4835">
        <v>56510</v>
      </c>
      <c r="D4835" t="s">
        <v>1401</v>
      </c>
      <c r="E4835">
        <v>50310</v>
      </c>
      <c r="F4835" t="s">
        <v>1401</v>
      </c>
      <c r="G4835">
        <v>503</v>
      </c>
      <c r="H4835" t="s">
        <v>96</v>
      </c>
      <c r="I4835">
        <v>5</v>
      </c>
      <c r="J4835" t="s">
        <v>93</v>
      </c>
    </row>
    <row r="4836" spans="1:10" x14ac:dyDescent="0.25">
      <c r="A4836" t="s">
        <v>146</v>
      </c>
      <c r="B4836">
        <f>35688.7485468099*(1/100/100)</f>
        <v>3.5688748546809896</v>
      </c>
      <c r="C4836">
        <v>56511</v>
      </c>
      <c r="D4836" t="s">
        <v>5935</v>
      </c>
      <c r="E4836">
        <v>50309</v>
      </c>
      <c r="F4836" t="s">
        <v>1400</v>
      </c>
      <c r="G4836">
        <v>503</v>
      </c>
      <c r="H4836" t="s">
        <v>96</v>
      </c>
      <c r="I4836">
        <v>5</v>
      </c>
      <c r="J4836" t="s">
        <v>93</v>
      </c>
    </row>
    <row r="4837" spans="1:10" x14ac:dyDescent="0.25">
      <c r="A4837" t="s">
        <v>146</v>
      </c>
      <c r="B4837">
        <f>101890.491274181*(1/100/100)</f>
        <v>10.1890491274181</v>
      </c>
      <c r="C4837">
        <v>56512</v>
      </c>
      <c r="D4837" t="s">
        <v>449</v>
      </c>
      <c r="E4837">
        <v>50314</v>
      </c>
      <c r="F4837" t="s">
        <v>1405</v>
      </c>
      <c r="G4837">
        <v>503</v>
      </c>
      <c r="H4837" t="s">
        <v>96</v>
      </c>
      <c r="I4837">
        <v>5</v>
      </c>
      <c r="J4837" t="s">
        <v>93</v>
      </c>
    </row>
    <row r="4838" spans="1:10" x14ac:dyDescent="0.25">
      <c r="A4838" t="s">
        <v>146</v>
      </c>
      <c r="B4838">
        <f>438831.893803433*(1/100/100)</f>
        <v>43.883189380343303</v>
      </c>
      <c r="C4838">
        <v>56513</v>
      </c>
      <c r="D4838" t="s">
        <v>5884</v>
      </c>
      <c r="E4838">
        <v>50101</v>
      </c>
      <c r="F4838" t="s">
        <v>93</v>
      </c>
      <c r="G4838">
        <v>501</v>
      </c>
      <c r="H4838" t="s">
        <v>94</v>
      </c>
      <c r="I4838">
        <v>5</v>
      </c>
      <c r="J4838" t="s">
        <v>93</v>
      </c>
    </row>
    <row r="4839" spans="1:10" x14ac:dyDescent="0.25">
      <c r="A4839" t="s">
        <v>146</v>
      </c>
      <c r="B4839">
        <f>105283.242316483*(1/100/100)</f>
        <v>10.5283242316483</v>
      </c>
      <c r="C4839">
        <v>56514</v>
      </c>
      <c r="D4839" t="s">
        <v>5974</v>
      </c>
      <c r="E4839">
        <v>50338</v>
      </c>
      <c r="F4839" t="s">
        <v>1427</v>
      </c>
      <c r="G4839">
        <v>503</v>
      </c>
      <c r="H4839" t="s">
        <v>96</v>
      </c>
      <c r="I4839">
        <v>5</v>
      </c>
      <c r="J4839" t="s">
        <v>93</v>
      </c>
    </row>
    <row r="4840" spans="1:10" x14ac:dyDescent="0.25">
      <c r="A4840" t="s">
        <v>146</v>
      </c>
      <c r="B4840">
        <f>330595.319736067*(1/100/100)</f>
        <v>33.059531973606695</v>
      </c>
      <c r="C4840">
        <v>56515</v>
      </c>
      <c r="D4840" t="s">
        <v>1405</v>
      </c>
      <c r="E4840">
        <v>50314</v>
      </c>
      <c r="F4840" t="s">
        <v>1405</v>
      </c>
      <c r="G4840">
        <v>503</v>
      </c>
      <c r="H4840" t="s">
        <v>96</v>
      </c>
      <c r="I4840">
        <v>5</v>
      </c>
      <c r="J4840" t="s">
        <v>93</v>
      </c>
    </row>
    <row r="4841" spans="1:10" x14ac:dyDescent="0.25">
      <c r="A4841" t="s">
        <v>146</v>
      </c>
      <c r="B4841">
        <f>65984.0463538272*(1/100/100)</f>
        <v>6.5984046353827202</v>
      </c>
      <c r="C4841">
        <v>56516</v>
      </c>
      <c r="D4841" t="s">
        <v>2725</v>
      </c>
      <c r="E4841">
        <v>50304</v>
      </c>
      <c r="F4841" t="s">
        <v>1395</v>
      </c>
      <c r="G4841">
        <v>503</v>
      </c>
      <c r="H4841" t="s">
        <v>96</v>
      </c>
      <c r="I4841">
        <v>5</v>
      </c>
      <c r="J4841" t="s">
        <v>93</v>
      </c>
    </row>
    <row r="4842" spans="1:10" x14ac:dyDescent="0.25">
      <c r="A4842" t="s">
        <v>146</v>
      </c>
      <c r="B4842">
        <f>193330.709327354*(1/100/100)</f>
        <v>19.333070932735403</v>
      </c>
      <c r="C4842">
        <v>56517</v>
      </c>
      <c r="D4842" t="s">
        <v>1406</v>
      </c>
      <c r="E4842">
        <v>50315</v>
      </c>
      <c r="F4842" t="s">
        <v>1406</v>
      </c>
      <c r="G4842">
        <v>503</v>
      </c>
      <c r="H4842" t="s">
        <v>96</v>
      </c>
      <c r="I4842">
        <v>5</v>
      </c>
      <c r="J4842" t="s">
        <v>93</v>
      </c>
    </row>
    <row r="4843" spans="1:10" x14ac:dyDescent="0.25">
      <c r="A4843" t="s">
        <v>146</v>
      </c>
      <c r="B4843">
        <f>316475.062643808*(1/100/100)</f>
        <v>31.647506264380805</v>
      </c>
      <c r="C4843">
        <v>56518</v>
      </c>
      <c r="D4843" t="s">
        <v>5944</v>
      </c>
      <c r="E4843">
        <v>50316</v>
      </c>
      <c r="F4843" t="s">
        <v>1407</v>
      </c>
      <c r="G4843">
        <v>503</v>
      </c>
      <c r="H4843" t="s">
        <v>96</v>
      </c>
      <c r="I4843">
        <v>5</v>
      </c>
      <c r="J4843" t="s">
        <v>93</v>
      </c>
    </row>
    <row r="4844" spans="1:10" x14ac:dyDescent="0.25">
      <c r="A4844" t="s">
        <v>146</v>
      </c>
      <c r="B4844">
        <f>94527.7944463069*(1/100/100)</f>
        <v>9.452779444630691</v>
      </c>
      <c r="C4844">
        <v>56519</v>
      </c>
      <c r="D4844" t="s">
        <v>5948</v>
      </c>
      <c r="E4844">
        <v>50321</v>
      </c>
      <c r="F4844" t="s">
        <v>1412</v>
      </c>
      <c r="G4844">
        <v>503</v>
      </c>
      <c r="H4844" t="s">
        <v>96</v>
      </c>
      <c r="I4844">
        <v>5</v>
      </c>
      <c r="J4844" t="s">
        <v>93</v>
      </c>
    </row>
    <row r="4845" spans="1:10" x14ac:dyDescent="0.25">
      <c r="A4845" t="s">
        <v>146</v>
      </c>
      <c r="B4845">
        <f>10435.9229293367*(1/100/100)</f>
        <v>1.0435922929336701</v>
      </c>
      <c r="C4845">
        <v>56520</v>
      </c>
      <c r="D4845" t="s">
        <v>5936</v>
      </c>
      <c r="E4845">
        <v>50309</v>
      </c>
      <c r="F4845" t="s">
        <v>1400</v>
      </c>
      <c r="G4845">
        <v>503</v>
      </c>
      <c r="H4845" t="s">
        <v>96</v>
      </c>
      <c r="I4845">
        <v>5</v>
      </c>
      <c r="J4845" t="s">
        <v>93</v>
      </c>
    </row>
    <row r="4846" spans="1:10" x14ac:dyDescent="0.25">
      <c r="A4846" t="s">
        <v>146</v>
      </c>
      <c r="B4846">
        <f>14500.4375481997*(1/100/100)</f>
        <v>1.4500437548199701</v>
      </c>
      <c r="C4846">
        <v>56521</v>
      </c>
      <c r="D4846" t="s">
        <v>5933</v>
      </c>
      <c r="E4846">
        <v>50307</v>
      </c>
      <c r="F4846" t="s">
        <v>1398</v>
      </c>
      <c r="G4846">
        <v>503</v>
      </c>
      <c r="H4846" t="s">
        <v>96</v>
      </c>
      <c r="I4846">
        <v>5</v>
      </c>
      <c r="J4846" t="s">
        <v>93</v>
      </c>
    </row>
    <row r="4847" spans="1:10" x14ac:dyDescent="0.25">
      <c r="A4847" t="s">
        <v>146</v>
      </c>
      <c r="B4847">
        <f>15458.8114729826*(1/100/100)</f>
        <v>1.5458811472982601</v>
      </c>
      <c r="C4847">
        <v>56522</v>
      </c>
      <c r="D4847" t="s">
        <v>3766</v>
      </c>
      <c r="E4847">
        <v>50323</v>
      </c>
      <c r="F4847" t="s">
        <v>1414</v>
      </c>
      <c r="G4847">
        <v>503</v>
      </c>
      <c r="H4847" t="s">
        <v>96</v>
      </c>
      <c r="I4847">
        <v>5</v>
      </c>
      <c r="J4847" t="s">
        <v>93</v>
      </c>
    </row>
    <row r="4848" spans="1:10" x14ac:dyDescent="0.25">
      <c r="A4848" t="s">
        <v>146</v>
      </c>
      <c r="B4848">
        <f>20016.8843287982*(1/100/100)</f>
        <v>2.0016884328798201</v>
      </c>
      <c r="C4848">
        <v>56523</v>
      </c>
      <c r="D4848" t="s">
        <v>5937</v>
      </c>
      <c r="E4848">
        <v>50309</v>
      </c>
      <c r="F4848" t="s">
        <v>1400</v>
      </c>
      <c r="G4848">
        <v>503</v>
      </c>
      <c r="H4848" t="s">
        <v>96</v>
      </c>
      <c r="I4848">
        <v>5</v>
      </c>
      <c r="J4848" t="s">
        <v>93</v>
      </c>
    </row>
    <row r="4849" spans="1:10" x14ac:dyDescent="0.25">
      <c r="A4849" t="s">
        <v>146</v>
      </c>
      <c r="B4849">
        <f>466371.851676025*(1/100/100)</f>
        <v>46.637185167602503</v>
      </c>
      <c r="C4849">
        <v>56524</v>
      </c>
      <c r="D4849" t="s">
        <v>5885</v>
      </c>
      <c r="E4849">
        <v>50101</v>
      </c>
      <c r="F4849" t="s">
        <v>93</v>
      </c>
      <c r="G4849">
        <v>501</v>
      </c>
      <c r="H4849" t="s">
        <v>94</v>
      </c>
      <c r="I4849">
        <v>5</v>
      </c>
      <c r="J4849" t="s">
        <v>93</v>
      </c>
    </row>
    <row r="4850" spans="1:10" x14ac:dyDescent="0.25">
      <c r="A4850" t="s">
        <v>146</v>
      </c>
      <c r="B4850">
        <f>28003.7575791697*(1/100/100)</f>
        <v>2.8003757579169704</v>
      </c>
      <c r="C4850">
        <v>56525</v>
      </c>
      <c r="D4850" t="s">
        <v>2496</v>
      </c>
      <c r="E4850">
        <v>50310</v>
      </c>
      <c r="F4850" t="s">
        <v>1401</v>
      </c>
      <c r="G4850">
        <v>503</v>
      </c>
      <c r="H4850" t="s">
        <v>96</v>
      </c>
      <c r="I4850">
        <v>5</v>
      </c>
      <c r="J4850" t="s">
        <v>93</v>
      </c>
    </row>
    <row r="4851" spans="1:10" x14ac:dyDescent="0.25">
      <c r="A4851" t="s">
        <v>146</v>
      </c>
      <c r="B4851">
        <f>182994.126693009*(1/100/100)</f>
        <v>18.299412669300899</v>
      </c>
      <c r="C4851">
        <v>56526</v>
      </c>
      <c r="D4851" t="s">
        <v>1412</v>
      </c>
      <c r="E4851">
        <v>50321</v>
      </c>
      <c r="F4851" t="s">
        <v>1412</v>
      </c>
      <c r="G4851">
        <v>503</v>
      </c>
      <c r="H4851" t="s">
        <v>96</v>
      </c>
      <c r="I4851">
        <v>5</v>
      </c>
      <c r="J4851" t="s">
        <v>93</v>
      </c>
    </row>
    <row r="4852" spans="1:10" x14ac:dyDescent="0.25">
      <c r="A4852" t="s">
        <v>146</v>
      </c>
      <c r="B4852">
        <f>277424.76223964*(1/100/100)</f>
        <v>27.742476223964001</v>
      </c>
      <c r="C4852">
        <v>56527</v>
      </c>
      <c r="D4852" t="s">
        <v>5886</v>
      </c>
      <c r="E4852">
        <v>50101</v>
      </c>
      <c r="F4852" t="s">
        <v>93</v>
      </c>
      <c r="G4852">
        <v>501</v>
      </c>
      <c r="H4852" t="s">
        <v>94</v>
      </c>
      <c r="I4852">
        <v>5</v>
      </c>
      <c r="J4852" t="s">
        <v>93</v>
      </c>
    </row>
    <row r="4853" spans="1:10" x14ac:dyDescent="0.25">
      <c r="A4853" t="s">
        <v>146</v>
      </c>
      <c r="B4853">
        <f>661702.36294359*(1/100/100)</f>
        <v>66.170236294359</v>
      </c>
      <c r="C4853">
        <v>56528</v>
      </c>
      <c r="D4853" t="s">
        <v>5887</v>
      </c>
      <c r="E4853">
        <v>50101</v>
      </c>
      <c r="F4853" t="s">
        <v>93</v>
      </c>
      <c r="G4853">
        <v>501</v>
      </c>
      <c r="H4853" t="s">
        <v>94</v>
      </c>
      <c r="I4853">
        <v>5</v>
      </c>
      <c r="J4853" t="s">
        <v>93</v>
      </c>
    </row>
    <row r="4854" spans="1:10" x14ac:dyDescent="0.25">
      <c r="A4854" t="s">
        <v>146</v>
      </c>
      <c r="B4854">
        <f>217401.936691911*(1/100/100)</f>
        <v>21.7401936691911</v>
      </c>
      <c r="C4854">
        <v>56529</v>
      </c>
      <c r="D4854" t="s">
        <v>1414</v>
      </c>
      <c r="E4854">
        <v>50323</v>
      </c>
      <c r="F4854" t="s">
        <v>1414</v>
      </c>
      <c r="G4854">
        <v>503</v>
      </c>
      <c r="H4854" t="s">
        <v>96</v>
      </c>
      <c r="I4854">
        <v>5</v>
      </c>
      <c r="J4854" t="s">
        <v>93</v>
      </c>
    </row>
    <row r="4855" spans="1:10" x14ac:dyDescent="0.25">
      <c r="A4855" t="s">
        <v>146</v>
      </c>
      <c r="B4855">
        <f>70493.846561367*(1/100/100)</f>
        <v>7.0493846561367004</v>
      </c>
      <c r="C4855">
        <v>56530</v>
      </c>
      <c r="D4855" t="s">
        <v>5645</v>
      </c>
      <c r="E4855">
        <v>50332</v>
      </c>
      <c r="F4855" t="s">
        <v>1423</v>
      </c>
      <c r="G4855">
        <v>503</v>
      </c>
      <c r="H4855" t="s">
        <v>96</v>
      </c>
      <c r="I4855">
        <v>5</v>
      </c>
      <c r="J4855" t="s">
        <v>93</v>
      </c>
    </row>
    <row r="4856" spans="1:10" x14ac:dyDescent="0.25">
      <c r="A4856" t="s">
        <v>146</v>
      </c>
      <c r="B4856">
        <f>864024.997431225*(1/100/100)</f>
        <v>86.402499743122505</v>
      </c>
      <c r="C4856">
        <v>56531</v>
      </c>
      <c r="D4856" t="s">
        <v>5888</v>
      </c>
      <c r="E4856">
        <v>50101</v>
      </c>
      <c r="F4856" t="s">
        <v>93</v>
      </c>
      <c r="G4856">
        <v>501</v>
      </c>
      <c r="H4856" t="s">
        <v>94</v>
      </c>
      <c r="I4856">
        <v>5</v>
      </c>
      <c r="J4856" t="s">
        <v>93</v>
      </c>
    </row>
    <row r="4857" spans="1:10" x14ac:dyDescent="0.25">
      <c r="A4857" t="s">
        <v>146</v>
      </c>
      <c r="B4857">
        <f>733208.137098187*(1/100/100)</f>
        <v>73.320813709818708</v>
      </c>
      <c r="C4857">
        <v>56532</v>
      </c>
      <c r="D4857" t="s">
        <v>5889</v>
      </c>
      <c r="E4857">
        <v>50101</v>
      </c>
      <c r="F4857" t="s">
        <v>93</v>
      </c>
      <c r="G4857">
        <v>501</v>
      </c>
      <c r="H4857" t="s">
        <v>94</v>
      </c>
      <c r="I4857">
        <v>5</v>
      </c>
      <c r="J4857" t="s">
        <v>93</v>
      </c>
    </row>
    <row r="4858" spans="1:10" x14ac:dyDescent="0.25">
      <c r="A4858" t="s">
        <v>146</v>
      </c>
      <c r="B4858">
        <f>155678.389149533*(1/100/100)</f>
        <v>15.567838914953301</v>
      </c>
      <c r="C4858">
        <v>56533</v>
      </c>
      <c r="D4858" t="s">
        <v>3949</v>
      </c>
      <c r="E4858">
        <v>50310</v>
      </c>
      <c r="F4858" t="s">
        <v>1401</v>
      </c>
      <c r="G4858">
        <v>503</v>
      </c>
      <c r="H4858" t="s">
        <v>96</v>
      </c>
      <c r="I4858">
        <v>5</v>
      </c>
      <c r="J4858" t="s">
        <v>93</v>
      </c>
    </row>
    <row r="4859" spans="1:10" x14ac:dyDescent="0.25">
      <c r="A4859" t="s">
        <v>146</v>
      </c>
      <c r="B4859">
        <f>62991.1506140122*(1/100/100)</f>
        <v>6.2991150614012206</v>
      </c>
      <c r="C4859">
        <v>56534</v>
      </c>
      <c r="D4859" t="s">
        <v>5952</v>
      </c>
      <c r="E4859">
        <v>50323</v>
      </c>
      <c r="F4859" t="s">
        <v>1414</v>
      </c>
      <c r="G4859">
        <v>503</v>
      </c>
      <c r="H4859" t="s">
        <v>96</v>
      </c>
      <c r="I4859">
        <v>5</v>
      </c>
      <c r="J4859" t="s">
        <v>93</v>
      </c>
    </row>
    <row r="4860" spans="1:10" x14ac:dyDescent="0.25">
      <c r="A4860" t="s">
        <v>146</v>
      </c>
      <c r="B4860">
        <f>269984.148746897*(1/100/100)</f>
        <v>26.998414874689701</v>
      </c>
      <c r="C4860">
        <v>56535</v>
      </c>
      <c r="D4860" t="s">
        <v>5959</v>
      </c>
      <c r="E4860">
        <v>50327</v>
      </c>
      <c r="F4860" t="s">
        <v>1418</v>
      </c>
      <c r="G4860">
        <v>503</v>
      </c>
      <c r="H4860" t="s">
        <v>96</v>
      </c>
      <c r="I4860">
        <v>5</v>
      </c>
      <c r="J4860" t="s">
        <v>93</v>
      </c>
    </row>
    <row r="4861" spans="1:10" x14ac:dyDescent="0.25">
      <c r="A4861" t="s">
        <v>146</v>
      </c>
      <c r="B4861">
        <f>99066.3487875637*(1/100/100)</f>
        <v>9.9066348787563694</v>
      </c>
      <c r="C4861">
        <v>56536</v>
      </c>
      <c r="D4861" t="s">
        <v>1419</v>
      </c>
      <c r="E4861">
        <v>50328</v>
      </c>
      <c r="F4861" t="s">
        <v>1419</v>
      </c>
      <c r="G4861">
        <v>503</v>
      </c>
      <c r="H4861" t="s">
        <v>96</v>
      </c>
      <c r="I4861">
        <v>5</v>
      </c>
      <c r="J4861" t="s">
        <v>93</v>
      </c>
    </row>
    <row r="4862" spans="1:10" x14ac:dyDescent="0.25">
      <c r="A4862" t="s">
        <v>146</v>
      </c>
      <c r="B4862">
        <f>1634755.70928157*(1/100/100)</f>
        <v>163.47557092815703</v>
      </c>
      <c r="C4862">
        <v>56537</v>
      </c>
      <c r="D4862" t="s">
        <v>93</v>
      </c>
      <c r="E4862">
        <v>50101</v>
      </c>
      <c r="F4862" t="s">
        <v>93</v>
      </c>
      <c r="G4862">
        <v>501</v>
      </c>
      <c r="H4862" t="s">
        <v>94</v>
      </c>
      <c r="I4862">
        <v>5</v>
      </c>
      <c r="J4862" t="s">
        <v>93</v>
      </c>
    </row>
    <row r="4863" spans="1:10" x14ac:dyDescent="0.25">
      <c r="A4863" t="s">
        <v>146</v>
      </c>
      <c r="B4863">
        <f>81142.7806549048*(1/100/100)</f>
        <v>8.1142780654904794</v>
      </c>
      <c r="C4863">
        <v>56538</v>
      </c>
      <c r="D4863" t="s">
        <v>1422</v>
      </c>
      <c r="E4863">
        <v>50331</v>
      </c>
      <c r="F4863" t="s">
        <v>1422</v>
      </c>
      <c r="G4863">
        <v>503</v>
      </c>
      <c r="H4863" t="s">
        <v>96</v>
      </c>
      <c r="I4863">
        <v>5</v>
      </c>
      <c r="J4863" t="s">
        <v>93</v>
      </c>
    </row>
    <row r="4864" spans="1:10" x14ac:dyDescent="0.25">
      <c r="A4864" t="s">
        <v>146</v>
      </c>
      <c r="B4864">
        <f>149786.670579131*(1/100/100)</f>
        <v>14.9786670579131</v>
      </c>
      <c r="C4864">
        <v>56539</v>
      </c>
      <c r="D4864" t="s">
        <v>5960</v>
      </c>
      <c r="E4864">
        <v>50327</v>
      </c>
      <c r="F4864" t="s">
        <v>1418</v>
      </c>
      <c r="G4864">
        <v>503</v>
      </c>
      <c r="H4864" t="s">
        <v>96</v>
      </c>
      <c r="I4864">
        <v>5</v>
      </c>
      <c r="J4864" t="s">
        <v>93</v>
      </c>
    </row>
    <row r="4865" spans="1:10" x14ac:dyDescent="0.25">
      <c r="A4865" t="s">
        <v>146</v>
      </c>
      <c r="B4865">
        <f>58111.9407069583*(1/100/100)</f>
        <v>5.8111940706958309</v>
      </c>
      <c r="C4865">
        <v>56540</v>
      </c>
      <c r="D4865" t="s">
        <v>5939</v>
      </c>
      <c r="E4865">
        <v>50310</v>
      </c>
      <c r="F4865" t="s">
        <v>1401</v>
      </c>
      <c r="G4865">
        <v>503</v>
      </c>
      <c r="H4865" t="s">
        <v>96</v>
      </c>
      <c r="I4865">
        <v>5</v>
      </c>
      <c r="J4865" t="s">
        <v>93</v>
      </c>
    </row>
    <row r="4866" spans="1:10" x14ac:dyDescent="0.25">
      <c r="A4866" t="s">
        <v>146</v>
      </c>
      <c r="B4866">
        <f>103642.343366145*(1/100/100)</f>
        <v>10.3642343366145</v>
      </c>
      <c r="C4866">
        <v>56541</v>
      </c>
      <c r="D4866" t="s">
        <v>1423</v>
      </c>
      <c r="E4866">
        <v>50332</v>
      </c>
      <c r="F4866" t="s">
        <v>1423</v>
      </c>
      <c r="G4866">
        <v>503</v>
      </c>
      <c r="H4866" t="s">
        <v>96</v>
      </c>
      <c r="I4866">
        <v>5</v>
      </c>
      <c r="J4866" t="s">
        <v>93</v>
      </c>
    </row>
    <row r="4867" spans="1:10" x14ac:dyDescent="0.25">
      <c r="A4867" t="s">
        <v>146</v>
      </c>
      <c r="B4867">
        <f>468090.218506196*(1/100/100)</f>
        <v>46.809021850619601</v>
      </c>
      <c r="C4867">
        <v>56542</v>
      </c>
      <c r="D4867" t="s">
        <v>5975</v>
      </c>
      <c r="E4867">
        <v>50338</v>
      </c>
      <c r="F4867" t="s">
        <v>1427</v>
      </c>
      <c r="G4867">
        <v>503</v>
      </c>
      <c r="H4867" t="s">
        <v>96</v>
      </c>
      <c r="I4867">
        <v>5</v>
      </c>
      <c r="J4867" t="s">
        <v>93</v>
      </c>
    </row>
    <row r="4868" spans="1:10" x14ac:dyDescent="0.25">
      <c r="A4868" t="s">
        <v>146</v>
      </c>
      <c r="B4868">
        <f>191223.048063532*(1/100/100)</f>
        <v>19.122304806353203</v>
      </c>
      <c r="C4868">
        <v>56543</v>
      </c>
      <c r="D4868" t="s">
        <v>5930</v>
      </c>
      <c r="E4868">
        <v>50303</v>
      </c>
      <c r="F4868" t="s">
        <v>1394</v>
      </c>
      <c r="G4868">
        <v>503</v>
      </c>
      <c r="H4868" t="s">
        <v>96</v>
      </c>
      <c r="I4868">
        <v>5</v>
      </c>
      <c r="J4868" t="s">
        <v>93</v>
      </c>
    </row>
    <row r="4869" spans="1:10" x14ac:dyDescent="0.25">
      <c r="A4869" t="s">
        <v>146</v>
      </c>
      <c r="B4869">
        <f>46480.7277562664*(1/100/100)</f>
        <v>4.6480727756266402</v>
      </c>
      <c r="C4869">
        <v>56544</v>
      </c>
      <c r="D4869" t="s">
        <v>5934</v>
      </c>
      <c r="E4869">
        <v>50307</v>
      </c>
      <c r="F4869" t="s">
        <v>1398</v>
      </c>
      <c r="G4869">
        <v>503</v>
      </c>
      <c r="H4869" t="s">
        <v>96</v>
      </c>
      <c r="I4869">
        <v>5</v>
      </c>
      <c r="J4869" t="s">
        <v>93</v>
      </c>
    </row>
    <row r="4870" spans="1:10" x14ac:dyDescent="0.25">
      <c r="A4870" t="s">
        <v>146</v>
      </c>
      <c r="B4870">
        <f>20355.9101394671*(1/100/100)</f>
        <v>2.0355910139467102</v>
      </c>
      <c r="C4870">
        <v>56545</v>
      </c>
      <c r="D4870" t="s">
        <v>5967</v>
      </c>
      <c r="E4870">
        <v>50331</v>
      </c>
      <c r="F4870" t="s">
        <v>1422</v>
      </c>
      <c r="G4870">
        <v>503</v>
      </c>
      <c r="H4870" t="s">
        <v>96</v>
      </c>
      <c r="I4870">
        <v>5</v>
      </c>
      <c r="J4870" t="s">
        <v>93</v>
      </c>
    </row>
    <row r="4871" spans="1:10" x14ac:dyDescent="0.25">
      <c r="A4871" t="s">
        <v>146</v>
      </c>
      <c r="B4871">
        <f>607990.899316564*(1/100/100)</f>
        <v>60.799089931656397</v>
      </c>
      <c r="C4871">
        <v>56546</v>
      </c>
      <c r="D4871" t="s">
        <v>5976</v>
      </c>
      <c r="E4871">
        <v>50338</v>
      </c>
      <c r="F4871" t="s">
        <v>1427</v>
      </c>
      <c r="G4871">
        <v>503</v>
      </c>
      <c r="H4871" t="s">
        <v>96</v>
      </c>
      <c r="I4871">
        <v>5</v>
      </c>
      <c r="J4871" t="s">
        <v>93</v>
      </c>
    </row>
    <row r="4872" spans="1:10" x14ac:dyDescent="0.25">
      <c r="A4872" t="s">
        <v>146</v>
      </c>
      <c r="B4872">
        <f>84052.828906784*(1/100/100)</f>
        <v>8.4052828906784001</v>
      </c>
      <c r="C4872">
        <v>56547</v>
      </c>
      <c r="D4872" t="s">
        <v>5938</v>
      </c>
      <c r="E4872">
        <v>50309</v>
      </c>
      <c r="F4872" t="s">
        <v>1400</v>
      </c>
      <c r="G4872">
        <v>503</v>
      </c>
      <c r="H4872" t="s">
        <v>96</v>
      </c>
      <c r="I4872">
        <v>5</v>
      </c>
      <c r="J4872" t="s">
        <v>93</v>
      </c>
    </row>
    <row r="4873" spans="1:10" x14ac:dyDescent="0.25">
      <c r="A4873" t="s">
        <v>146</v>
      </c>
      <c r="B4873">
        <f>101400.668363929*(1/100/100)</f>
        <v>10.140066836392901</v>
      </c>
      <c r="C4873">
        <v>56549</v>
      </c>
      <c r="D4873" t="s">
        <v>5890</v>
      </c>
      <c r="E4873">
        <v>50101</v>
      </c>
      <c r="F4873" t="s">
        <v>93</v>
      </c>
      <c r="G4873">
        <v>501</v>
      </c>
      <c r="H4873" t="s">
        <v>94</v>
      </c>
      <c r="I4873">
        <v>5</v>
      </c>
      <c r="J4873" t="s">
        <v>93</v>
      </c>
    </row>
    <row r="4874" spans="1:10" x14ac:dyDescent="0.25">
      <c r="A4874" t="s">
        <v>146</v>
      </c>
      <c r="B4874">
        <f>18009.7035058732*(1/100/100)</f>
        <v>1.80097035058732</v>
      </c>
      <c r="C4874">
        <v>56550</v>
      </c>
      <c r="D4874" t="s">
        <v>5891</v>
      </c>
      <c r="E4874">
        <v>50101</v>
      </c>
      <c r="F4874" t="s">
        <v>93</v>
      </c>
      <c r="G4874">
        <v>501</v>
      </c>
      <c r="H4874" t="s">
        <v>94</v>
      </c>
      <c r="I4874">
        <v>5</v>
      </c>
      <c r="J4874" t="s">
        <v>93</v>
      </c>
    </row>
    <row r="4875" spans="1:10" x14ac:dyDescent="0.25">
      <c r="A4875" t="s">
        <v>146</v>
      </c>
      <c r="B4875">
        <f>193336.286713881*(1/100/100)</f>
        <v>19.333628671388102</v>
      </c>
      <c r="C4875">
        <v>56551</v>
      </c>
      <c r="D4875" t="s">
        <v>5892</v>
      </c>
      <c r="E4875">
        <v>50101</v>
      </c>
      <c r="F4875" t="s">
        <v>93</v>
      </c>
      <c r="G4875">
        <v>501</v>
      </c>
      <c r="H4875" t="s">
        <v>94</v>
      </c>
      <c r="I4875">
        <v>5</v>
      </c>
      <c r="J4875" t="s">
        <v>93</v>
      </c>
    </row>
    <row r="4876" spans="1:10" x14ac:dyDescent="0.25">
      <c r="A4876" t="s">
        <v>146</v>
      </c>
      <c r="B4876">
        <f>3629.73400034222*(1/100/100)</f>
        <v>0.36297340003422202</v>
      </c>
      <c r="C4876">
        <v>56552</v>
      </c>
      <c r="D4876" t="s">
        <v>5893</v>
      </c>
      <c r="E4876">
        <v>50101</v>
      </c>
      <c r="F4876" t="s">
        <v>93</v>
      </c>
      <c r="G4876">
        <v>501</v>
      </c>
      <c r="H4876" t="s">
        <v>94</v>
      </c>
      <c r="I4876">
        <v>5</v>
      </c>
      <c r="J4876" t="s">
        <v>93</v>
      </c>
    </row>
    <row r="4877" spans="1:10" x14ac:dyDescent="0.25">
      <c r="A4877" t="s">
        <v>146</v>
      </c>
      <c r="B4877">
        <f>120767.273615748*(1/100/100)</f>
        <v>12.0767273615748</v>
      </c>
      <c r="C4877">
        <v>56553</v>
      </c>
      <c r="D4877" t="s">
        <v>5977</v>
      </c>
      <c r="E4877">
        <v>50338</v>
      </c>
      <c r="F4877" t="s">
        <v>1427</v>
      </c>
      <c r="G4877">
        <v>503</v>
      </c>
      <c r="H4877" t="s">
        <v>96</v>
      </c>
      <c r="I4877">
        <v>5</v>
      </c>
      <c r="J4877" t="s">
        <v>93</v>
      </c>
    </row>
    <row r="4878" spans="1:10" x14ac:dyDescent="0.25">
      <c r="A4878" t="s">
        <v>146</v>
      </c>
      <c r="B4878">
        <f>109312.205694533*(1/100/100)</f>
        <v>10.9312205694533</v>
      </c>
      <c r="C4878">
        <v>56554</v>
      </c>
      <c r="D4878" t="s">
        <v>5894</v>
      </c>
      <c r="E4878">
        <v>50101</v>
      </c>
      <c r="F4878" t="s">
        <v>93</v>
      </c>
      <c r="G4878">
        <v>501</v>
      </c>
      <c r="H4878" t="s">
        <v>94</v>
      </c>
      <c r="I4878">
        <v>5</v>
      </c>
      <c r="J4878" t="s">
        <v>93</v>
      </c>
    </row>
    <row r="4879" spans="1:10" x14ac:dyDescent="0.25">
      <c r="A4879" t="s">
        <v>146</v>
      </c>
      <c r="B4879">
        <f>50468.2535266956*(1/100/100)</f>
        <v>5.0468253526695595</v>
      </c>
      <c r="C4879">
        <v>56556</v>
      </c>
      <c r="D4879" t="s">
        <v>5895</v>
      </c>
      <c r="E4879">
        <v>50101</v>
      </c>
      <c r="F4879" t="s">
        <v>93</v>
      </c>
      <c r="G4879">
        <v>501</v>
      </c>
      <c r="H4879" t="s">
        <v>94</v>
      </c>
      <c r="I4879">
        <v>5</v>
      </c>
      <c r="J4879" t="s">
        <v>93</v>
      </c>
    </row>
    <row r="4880" spans="1:10" x14ac:dyDescent="0.25">
      <c r="A4880" t="s">
        <v>146</v>
      </c>
      <c r="B4880">
        <f>60864.0097336886*(1/100/100)</f>
        <v>6.0864009733688604</v>
      </c>
      <c r="C4880">
        <v>56601</v>
      </c>
      <c r="D4880" t="s">
        <v>1659</v>
      </c>
      <c r="E4880">
        <v>50311</v>
      </c>
      <c r="F4880" t="s">
        <v>1402</v>
      </c>
      <c r="G4880">
        <v>503</v>
      </c>
      <c r="H4880" t="s">
        <v>96</v>
      </c>
      <c r="I4880">
        <v>5</v>
      </c>
      <c r="J4880" t="s">
        <v>93</v>
      </c>
    </row>
    <row r="4881" spans="1:10" x14ac:dyDescent="0.25">
      <c r="A4881" t="s">
        <v>146</v>
      </c>
      <c r="B4881">
        <f>89574.2428554168*(1/100/100)</f>
        <v>8.9574242855416806</v>
      </c>
      <c r="C4881">
        <v>56602</v>
      </c>
      <c r="D4881" t="s">
        <v>2063</v>
      </c>
      <c r="E4881">
        <v>50337</v>
      </c>
      <c r="F4881" t="s">
        <v>1426</v>
      </c>
      <c r="G4881">
        <v>503</v>
      </c>
      <c r="H4881" t="s">
        <v>96</v>
      </c>
      <c r="I4881">
        <v>5</v>
      </c>
      <c r="J4881" t="s">
        <v>93</v>
      </c>
    </row>
    <row r="4882" spans="1:10" x14ac:dyDescent="0.25">
      <c r="A4882" t="s">
        <v>146</v>
      </c>
      <c r="B4882">
        <f>286074.842019142*(1/100/100)</f>
        <v>28.6074842019142</v>
      </c>
      <c r="C4882">
        <v>56603</v>
      </c>
      <c r="D4882" t="s">
        <v>5972</v>
      </c>
      <c r="E4882">
        <v>50337</v>
      </c>
      <c r="F4882" t="s">
        <v>1426</v>
      </c>
      <c r="G4882">
        <v>503</v>
      </c>
      <c r="H4882" t="s">
        <v>96</v>
      </c>
      <c r="I4882">
        <v>5</v>
      </c>
      <c r="J4882" t="s">
        <v>93</v>
      </c>
    </row>
    <row r="4883" spans="1:10" x14ac:dyDescent="0.25">
      <c r="A4883" t="s">
        <v>146</v>
      </c>
      <c r="B4883">
        <f>81416.5897949455*(1/100/100)</f>
        <v>8.1416589794945491</v>
      </c>
      <c r="C4883">
        <v>56604</v>
      </c>
      <c r="D4883" t="s">
        <v>1402</v>
      </c>
      <c r="E4883">
        <v>50311</v>
      </c>
      <c r="F4883" t="s">
        <v>1402</v>
      </c>
      <c r="G4883">
        <v>503</v>
      </c>
      <c r="H4883" t="s">
        <v>96</v>
      </c>
      <c r="I4883">
        <v>5</v>
      </c>
      <c r="J4883" t="s">
        <v>93</v>
      </c>
    </row>
    <row r="4884" spans="1:10" x14ac:dyDescent="0.25">
      <c r="A4884" t="s">
        <v>146</v>
      </c>
      <c r="B4884">
        <f>83304.0872148546*(1/100/100)</f>
        <v>8.3304087214854601</v>
      </c>
      <c r="C4884">
        <v>56605</v>
      </c>
      <c r="D4884" t="s">
        <v>5946</v>
      </c>
      <c r="E4884">
        <v>50319</v>
      </c>
      <c r="F4884" t="s">
        <v>1410</v>
      </c>
      <c r="G4884">
        <v>503</v>
      </c>
      <c r="H4884" t="s">
        <v>96</v>
      </c>
      <c r="I4884">
        <v>5</v>
      </c>
      <c r="J4884" t="s">
        <v>93</v>
      </c>
    </row>
    <row r="4885" spans="1:10" x14ac:dyDescent="0.25">
      <c r="A4885" t="s">
        <v>146</v>
      </c>
      <c r="B4885">
        <f>28421.9488891357*(1/100/100)</f>
        <v>2.84219488891357</v>
      </c>
      <c r="C4885">
        <v>56606</v>
      </c>
      <c r="D4885" t="s">
        <v>1409</v>
      </c>
      <c r="E4885">
        <v>50318</v>
      </c>
      <c r="F4885" t="s">
        <v>1409</v>
      </c>
      <c r="G4885">
        <v>503</v>
      </c>
      <c r="H4885" t="s">
        <v>96</v>
      </c>
      <c r="I4885">
        <v>5</v>
      </c>
      <c r="J4885" t="s">
        <v>93</v>
      </c>
    </row>
    <row r="4886" spans="1:10" x14ac:dyDescent="0.25">
      <c r="A4886" t="s">
        <v>146</v>
      </c>
      <c r="B4886">
        <f>196330.226354633*(1/100/100)</f>
        <v>19.633022635463298</v>
      </c>
      <c r="C4886">
        <v>56607</v>
      </c>
      <c r="D4886" t="s">
        <v>3766</v>
      </c>
      <c r="E4886">
        <v>50319</v>
      </c>
      <c r="F4886" t="s">
        <v>1410</v>
      </c>
      <c r="G4886">
        <v>503</v>
      </c>
      <c r="H4886" t="s">
        <v>96</v>
      </c>
      <c r="I4886">
        <v>5</v>
      </c>
      <c r="J4886" t="s">
        <v>93</v>
      </c>
    </row>
    <row r="4887" spans="1:10" x14ac:dyDescent="0.25">
      <c r="A4887" t="s">
        <v>146</v>
      </c>
      <c r="B4887">
        <f>26965.3866255265*(1/100/100)</f>
        <v>2.69653866255265</v>
      </c>
      <c r="C4887">
        <v>56608</v>
      </c>
      <c r="D4887" t="s">
        <v>5945</v>
      </c>
      <c r="E4887">
        <v>50318</v>
      </c>
      <c r="F4887" t="s">
        <v>1409</v>
      </c>
      <c r="G4887">
        <v>503</v>
      </c>
      <c r="H4887" t="s">
        <v>96</v>
      </c>
      <c r="I4887">
        <v>5</v>
      </c>
      <c r="J4887" t="s">
        <v>93</v>
      </c>
    </row>
    <row r="4888" spans="1:10" x14ac:dyDescent="0.25">
      <c r="A4888" t="s">
        <v>146</v>
      </c>
      <c r="B4888">
        <f>15621.3691853601*(1/100/100)</f>
        <v>1.5621369185360101</v>
      </c>
      <c r="C4888">
        <v>56609</v>
      </c>
      <c r="D4888" t="s">
        <v>5940</v>
      </c>
      <c r="E4888">
        <v>50311</v>
      </c>
      <c r="F4888" t="s">
        <v>1402</v>
      </c>
      <c r="G4888">
        <v>503</v>
      </c>
      <c r="H4888" t="s">
        <v>96</v>
      </c>
      <c r="I4888">
        <v>5</v>
      </c>
      <c r="J4888" t="s">
        <v>93</v>
      </c>
    </row>
    <row r="4889" spans="1:10" x14ac:dyDescent="0.25">
      <c r="A4889" t="s">
        <v>146</v>
      </c>
      <c r="B4889">
        <f>142637.966803232*(1/100/100)</f>
        <v>14.263796680323201</v>
      </c>
      <c r="C4889">
        <v>56610</v>
      </c>
      <c r="D4889" t="s">
        <v>1426</v>
      </c>
      <c r="E4889">
        <v>50337</v>
      </c>
      <c r="F4889" t="s">
        <v>1426</v>
      </c>
      <c r="G4889">
        <v>503</v>
      </c>
      <c r="H4889" t="s">
        <v>96</v>
      </c>
      <c r="I4889">
        <v>5</v>
      </c>
      <c r="J4889" t="s">
        <v>93</v>
      </c>
    </row>
    <row r="4890" spans="1:10" x14ac:dyDescent="0.25">
      <c r="A4890" t="s">
        <v>146</v>
      </c>
      <c r="B4890">
        <f>63270.3115214854*(1/100/100)</f>
        <v>6.3270311521485398</v>
      </c>
      <c r="C4890">
        <v>56611</v>
      </c>
      <c r="D4890" t="s">
        <v>5973</v>
      </c>
      <c r="E4890">
        <v>50337</v>
      </c>
      <c r="F4890" t="s">
        <v>1426</v>
      </c>
      <c r="G4890">
        <v>503</v>
      </c>
      <c r="H4890" t="s">
        <v>96</v>
      </c>
      <c r="I4890">
        <v>5</v>
      </c>
      <c r="J4890" t="s">
        <v>93</v>
      </c>
    </row>
    <row r="4891" spans="1:10" x14ac:dyDescent="0.25">
      <c r="A4891" t="s">
        <v>146</v>
      </c>
      <c r="B4891">
        <f>48980.2838712356*(1/100/100)</f>
        <v>4.8980283871235608</v>
      </c>
      <c r="C4891">
        <v>56612</v>
      </c>
      <c r="D4891" t="s">
        <v>5941</v>
      </c>
      <c r="E4891">
        <v>50311</v>
      </c>
      <c r="F4891" t="s">
        <v>1402</v>
      </c>
      <c r="G4891">
        <v>503</v>
      </c>
      <c r="H4891" t="s">
        <v>96</v>
      </c>
      <c r="I4891">
        <v>5</v>
      </c>
      <c r="J4891" t="s">
        <v>93</v>
      </c>
    </row>
    <row r="4892" spans="1:10" x14ac:dyDescent="0.25">
      <c r="A4892" t="s">
        <v>146</v>
      </c>
      <c r="B4892">
        <f>55316.6773570216*(1/100/100)</f>
        <v>5.5316677357021602</v>
      </c>
      <c r="C4892">
        <v>56613</v>
      </c>
      <c r="D4892" t="s">
        <v>5942</v>
      </c>
      <c r="E4892">
        <v>50311</v>
      </c>
      <c r="F4892" t="s">
        <v>1402</v>
      </c>
      <c r="G4892">
        <v>503</v>
      </c>
      <c r="H4892" t="s">
        <v>96</v>
      </c>
      <c r="I4892">
        <v>5</v>
      </c>
      <c r="J4892" t="s">
        <v>93</v>
      </c>
    </row>
    <row r="4893" spans="1:10" x14ac:dyDescent="0.25">
      <c r="A4893" t="s">
        <v>146</v>
      </c>
      <c r="B4893">
        <f>141156.775180411*(1/100/100)</f>
        <v>14.115677518041101</v>
      </c>
      <c r="C4893">
        <v>57001</v>
      </c>
      <c r="D4893" t="s">
        <v>6053</v>
      </c>
      <c r="E4893">
        <v>50601</v>
      </c>
      <c r="F4893" t="s">
        <v>1467</v>
      </c>
      <c r="G4893">
        <v>506</v>
      </c>
      <c r="H4893" t="s">
        <v>99</v>
      </c>
      <c r="I4893">
        <v>5</v>
      </c>
      <c r="J4893" t="s">
        <v>93</v>
      </c>
    </row>
    <row r="4894" spans="1:10" x14ac:dyDescent="0.25">
      <c r="A4894" t="s">
        <v>146</v>
      </c>
      <c r="B4894">
        <f>23208.7800150668*(1/100/100)</f>
        <v>2.3208780015066801</v>
      </c>
      <c r="C4894">
        <v>57002</v>
      </c>
      <c r="D4894" t="s">
        <v>5910</v>
      </c>
      <c r="E4894">
        <v>50621</v>
      </c>
      <c r="F4894" t="s">
        <v>1487</v>
      </c>
      <c r="G4894">
        <v>506</v>
      </c>
      <c r="H4894" t="s">
        <v>99</v>
      </c>
      <c r="I4894">
        <v>5</v>
      </c>
      <c r="J4894" t="s">
        <v>93</v>
      </c>
    </row>
    <row r="4895" spans="1:10" x14ac:dyDescent="0.25">
      <c r="A4895" t="s">
        <v>146</v>
      </c>
      <c r="B4895">
        <f>79323.6298068709*(1/100/100)</f>
        <v>7.9323629806870901</v>
      </c>
      <c r="C4895">
        <v>57003</v>
      </c>
      <c r="D4895" t="s">
        <v>6071</v>
      </c>
      <c r="E4895">
        <v>50613</v>
      </c>
      <c r="F4895" t="s">
        <v>1479</v>
      </c>
      <c r="G4895">
        <v>506</v>
      </c>
      <c r="H4895" t="s">
        <v>99</v>
      </c>
      <c r="I4895">
        <v>5</v>
      </c>
      <c r="J4895" t="s">
        <v>93</v>
      </c>
    </row>
    <row r="4896" spans="1:10" x14ac:dyDescent="0.25">
      <c r="A4896" t="s">
        <v>146</v>
      </c>
      <c r="B4896">
        <f>43027.0425848434*(1/100/100)</f>
        <v>4.30270425848434</v>
      </c>
      <c r="C4896">
        <v>57004</v>
      </c>
      <c r="D4896" t="s">
        <v>6072</v>
      </c>
      <c r="E4896">
        <v>50613</v>
      </c>
      <c r="F4896" t="s">
        <v>1479</v>
      </c>
      <c r="G4896">
        <v>506</v>
      </c>
      <c r="H4896" t="s">
        <v>99</v>
      </c>
      <c r="I4896">
        <v>5</v>
      </c>
      <c r="J4896" t="s">
        <v>93</v>
      </c>
    </row>
    <row r="4897" spans="1:10" x14ac:dyDescent="0.25">
      <c r="A4897" t="s">
        <v>146</v>
      </c>
      <c r="B4897">
        <f>74605.3945293709*(1/100/100)</f>
        <v>7.4605394529370903</v>
      </c>
      <c r="C4897">
        <v>57005</v>
      </c>
      <c r="D4897" t="s">
        <v>6054</v>
      </c>
      <c r="E4897">
        <v>50601</v>
      </c>
      <c r="F4897" t="s">
        <v>1467</v>
      </c>
      <c r="G4897">
        <v>506</v>
      </c>
      <c r="H4897" t="s">
        <v>99</v>
      </c>
      <c r="I4897">
        <v>5</v>
      </c>
      <c r="J4897" t="s">
        <v>93</v>
      </c>
    </row>
    <row r="4898" spans="1:10" x14ac:dyDescent="0.25">
      <c r="A4898" t="s">
        <v>146</v>
      </c>
      <c r="B4898">
        <f>82823.8876710207*(1/100/100)</f>
        <v>8.2823887671020699</v>
      </c>
      <c r="C4898">
        <v>57006</v>
      </c>
      <c r="D4898" t="s">
        <v>6101</v>
      </c>
      <c r="E4898">
        <v>50626</v>
      </c>
      <c r="F4898" t="s">
        <v>1492</v>
      </c>
      <c r="G4898">
        <v>506</v>
      </c>
      <c r="H4898" t="s">
        <v>99</v>
      </c>
      <c r="I4898">
        <v>5</v>
      </c>
      <c r="J4898" t="s">
        <v>93</v>
      </c>
    </row>
    <row r="4899" spans="1:10" x14ac:dyDescent="0.25">
      <c r="A4899" t="s">
        <v>146</v>
      </c>
      <c r="B4899">
        <f>92165.8102428178*(1/100/100)</f>
        <v>9.2165810242817798</v>
      </c>
      <c r="C4899">
        <v>57007</v>
      </c>
      <c r="D4899" t="s">
        <v>6059</v>
      </c>
      <c r="E4899">
        <v>50605</v>
      </c>
      <c r="F4899" t="s">
        <v>1471</v>
      </c>
      <c r="G4899">
        <v>506</v>
      </c>
      <c r="H4899" t="s">
        <v>99</v>
      </c>
      <c r="I4899">
        <v>5</v>
      </c>
      <c r="J4899" t="s">
        <v>93</v>
      </c>
    </row>
    <row r="4900" spans="1:10" x14ac:dyDescent="0.25">
      <c r="A4900" t="s">
        <v>146</v>
      </c>
      <c r="B4900">
        <f>46538.6780742557*(1/100/100)</f>
        <v>4.6538678074255708</v>
      </c>
      <c r="C4900">
        <v>57008</v>
      </c>
      <c r="D4900" t="s">
        <v>6079</v>
      </c>
      <c r="E4900">
        <v>50615</v>
      </c>
      <c r="F4900" t="s">
        <v>1481</v>
      </c>
      <c r="G4900">
        <v>506</v>
      </c>
      <c r="H4900" t="s">
        <v>99</v>
      </c>
      <c r="I4900">
        <v>5</v>
      </c>
      <c r="J4900" t="s">
        <v>93</v>
      </c>
    </row>
    <row r="4901" spans="1:10" x14ac:dyDescent="0.25">
      <c r="A4901" t="s">
        <v>146</v>
      </c>
      <c r="B4901">
        <f>47692.9984181339*(1/100/100)</f>
        <v>4.7692998418133907</v>
      </c>
      <c r="C4901">
        <v>57009</v>
      </c>
      <c r="D4901" t="s">
        <v>1860</v>
      </c>
      <c r="E4901">
        <v>50605</v>
      </c>
      <c r="F4901" t="s">
        <v>1471</v>
      </c>
      <c r="G4901">
        <v>506</v>
      </c>
      <c r="H4901" t="s">
        <v>99</v>
      </c>
      <c r="I4901">
        <v>5</v>
      </c>
      <c r="J4901" t="s">
        <v>93</v>
      </c>
    </row>
    <row r="4902" spans="1:10" x14ac:dyDescent="0.25">
      <c r="A4902" t="s">
        <v>146</v>
      </c>
      <c r="B4902">
        <f>137643.285260987*(1/100/100)</f>
        <v>13.764328526098701</v>
      </c>
      <c r="C4902">
        <v>57010</v>
      </c>
      <c r="D4902" t="s">
        <v>1473</v>
      </c>
      <c r="E4902">
        <v>50607</v>
      </c>
      <c r="F4902" t="s">
        <v>1473</v>
      </c>
      <c r="G4902">
        <v>506</v>
      </c>
      <c r="H4902" t="s">
        <v>99</v>
      </c>
      <c r="I4902">
        <v>5</v>
      </c>
      <c r="J4902" t="s">
        <v>93</v>
      </c>
    </row>
    <row r="4903" spans="1:10" x14ac:dyDescent="0.25">
      <c r="A4903" t="s">
        <v>146</v>
      </c>
      <c r="B4903">
        <f>125704.588213112*(1/100/100)</f>
        <v>12.570458821311201</v>
      </c>
      <c r="C4903">
        <v>57011</v>
      </c>
      <c r="D4903" t="s">
        <v>6080</v>
      </c>
      <c r="E4903">
        <v>50615</v>
      </c>
      <c r="F4903" t="s">
        <v>1481</v>
      </c>
      <c r="G4903">
        <v>506</v>
      </c>
      <c r="H4903" t="s">
        <v>99</v>
      </c>
      <c r="I4903">
        <v>5</v>
      </c>
      <c r="J4903" t="s">
        <v>93</v>
      </c>
    </row>
    <row r="4904" spans="1:10" x14ac:dyDescent="0.25">
      <c r="A4904" t="s">
        <v>146</v>
      </c>
      <c r="B4904">
        <f>132583.691493242*(1/100/100)</f>
        <v>13.258369149324199</v>
      </c>
      <c r="C4904">
        <v>57012</v>
      </c>
      <c r="D4904" t="s">
        <v>6073</v>
      </c>
      <c r="E4904">
        <v>50613</v>
      </c>
      <c r="F4904" t="s">
        <v>1479</v>
      </c>
      <c r="G4904">
        <v>506</v>
      </c>
      <c r="H4904" t="s">
        <v>99</v>
      </c>
      <c r="I4904">
        <v>5</v>
      </c>
      <c r="J4904" t="s">
        <v>93</v>
      </c>
    </row>
    <row r="4905" spans="1:10" x14ac:dyDescent="0.25">
      <c r="A4905" t="s">
        <v>146</v>
      </c>
      <c r="B4905">
        <f>99388.0443886768*(1/100/100)</f>
        <v>9.9388044388676811</v>
      </c>
      <c r="C4905">
        <v>57013</v>
      </c>
      <c r="D4905" t="s">
        <v>6074</v>
      </c>
      <c r="E4905">
        <v>50613</v>
      </c>
      <c r="F4905" t="s">
        <v>1479</v>
      </c>
      <c r="G4905">
        <v>506</v>
      </c>
      <c r="H4905" t="s">
        <v>99</v>
      </c>
      <c r="I4905">
        <v>5</v>
      </c>
      <c r="J4905" t="s">
        <v>93</v>
      </c>
    </row>
    <row r="4906" spans="1:10" x14ac:dyDescent="0.25">
      <c r="A4906" t="s">
        <v>146</v>
      </c>
      <c r="B4906">
        <f>114353.40728094*(1/100/100)</f>
        <v>11.435340728093999</v>
      </c>
      <c r="C4906">
        <v>57014</v>
      </c>
      <c r="D4906" t="s">
        <v>2662</v>
      </c>
      <c r="E4906">
        <v>50601</v>
      </c>
      <c r="F4906" t="s">
        <v>1467</v>
      </c>
      <c r="G4906">
        <v>506</v>
      </c>
      <c r="H4906" t="s">
        <v>99</v>
      </c>
      <c r="I4906">
        <v>5</v>
      </c>
      <c r="J4906" t="s">
        <v>93</v>
      </c>
    </row>
    <row r="4907" spans="1:10" x14ac:dyDescent="0.25">
      <c r="A4907" t="s">
        <v>146</v>
      </c>
      <c r="B4907">
        <f>53593.1874723619*(1/100/100)</f>
        <v>5.3593187472361903</v>
      </c>
      <c r="C4907">
        <v>57015</v>
      </c>
      <c r="D4907" t="s">
        <v>6055</v>
      </c>
      <c r="E4907">
        <v>50601</v>
      </c>
      <c r="F4907" t="s">
        <v>1467</v>
      </c>
      <c r="G4907">
        <v>506</v>
      </c>
      <c r="H4907" t="s">
        <v>99</v>
      </c>
      <c r="I4907">
        <v>5</v>
      </c>
      <c r="J4907" t="s">
        <v>93</v>
      </c>
    </row>
    <row r="4908" spans="1:10" x14ac:dyDescent="0.25">
      <c r="A4908" t="s">
        <v>146</v>
      </c>
      <c r="B4908">
        <f>144639.536625958*(1/100/100)</f>
        <v>14.463953662595801</v>
      </c>
      <c r="C4908">
        <v>57016</v>
      </c>
      <c r="D4908" t="s">
        <v>3482</v>
      </c>
      <c r="E4908">
        <v>50614</v>
      </c>
      <c r="F4908" t="s">
        <v>1480</v>
      </c>
      <c r="G4908">
        <v>506</v>
      </c>
      <c r="H4908" t="s">
        <v>99</v>
      </c>
      <c r="I4908">
        <v>5</v>
      </c>
      <c r="J4908" t="s">
        <v>93</v>
      </c>
    </row>
    <row r="4909" spans="1:10" x14ac:dyDescent="0.25">
      <c r="A4909" t="s">
        <v>146</v>
      </c>
      <c r="B4909">
        <f>66507.0941969134*(1/100/100)</f>
        <v>6.6507094196913403</v>
      </c>
      <c r="C4909">
        <v>57017</v>
      </c>
      <c r="D4909" t="s">
        <v>1481</v>
      </c>
      <c r="E4909">
        <v>50615</v>
      </c>
      <c r="F4909" t="s">
        <v>1481</v>
      </c>
      <c r="G4909">
        <v>506</v>
      </c>
      <c r="H4909" t="s">
        <v>99</v>
      </c>
      <c r="I4909">
        <v>5</v>
      </c>
      <c r="J4909" t="s">
        <v>93</v>
      </c>
    </row>
    <row r="4910" spans="1:10" x14ac:dyDescent="0.25">
      <c r="A4910" t="s">
        <v>146</v>
      </c>
      <c r="B4910">
        <f>49253.6248370444*(1/100/100)</f>
        <v>4.9253624837044407</v>
      </c>
      <c r="C4910">
        <v>57018</v>
      </c>
      <c r="D4910" t="s">
        <v>6075</v>
      </c>
      <c r="E4910">
        <v>50613</v>
      </c>
      <c r="F4910" t="s">
        <v>1479</v>
      </c>
      <c r="G4910">
        <v>506</v>
      </c>
      <c r="H4910" t="s">
        <v>99</v>
      </c>
      <c r="I4910">
        <v>5</v>
      </c>
      <c r="J4910" t="s">
        <v>93</v>
      </c>
    </row>
    <row r="4911" spans="1:10" x14ac:dyDescent="0.25">
      <c r="A4911" t="s">
        <v>146</v>
      </c>
      <c r="B4911">
        <f>69406.6320937993*(1/100/100)</f>
        <v>6.9406632093799301</v>
      </c>
      <c r="C4911">
        <v>57019</v>
      </c>
      <c r="D4911" t="s">
        <v>6078</v>
      </c>
      <c r="E4911">
        <v>50614</v>
      </c>
      <c r="F4911" t="s">
        <v>1480</v>
      </c>
      <c r="G4911">
        <v>506</v>
      </c>
      <c r="H4911" t="s">
        <v>99</v>
      </c>
      <c r="I4911">
        <v>5</v>
      </c>
      <c r="J4911" t="s">
        <v>93</v>
      </c>
    </row>
    <row r="4912" spans="1:10" x14ac:dyDescent="0.25">
      <c r="A4912" t="s">
        <v>146</v>
      </c>
      <c r="B4912">
        <f>35326.0061447557*(1/100/100)</f>
        <v>3.5326006144755704</v>
      </c>
      <c r="C4912">
        <v>57020</v>
      </c>
      <c r="D4912" t="s">
        <v>6076</v>
      </c>
      <c r="E4912">
        <v>50613</v>
      </c>
      <c r="F4912" t="s">
        <v>1479</v>
      </c>
      <c r="G4912">
        <v>506</v>
      </c>
      <c r="H4912" t="s">
        <v>99</v>
      </c>
      <c r="I4912">
        <v>5</v>
      </c>
      <c r="J4912" t="s">
        <v>93</v>
      </c>
    </row>
    <row r="4913" spans="1:10" x14ac:dyDescent="0.25">
      <c r="A4913" t="s">
        <v>146</v>
      </c>
      <c r="B4913">
        <f>44032.8646157034*(1/100/100)</f>
        <v>4.4032864615703406</v>
      </c>
      <c r="C4913">
        <v>57021</v>
      </c>
      <c r="D4913" t="s">
        <v>954</v>
      </c>
      <c r="E4913">
        <v>50624</v>
      </c>
      <c r="F4913" t="s">
        <v>1490</v>
      </c>
      <c r="G4913">
        <v>506</v>
      </c>
      <c r="H4913" t="s">
        <v>99</v>
      </c>
      <c r="I4913">
        <v>5</v>
      </c>
      <c r="J4913" t="s">
        <v>93</v>
      </c>
    </row>
    <row r="4914" spans="1:10" x14ac:dyDescent="0.25">
      <c r="A4914" t="s">
        <v>146</v>
      </c>
      <c r="B4914">
        <f>57323.1731201738*(1/100/100)</f>
        <v>5.73231731201738</v>
      </c>
      <c r="C4914">
        <v>57022</v>
      </c>
      <c r="D4914" t="s">
        <v>6077</v>
      </c>
      <c r="E4914">
        <v>50613</v>
      </c>
      <c r="F4914" t="s">
        <v>1479</v>
      </c>
      <c r="G4914">
        <v>506</v>
      </c>
      <c r="H4914" t="s">
        <v>99</v>
      </c>
      <c r="I4914">
        <v>5</v>
      </c>
      <c r="J4914" t="s">
        <v>93</v>
      </c>
    </row>
    <row r="4915" spans="1:10" x14ac:dyDescent="0.25">
      <c r="A4915" t="s">
        <v>146</v>
      </c>
      <c r="B4915">
        <f>50729.9527237824*(1/100/100)</f>
        <v>5.0729952723782405</v>
      </c>
      <c r="C4915">
        <v>57023</v>
      </c>
      <c r="D4915" t="s">
        <v>6099</v>
      </c>
      <c r="E4915">
        <v>50624</v>
      </c>
      <c r="F4915" t="s">
        <v>1490</v>
      </c>
      <c r="G4915">
        <v>506</v>
      </c>
      <c r="H4915" t="s">
        <v>99</v>
      </c>
      <c r="I4915">
        <v>5</v>
      </c>
      <c r="J4915" t="s">
        <v>93</v>
      </c>
    </row>
    <row r="4916" spans="1:10" x14ac:dyDescent="0.25">
      <c r="A4916" t="s">
        <v>146</v>
      </c>
      <c r="B4916">
        <f>112097.216094766*(1/100/100)</f>
        <v>11.209721609476601</v>
      </c>
      <c r="C4916">
        <v>57024</v>
      </c>
      <c r="D4916" t="s">
        <v>1487</v>
      </c>
      <c r="E4916">
        <v>50621</v>
      </c>
      <c r="F4916" t="s">
        <v>1487</v>
      </c>
      <c r="G4916">
        <v>506</v>
      </c>
      <c r="H4916" t="s">
        <v>99</v>
      </c>
      <c r="I4916">
        <v>5</v>
      </c>
      <c r="J4916" t="s">
        <v>93</v>
      </c>
    </row>
    <row r="4917" spans="1:10" x14ac:dyDescent="0.25">
      <c r="A4917" t="s">
        <v>146</v>
      </c>
      <c r="B4917">
        <f>45129.3863289623*(1/100/100)</f>
        <v>4.5129386328962298</v>
      </c>
      <c r="C4917">
        <v>57025</v>
      </c>
      <c r="D4917" t="s">
        <v>6030</v>
      </c>
      <c r="E4917">
        <v>50614</v>
      </c>
      <c r="F4917" t="s">
        <v>1480</v>
      </c>
      <c r="G4917">
        <v>506</v>
      </c>
      <c r="H4917" t="s">
        <v>99</v>
      </c>
      <c r="I4917">
        <v>5</v>
      </c>
      <c r="J4917" t="s">
        <v>93</v>
      </c>
    </row>
    <row r="4918" spans="1:10" x14ac:dyDescent="0.25">
      <c r="A4918" t="s">
        <v>146</v>
      </c>
      <c r="B4918">
        <f>67793.1630632858*(1/100/100)</f>
        <v>6.77931630632858</v>
      </c>
      <c r="C4918">
        <v>57026</v>
      </c>
      <c r="D4918" t="s">
        <v>6100</v>
      </c>
      <c r="E4918">
        <v>50624</v>
      </c>
      <c r="F4918" t="s">
        <v>1490</v>
      </c>
      <c r="G4918">
        <v>506</v>
      </c>
      <c r="H4918" t="s">
        <v>99</v>
      </c>
      <c r="I4918">
        <v>5</v>
      </c>
      <c r="J4918" t="s">
        <v>93</v>
      </c>
    </row>
    <row r="4919" spans="1:10" x14ac:dyDescent="0.25">
      <c r="A4919" t="s">
        <v>146</v>
      </c>
      <c r="B4919">
        <f>153640.370148657*(1/100/100)</f>
        <v>15.364037014865701</v>
      </c>
      <c r="C4919">
        <v>57027</v>
      </c>
      <c r="D4919" t="s">
        <v>1490</v>
      </c>
      <c r="E4919">
        <v>50624</v>
      </c>
      <c r="F4919" t="s">
        <v>1490</v>
      </c>
      <c r="G4919">
        <v>506</v>
      </c>
      <c r="H4919" t="s">
        <v>99</v>
      </c>
      <c r="I4919">
        <v>5</v>
      </c>
      <c r="J4919" t="s">
        <v>93</v>
      </c>
    </row>
    <row r="4920" spans="1:10" x14ac:dyDescent="0.25">
      <c r="A4920" t="s">
        <v>146</v>
      </c>
      <c r="B4920">
        <f>103916.034336983*(1/100/100)</f>
        <v>10.3916034336983</v>
      </c>
      <c r="C4920">
        <v>57028</v>
      </c>
      <c r="D4920" t="s">
        <v>4515</v>
      </c>
      <c r="E4920">
        <v>50626</v>
      </c>
      <c r="F4920" t="s">
        <v>1492</v>
      </c>
      <c r="G4920">
        <v>506</v>
      </c>
      <c r="H4920" t="s">
        <v>99</v>
      </c>
      <c r="I4920">
        <v>5</v>
      </c>
      <c r="J4920" t="s">
        <v>93</v>
      </c>
    </row>
    <row r="4921" spans="1:10" x14ac:dyDescent="0.25">
      <c r="A4921" t="s">
        <v>146</v>
      </c>
      <c r="B4921">
        <f>94688.1838688803*(1/100/100)</f>
        <v>9.4688183868880298</v>
      </c>
      <c r="C4921">
        <v>57101</v>
      </c>
      <c r="D4921" t="s">
        <v>6068</v>
      </c>
      <c r="E4921">
        <v>50612</v>
      </c>
      <c r="F4921" t="s">
        <v>1478</v>
      </c>
      <c r="G4921">
        <v>506</v>
      </c>
      <c r="H4921" t="s">
        <v>99</v>
      </c>
      <c r="I4921">
        <v>5</v>
      </c>
      <c r="J4921" t="s">
        <v>93</v>
      </c>
    </row>
    <row r="4922" spans="1:10" x14ac:dyDescent="0.25">
      <c r="A4922" t="s">
        <v>146</v>
      </c>
      <c r="B4922">
        <f>106730.244352458*(1/100/100)</f>
        <v>10.6730244352458</v>
      </c>
      <c r="C4922">
        <v>57102</v>
      </c>
      <c r="D4922" t="s">
        <v>6069</v>
      </c>
      <c r="E4922">
        <v>50612</v>
      </c>
      <c r="F4922" t="s">
        <v>1478</v>
      </c>
      <c r="G4922">
        <v>506</v>
      </c>
      <c r="H4922" t="s">
        <v>99</v>
      </c>
      <c r="I4922">
        <v>5</v>
      </c>
      <c r="J4922" t="s">
        <v>93</v>
      </c>
    </row>
    <row r="4923" spans="1:10" x14ac:dyDescent="0.25">
      <c r="A4923" t="s">
        <v>146</v>
      </c>
      <c r="B4923">
        <f>23041.5845571848*(1/100/100)</f>
        <v>2.30415845571848</v>
      </c>
      <c r="C4923">
        <v>57103</v>
      </c>
      <c r="D4923" t="s">
        <v>2056</v>
      </c>
      <c r="E4923">
        <v>50610</v>
      </c>
      <c r="F4923" t="s">
        <v>1476</v>
      </c>
      <c r="G4923">
        <v>506</v>
      </c>
      <c r="H4923" t="s">
        <v>99</v>
      </c>
      <c r="I4923">
        <v>5</v>
      </c>
      <c r="J4923" t="s">
        <v>93</v>
      </c>
    </row>
    <row r="4924" spans="1:10" x14ac:dyDescent="0.25">
      <c r="A4924" t="s">
        <v>146</v>
      </c>
      <c r="B4924">
        <f>153828.617135717*(1/100/100)</f>
        <v>15.382861713571701</v>
      </c>
      <c r="C4924">
        <v>57104</v>
      </c>
      <c r="D4924" t="s">
        <v>5842</v>
      </c>
      <c r="E4924">
        <v>50619</v>
      </c>
      <c r="F4924" t="s">
        <v>1485</v>
      </c>
      <c r="G4924">
        <v>506</v>
      </c>
      <c r="H4924" t="s">
        <v>99</v>
      </c>
      <c r="I4924">
        <v>5</v>
      </c>
      <c r="J4924" t="s">
        <v>93</v>
      </c>
    </row>
    <row r="4925" spans="1:10" x14ac:dyDescent="0.25">
      <c r="A4925" t="s">
        <v>146</v>
      </c>
      <c r="B4925">
        <f>53905.3098376812*(1/100/100)</f>
        <v>5.3905309837681203</v>
      </c>
      <c r="C4925">
        <v>57105</v>
      </c>
      <c r="D4925" t="s">
        <v>6061</v>
      </c>
      <c r="E4925">
        <v>50609</v>
      </c>
      <c r="F4925" t="s">
        <v>1475</v>
      </c>
      <c r="G4925">
        <v>506</v>
      </c>
      <c r="H4925" t="s">
        <v>99</v>
      </c>
      <c r="I4925">
        <v>5</v>
      </c>
      <c r="J4925" t="s">
        <v>93</v>
      </c>
    </row>
    <row r="4926" spans="1:10" x14ac:dyDescent="0.25">
      <c r="A4926" t="s">
        <v>146</v>
      </c>
      <c r="B4926">
        <f>137234.937139263*(1/100/100)</f>
        <v>13.723493713926301</v>
      </c>
      <c r="C4926">
        <v>57106</v>
      </c>
      <c r="D4926" t="s">
        <v>6090</v>
      </c>
      <c r="E4926">
        <v>50619</v>
      </c>
      <c r="F4926" t="s">
        <v>1485</v>
      </c>
      <c r="G4926">
        <v>506</v>
      </c>
      <c r="H4926" t="s">
        <v>99</v>
      </c>
      <c r="I4926">
        <v>5</v>
      </c>
      <c r="J4926" t="s">
        <v>93</v>
      </c>
    </row>
    <row r="4927" spans="1:10" x14ac:dyDescent="0.25">
      <c r="A4927" t="s">
        <v>146</v>
      </c>
      <c r="B4927">
        <f>61858.651226487*(1/100/100)</f>
        <v>6.1858651226487007</v>
      </c>
      <c r="C4927">
        <v>57107</v>
      </c>
      <c r="D4927" t="s">
        <v>6091</v>
      </c>
      <c r="E4927">
        <v>50619</v>
      </c>
      <c r="F4927" t="s">
        <v>1485</v>
      </c>
      <c r="G4927">
        <v>506</v>
      </c>
      <c r="H4927" t="s">
        <v>99</v>
      </c>
      <c r="I4927">
        <v>5</v>
      </c>
      <c r="J4927" t="s">
        <v>93</v>
      </c>
    </row>
    <row r="4928" spans="1:10" x14ac:dyDescent="0.25">
      <c r="A4928" t="s">
        <v>146</v>
      </c>
      <c r="B4928">
        <f>93586.3943321774*(1/100/100)</f>
        <v>9.3586394332177409</v>
      </c>
      <c r="C4928">
        <v>57108</v>
      </c>
      <c r="D4928" t="s">
        <v>6098</v>
      </c>
      <c r="E4928">
        <v>50623</v>
      </c>
      <c r="F4928" t="s">
        <v>1489</v>
      </c>
      <c r="G4928">
        <v>506</v>
      </c>
      <c r="H4928" t="s">
        <v>99</v>
      </c>
      <c r="I4928">
        <v>5</v>
      </c>
      <c r="J4928" t="s">
        <v>93</v>
      </c>
    </row>
    <row r="4929" spans="1:10" x14ac:dyDescent="0.25">
      <c r="A4929" t="s">
        <v>146</v>
      </c>
      <c r="B4929">
        <f>22236.5541058554*(1/100/100)</f>
        <v>2.2236554105855402</v>
      </c>
      <c r="C4929">
        <v>57109</v>
      </c>
      <c r="D4929" t="s">
        <v>6062</v>
      </c>
      <c r="E4929">
        <v>50609</v>
      </c>
      <c r="F4929" t="s">
        <v>1475</v>
      </c>
      <c r="G4929">
        <v>506</v>
      </c>
      <c r="H4929" t="s">
        <v>99</v>
      </c>
      <c r="I4929">
        <v>5</v>
      </c>
      <c r="J4929" t="s">
        <v>93</v>
      </c>
    </row>
    <row r="4930" spans="1:10" x14ac:dyDescent="0.25">
      <c r="A4930" t="s">
        <v>146</v>
      </c>
      <c r="B4930">
        <f>102309.095189821*(1/100/100)</f>
        <v>10.2309095189821</v>
      </c>
      <c r="C4930">
        <v>57110</v>
      </c>
      <c r="D4930" t="s">
        <v>4940</v>
      </c>
      <c r="E4930">
        <v>50619</v>
      </c>
      <c r="F4930" t="s">
        <v>1485</v>
      </c>
      <c r="G4930">
        <v>506</v>
      </c>
      <c r="H4930" t="s">
        <v>99</v>
      </c>
      <c r="I4930">
        <v>5</v>
      </c>
      <c r="J4930" t="s">
        <v>93</v>
      </c>
    </row>
    <row r="4931" spans="1:10" x14ac:dyDescent="0.25">
      <c r="A4931" t="s">
        <v>146</v>
      </c>
      <c r="B4931">
        <f>25023.9284335523*(1/100/100)</f>
        <v>2.50239284335523</v>
      </c>
      <c r="C4931">
        <v>57111</v>
      </c>
      <c r="D4931" t="s">
        <v>6065</v>
      </c>
      <c r="E4931">
        <v>50610</v>
      </c>
      <c r="F4931" t="s">
        <v>1476</v>
      </c>
      <c r="G4931">
        <v>506</v>
      </c>
      <c r="H4931" t="s">
        <v>99</v>
      </c>
      <c r="I4931">
        <v>5</v>
      </c>
      <c r="J4931" t="s">
        <v>93</v>
      </c>
    </row>
    <row r="4932" spans="1:10" x14ac:dyDescent="0.25">
      <c r="A4932" t="s">
        <v>146</v>
      </c>
      <c r="B4932">
        <f>73978.4824994954*(1/100/100)</f>
        <v>7.3978482499495399</v>
      </c>
      <c r="C4932">
        <v>57112</v>
      </c>
      <c r="D4932" t="s">
        <v>6070</v>
      </c>
      <c r="E4932">
        <v>50612</v>
      </c>
      <c r="F4932" t="s">
        <v>1478</v>
      </c>
      <c r="G4932">
        <v>506</v>
      </c>
      <c r="H4932" t="s">
        <v>99</v>
      </c>
      <c r="I4932">
        <v>5</v>
      </c>
      <c r="J4932" t="s">
        <v>93</v>
      </c>
    </row>
    <row r="4933" spans="1:10" x14ac:dyDescent="0.25">
      <c r="A4933" t="s">
        <v>146</v>
      </c>
      <c r="B4933">
        <f>23433.9944657086*(1/100/100)</f>
        <v>2.3433994465708601</v>
      </c>
      <c r="C4933">
        <v>57113</v>
      </c>
      <c r="D4933" t="s">
        <v>6092</v>
      </c>
      <c r="E4933">
        <v>50619</v>
      </c>
      <c r="F4933" t="s">
        <v>1485</v>
      </c>
      <c r="G4933">
        <v>506</v>
      </c>
      <c r="H4933" t="s">
        <v>99</v>
      </c>
      <c r="I4933">
        <v>5</v>
      </c>
      <c r="J4933" t="s">
        <v>93</v>
      </c>
    </row>
    <row r="4934" spans="1:10" x14ac:dyDescent="0.25">
      <c r="A4934" t="s">
        <v>146</v>
      </c>
      <c r="B4934">
        <f>74382.3790930644*(1/100/100)</f>
        <v>7.4382379093064408</v>
      </c>
      <c r="C4934">
        <v>57114</v>
      </c>
      <c r="D4934" t="s">
        <v>1319</v>
      </c>
      <c r="E4934">
        <v>50619</v>
      </c>
      <c r="F4934" t="s">
        <v>1485</v>
      </c>
      <c r="G4934">
        <v>506</v>
      </c>
      <c r="H4934" t="s">
        <v>99</v>
      </c>
      <c r="I4934">
        <v>5</v>
      </c>
      <c r="J4934" t="s">
        <v>93</v>
      </c>
    </row>
    <row r="4935" spans="1:10" x14ac:dyDescent="0.25">
      <c r="A4935" t="s">
        <v>146</v>
      </c>
      <c r="B4935">
        <f>77219.1178234968*(1/100/100)</f>
        <v>7.7219117823496797</v>
      </c>
      <c r="C4935">
        <v>57115</v>
      </c>
      <c r="D4935" t="s">
        <v>1475</v>
      </c>
      <c r="E4935">
        <v>50609</v>
      </c>
      <c r="F4935" t="s">
        <v>1475</v>
      </c>
      <c r="G4935">
        <v>506</v>
      </c>
      <c r="H4935" t="s">
        <v>99</v>
      </c>
      <c r="I4935">
        <v>5</v>
      </c>
      <c r="J4935" t="s">
        <v>93</v>
      </c>
    </row>
    <row r="4936" spans="1:10" x14ac:dyDescent="0.25">
      <c r="A4936" t="s">
        <v>146</v>
      </c>
      <c r="B4936">
        <f>162357.21374447*(1/100/100)</f>
        <v>16.235721374447003</v>
      </c>
      <c r="C4936">
        <v>57116</v>
      </c>
      <c r="D4936" t="s">
        <v>1294</v>
      </c>
      <c r="E4936">
        <v>50619</v>
      </c>
      <c r="F4936" t="s">
        <v>1485</v>
      </c>
      <c r="G4936">
        <v>506</v>
      </c>
      <c r="H4936" t="s">
        <v>99</v>
      </c>
      <c r="I4936">
        <v>5</v>
      </c>
      <c r="J4936" t="s">
        <v>93</v>
      </c>
    </row>
    <row r="4937" spans="1:10" x14ac:dyDescent="0.25">
      <c r="A4937" t="s">
        <v>146</v>
      </c>
      <c r="B4937">
        <f>130598.238663112*(1/100/100)</f>
        <v>13.0598238663112</v>
      </c>
      <c r="C4937">
        <v>57117</v>
      </c>
      <c r="D4937" t="s">
        <v>1476</v>
      </c>
      <c r="E4937">
        <v>50610</v>
      </c>
      <c r="F4937" t="s">
        <v>1476</v>
      </c>
      <c r="G4937">
        <v>506</v>
      </c>
      <c r="H4937" t="s">
        <v>99</v>
      </c>
      <c r="I4937">
        <v>5</v>
      </c>
      <c r="J4937" t="s">
        <v>93</v>
      </c>
    </row>
    <row r="4938" spans="1:10" x14ac:dyDescent="0.25">
      <c r="A4938" t="s">
        <v>146</v>
      </c>
      <c r="B4938">
        <f>32607.8293737365*(1/100/100)</f>
        <v>3.2607829373736501</v>
      </c>
      <c r="C4938">
        <v>57118</v>
      </c>
      <c r="D4938" t="s">
        <v>6102</v>
      </c>
      <c r="E4938">
        <v>50627</v>
      </c>
      <c r="F4938" t="s">
        <v>1493</v>
      </c>
      <c r="G4938">
        <v>506</v>
      </c>
      <c r="H4938" t="s">
        <v>99</v>
      </c>
      <c r="I4938">
        <v>5</v>
      </c>
      <c r="J4938" t="s">
        <v>93</v>
      </c>
    </row>
    <row r="4939" spans="1:10" x14ac:dyDescent="0.25">
      <c r="A4939" t="s">
        <v>146</v>
      </c>
      <c r="B4939">
        <f>19342.6326534758*(1/100/100)</f>
        <v>1.9342632653475802</v>
      </c>
      <c r="C4939">
        <v>57119</v>
      </c>
      <c r="D4939" t="s">
        <v>6095</v>
      </c>
      <c r="E4939">
        <v>50620</v>
      </c>
      <c r="F4939" t="s">
        <v>1486</v>
      </c>
      <c r="G4939">
        <v>506</v>
      </c>
      <c r="H4939" t="s">
        <v>99</v>
      </c>
      <c r="I4939">
        <v>5</v>
      </c>
      <c r="J4939" t="s">
        <v>93</v>
      </c>
    </row>
    <row r="4940" spans="1:10" x14ac:dyDescent="0.25">
      <c r="A4940" t="s">
        <v>146</v>
      </c>
      <c r="B4940">
        <f>86885.6353731333*(1/100/100)</f>
        <v>8.6885635373133301</v>
      </c>
      <c r="C4940">
        <v>57120</v>
      </c>
      <c r="D4940" t="s">
        <v>6063</v>
      </c>
      <c r="E4940">
        <v>50609</v>
      </c>
      <c r="F4940" t="s">
        <v>1475</v>
      </c>
      <c r="G4940">
        <v>506</v>
      </c>
      <c r="H4940" t="s">
        <v>99</v>
      </c>
      <c r="I4940">
        <v>5</v>
      </c>
      <c r="J4940" t="s">
        <v>93</v>
      </c>
    </row>
    <row r="4941" spans="1:10" x14ac:dyDescent="0.25">
      <c r="A4941" t="s">
        <v>146</v>
      </c>
      <c r="B4941">
        <f>20205.066513992*(1/100/100)</f>
        <v>2.0205066513992</v>
      </c>
      <c r="C4941">
        <v>57121</v>
      </c>
      <c r="D4941" t="s">
        <v>4125</v>
      </c>
      <c r="E4941">
        <v>50623</v>
      </c>
      <c r="F4941" t="s">
        <v>1489</v>
      </c>
      <c r="G4941">
        <v>506</v>
      </c>
      <c r="H4941" t="s">
        <v>99</v>
      </c>
      <c r="I4941">
        <v>5</v>
      </c>
      <c r="J4941" t="s">
        <v>93</v>
      </c>
    </row>
    <row r="4942" spans="1:10" x14ac:dyDescent="0.25">
      <c r="A4942" t="s">
        <v>146</v>
      </c>
      <c r="B4942">
        <f>349864.689645011*(1/100/100)</f>
        <v>34.9864689645011</v>
      </c>
      <c r="C4942">
        <v>57122</v>
      </c>
      <c r="D4942" t="s">
        <v>6093</v>
      </c>
      <c r="E4942">
        <v>50619</v>
      </c>
      <c r="F4942" t="s">
        <v>1485</v>
      </c>
      <c r="G4942">
        <v>506</v>
      </c>
      <c r="H4942" t="s">
        <v>99</v>
      </c>
      <c r="I4942">
        <v>5</v>
      </c>
      <c r="J4942" t="s">
        <v>93</v>
      </c>
    </row>
    <row r="4943" spans="1:10" x14ac:dyDescent="0.25">
      <c r="A4943" t="s">
        <v>146</v>
      </c>
      <c r="B4943">
        <f>33142.1715601717*(1/100/100)</f>
        <v>3.31421715601717</v>
      </c>
      <c r="C4943">
        <v>57123</v>
      </c>
      <c r="D4943" t="s">
        <v>6066</v>
      </c>
      <c r="E4943">
        <v>50610</v>
      </c>
      <c r="F4943" t="s">
        <v>1476</v>
      </c>
      <c r="G4943">
        <v>506</v>
      </c>
      <c r="H4943" t="s">
        <v>99</v>
      </c>
      <c r="I4943">
        <v>5</v>
      </c>
      <c r="J4943" t="s">
        <v>93</v>
      </c>
    </row>
    <row r="4944" spans="1:10" x14ac:dyDescent="0.25">
      <c r="A4944" t="s">
        <v>146</v>
      </c>
      <c r="B4944">
        <f>13223.9454175089*(1/100/100)</f>
        <v>1.32239454175089</v>
      </c>
      <c r="C4944">
        <v>57124</v>
      </c>
      <c r="D4944" t="s">
        <v>6064</v>
      </c>
      <c r="E4944">
        <v>50609</v>
      </c>
      <c r="F4944" t="s">
        <v>1475</v>
      </c>
      <c r="G4944">
        <v>506</v>
      </c>
      <c r="H4944" t="s">
        <v>99</v>
      </c>
      <c r="I4944">
        <v>5</v>
      </c>
      <c r="J4944" t="s">
        <v>93</v>
      </c>
    </row>
    <row r="4945" spans="1:10" x14ac:dyDescent="0.25">
      <c r="A4945" t="s">
        <v>146</v>
      </c>
      <c r="B4945">
        <f>112276.038226923*(1/100/100)</f>
        <v>11.2276038226923</v>
      </c>
      <c r="C4945">
        <v>57125</v>
      </c>
      <c r="D4945" t="s">
        <v>2607</v>
      </c>
      <c r="E4945">
        <v>50609</v>
      </c>
      <c r="F4945" t="s">
        <v>1475</v>
      </c>
      <c r="G4945">
        <v>506</v>
      </c>
      <c r="H4945" t="s">
        <v>99</v>
      </c>
      <c r="I4945">
        <v>5</v>
      </c>
      <c r="J4945" t="s">
        <v>93</v>
      </c>
    </row>
    <row r="4946" spans="1:10" x14ac:dyDescent="0.25">
      <c r="A4946" t="s">
        <v>146</v>
      </c>
      <c r="B4946">
        <f>96770.7125777199*(1/100/100)</f>
        <v>9.6770712577719902</v>
      </c>
      <c r="C4946">
        <v>57126</v>
      </c>
      <c r="D4946" t="s">
        <v>2218</v>
      </c>
      <c r="E4946">
        <v>50620</v>
      </c>
      <c r="F4946" t="s">
        <v>1486</v>
      </c>
      <c r="G4946">
        <v>506</v>
      </c>
      <c r="H4946" t="s">
        <v>99</v>
      </c>
      <c r="I4946">
        <v>5</v>
      </c>
      <c r="J4946" t="s">
        <v>93</v>
      </c>
    </row>
    <row r="4947" spans="1:10" x14ac:dyDescent="0.25">
      <c r="A4947" t="s">
        <v>146</v>
      </c>
      <c r="B4947">
        <f>126169.109948858*(1/100/100)</f>
        <v>12.616910994885799</v>
      </c>
      <c r="C4947">
        <v>57127</v>
      </c>
      <c r="D4947" t="s">
        <v>1489</v>
      </c>
      <c r="E4947">
        <v>50623</v>
      </c>
      <c r="F4947" t="s">
        <v>1489</v>
      </c>
      <c r="G4947">
        <v>506</v>
      </c>
      <c r="H4947" t="s">
        <v>99</v>
      </c>
      <c r="I4947">
        <v>5</v>
      </c>
      <c r="J4947" t="s">
        <v>93</v>
      </c>
    </row>
    <row r="4948" spans="1:10" x14ac:dyDescent="0.25">
      <c r="A4948" t="s">
        <v>146</v>
      </c>
      <c r="B4948">
        <f>24964.4301070815*(1/100/100)</f>
        <v>2.4964430107081501</v>
      </c>
      <c r="C4948">
        <v>57128</v>
      </c>
      <c r="D4948" t="s">
        <v>6103</v>
      </c>
      <c r="E4948">
        <v>50627</v>
      </c>
      <c r="F4948" t="s">
        <v>1493</v>
      </c>
      <c r="G4948">
        <v>506</v>
      </c>
      <c r="H4948" t="s">
        <v>99</v>
      </c>
      <c r="I4948">
        <v>5</v>
      </c>
      <c r="J4948" t="s">
        <v>93</v>
      </c>
    </row>
    <row r="4949" spans="1:10" x14ac:dyDescent="0.25">
      <c r="A4949" t="s">
        <v>146</v>
      </c>
      <c r="B4949">
        <f>61355.70665613*(1/100/100)</f>
        <v>6.1355706656130007</v>
      </c>
      <c r="C4949">
        <v>57129</v>
      </c>
      <c r="D4949" t="s">
        <v>6094</v>
      </c>
      <c r="E4949">
        <v>50619</v>
      </c>
      <c r="F4949" t="s">
        <v>1485</v>
      </c>
      <c r="G4949">
        <v>506</v>
      </c>
      <c r="H4949" t="s">
        <v>99</v>
      </c>
      <c r="I4949">
        <v>5</v>
      </c>
      <c r="J4949" t="s">
        <v>93</v>
      </c>
    </row>
    <row r="4950" spans="1:10" x14ac:dyDescent="0.25">
      <c r="A4950" t="s">
        <v>146</v>
      </c>
      <c r="B4950">
        <f>18689.1758147304*(1/100/100)</f>
        <v>1.8689175814730399</v>
      </c>
      <c r="C4950">
        <v>57130</v>
      </c>
      <c r="D4950" t="s">
        <v>6096</v>
      </c>
      <c r="E4950">
        <v>50620</v>
      </c>
      <c r="F4950" t="s">
        <v>1486</v>
      </c>
      <c r="G4950">
        <v>506</v>
      </c>
      <c r="H4950" t="s">
        <v>99</v>
      </c>
      <c r="I4950">
        <v>5</v>
      </c>
      <c r="J4950" t="s">
        <v>93</v>
      </c>
    </row>
    <row r="4951" spans="1:10" x14ac:dyDescent="0.25">
      <c r="A4951" t="s">
        <v>146</v>
      </c>
      <c r="B4951">
        <f>42285.1078247841*(1/100/100)</f>
        <v>4.2285107824784101</v>
      </c>
      <c r="C4951">
        <v>57131</v>
      </c>
      <c r="D4951" t="s">
        <v>3568</v>
      </c>
      <c r="E4951">
        <v>50612</v>
      </c>
      <c r="F4951" t="s">
        <v>1478</v>
      </c>
      <c r="G4951">
        <v>506</v>
      </c>
      <c r="H4951" t="s">
        <v>99</v>
      </c>
      <c r="I4951">
        <v>5</v>
      </c>
      <c r="J4951" t="s">
        <v>93</v>
      </c>
    </row>
    <row r="4952" spans="1:10" x14ac:dyDescent="0.25">
      <c r="A4952" t="s">
        <v>146</v>
      </c>
      <c r="B4952">
        <f>42527.9123161903*(1/100/100)</f>
        <v>4.2527912316190299</v>
      </c>
      <c r="C4952">
        <v>57201</v>
      </c>
      <c r="D4952" t="s">
        <v>6083</v>
      </c>
      <c r="E4952">
        <v>50617</v>
      </c>
      <c r="F4952" t="s">
        <v>1483</v>
      </c>
      <c r="G4952">
        <v>506</v>
      </c>
      <c r="H4952" t="s">
        <v>99</v>
      </c>
      <c r="I4952">
        <v>5</v>
      </c>
      <c r="J4952" t="s">
        <v>93</v>
      </c>
    </row>
    <row r="4953" spans="1:10" x14ac:dyDescent="0.25">
      <c r="A4953" t="s">
        <v>146</v>
      </c>
      <c r="B4953">
        <f>57717.618734908*(1/100/100)</f>
        <v>5.7717618734908003</v>
      </c>
      <c r="C4953">
        <v>57202</v>
      </c>
      <c r="D4953" t="s">
        <v>6056</v>
      </c>
      <c r="E4953">
        <v>50603</v>
      </c>
      <c r="F4953" t="s">
        <v>1469</v>
      </c>
      <c r="G4953">
        <v>506</v>
      </c>
      <c r="H4953" t="s">
        <v>99</v>
      </c>
      <c r="I4953">
        <v>5</v>
      </c>
      <c r="J4953" t="s">
        <v>93</v>
      </c>
    </row>
    <row r="4954" spans="1:10" x14ac:dyDescent="0.25">
      <c r="A4954" t="s">
        <v>146</v>
      </c>
      <c r="B4954">
        <f>32882.5850252517*(1/100/100)</f>
        <v>3.2882585025251698</v>
      </c>
      <c r="C4954">
        <v>57203</v>
      </c>
      <c r="D4954" t="s">
        <v>6057</v>
      </c>
      <c r="E4954">
        <v>50603</v>
      </c>
      <c r="F4954" t="s">
        <v>1469</v>
      </c>
      <c r="G4954">
        <v>506</v>
      </c>
      <c r="H4954" t="s">
        <v>99</v>
      </c>
      <c r="I4954">
        <v>5</v>
      </c>
      <c r="J4954" t="s">
        <v>93</v>
      </c>
    </row>
    <row r="4955" spans="1:10" x14ac:dyDescent="0.25">
      <c r="A4955" t="s">
        <v>146</v>
      </c>
      <c r="B4955">
        <f>75799.6997371465*(1/100/100)</f>
        <v>7.5799699737146504</v>
      </c>
      <c r="C4955">
        <v>57204</v>
      </c>
      <c r="D4955" t="s">
        <v>6060</v>
      </c>
      <c r="E4955">
        <v>50608</v>
      </c>
      <c r="F4955" t="s">
        <v>1474</v>
      </c>
      <c r="G4955">
        <v>506</v>
      </c>
      <c r="H4955" t="s">
        <v>99</v>
      </c>
      <c r="I4955">
        <v>5</v>
      </c>
      <c r="J4955" t="s">
        <v>93</v>
      </c>
    </row>
    <row r="4956" spans="1:10" x14ac:dyDescent="0.25">
      <c r="A4956" t="s">
        <v>146</v>
      </c>
      <c r="B4956">
        <f>36912.7313813768*(1/100/100)</f>
        <v>3.6912731381376798</v>
      </c>
      <c r="C4956">
        <v>57205</v>
      </c>
      <c r="D4956" t="s">
        <v>698</v>
      </c>
      <c r="E4956">
        <v>50622</v>
      </c>
      <c r="F4956" t="s">
        <v>1488</v>
      </c>
      <c r="G4956">
        <v>506</v>
      </c>
      <c r="H4956" t="s">
        <v>99</v>
      </c>
      <c r="I4956">
        <v>5</v>
      </c>
      <c r="J4956" t="s">
        <v>93</v>
      </c>
    </row>
    <row r="4957" spans="1:10" x14ac:dyDescent="0.25">
      <c r="A4957" t="s">
        <v>146</v>
      </c>
      <c r="B4957">
        <f>49256.712415599*(1/100/100)</f>
        <v>4.9256712415599004</v>
      </c>
      <c r="C4957">
        <v>57206</v>
      </c>
      <c r="D4957" t="s">
        <v>1474</v>
      </c>
      <c r="E4957">
        <v>50608</v>
      </c>
      <c r="F4957" t="s">
        <v>1474</v>
      </c>
      <c r="G4957">
        <v>506</v>
      </c>
      <c r="H4957" t="s">
        <v>99</v>
      </c>
      <c r="I4957">
        <v>5</v>
      </c>
      <c r="J4957" t="s">
        <v>93</v>
      </c>
    </row>
    <row r="4958" spans="1:10" x14ac:dyDescent="0.25">
      <c r="A4958" t="s">
        <v>146</v>
      </c>
      <c r="B4958">
        <f>92307.2616745894*(1/100/100)</f>
        <v>9.2307261674589416</v>
      </c>
      <c r="C4958">
        <v>57207</v>
      </c>
      <c r="D4958" t="s">
        <v>1483</v>
      </c>
      <c r="E4958">
        <v>50617</v>
      </c>
      <c r="F4958" t="s">
        <v>1483</v>
      </c>
      <c r="G4958">
        <v>506</v>
      </c>
      <c r="H4958" t="s">
        <v>99</v>
      </c>
      <c r="I4958">
        <v>5</v>
      </c>
      <c r="J4958" t="s">
        <v>93</v>
      </c>
    </row>
    <row r="4959" spans="1:10" x14ac:dyDescent="0.25">
      <c r="A4959" t="s">
        <v>146</v>
      </c>
      <c r="B4959">
        <f>32763.3716951993*(1/100/100)</f>
        <v>3.2763371695199304</v>
      </c>
      <c r="C4959">
        <v>57208</v>
      </c>
      <c r="D4959" t="s">
        <v>4125</v>
      </c>
      <c r="E4959">
        <v>50602</v>
      </c>
      <c r="F4959" t="s">
        <v>1468</v>
      </c>
      <c r="G4959">
        <v>506</v>
      </c>
      <c r="H4959" t="s">
        <v>99</v>
      </c>
      <c r="I4959">
        <v>5</v>
      </c>
      <c r="J4959" t="s">
        <v>93</v>
      </c>
    </row>
    <row r="4960" spans="1:10" x14ac:dyDescent="0.25">
      <c r="A4960" t="s">
        <v>146</v>
      </c>
      <c r="B4960">
        <f>10772.055966269*(1/100/100)</f>
        <v>1.0772055966269001</v>
      </c>
      <c r="C4960">
        <v>57209</v>
      </c>
      <c r="D4960" t="s">
        <v>954</v>
      </c>
      <c r="E4960">
        <v>50603</v>
      </c>
      <c r="F4960" t="s">
        <v>1469</v>
      </c>
      <c r="G4960">
        <v>506</v>
      </c>
      <c r="H4960" t="s">
        <v>99</v>
      </c>
      <c r="I4960">
        <v>5</v>
      </c>
      <c r="J4960" t="s">
        <v>93</v>
      </c>
    </row>
    <row r="4961" spans="1:10" x14ac:dyDescent="0.25">
      <c r="A4961" t="s">
        <v>146</v>
      </c>
      <c r="B4961">
        <f>38720.5139463335*(1/100/100)</f>
        <v>3.8720513946333504</v>
      </c>
      <c r="C4961">
        <v>57210</v>
      </c>
      <c r="D4961" t="s">
        <v>6084</v>
      </c>
      <c r="E4961">
        <v>50617</v>
      </c>
      <c r="F4961" t="s">
        <v>1483</v>
      </c>
      <c r="G4961">
        <v>506</v>
      </c>
      <c r="H4961" t="s">
        <v>99</v>
      </c>
      <c r="I4961">
        <v>5</v>
      </c>
      <c r="J4961" t="s">
        <v>93</v>
      </c>
    </row>
    <row r="4962" spans="1:10" x14ac:dyDescent="0.25">
      <c r="A4962" t="s">
        <v>146</v>
      </c>
      <c r="B4962">
        <f>72002.8909023169*(1/100/100)</f>
        <v>7.2002890902316903</v>
      </c>
      <c r="C4962">
        <v>57211</v>
      </c>
      <c r="D4962" t="s">
        <v>2607</v>
      </c>
      <c r="E4962">
        <v>50622</v>
      </c>
      <c r="F4962" t="s">
        <v>1488</v>
      </c>
      <c r="G4962">
        <v>506</v>
      </c>
      <c r="H4962" t="s">
        <v>99</v>
      </c>
      <c r="I4962">
        <v>5</v>
      </c>
      <c r="J4962" t="s">
        <v>93</v>
      </c>
    </row>
    <row r="4963" spans="1:10" x14ac:dyDescent="0.25">
      <c r="A4963" t="s">
        <v>146</v>
      </c>
      <c r="B4963">
        <f>61837.1166778009*(1/100/100)</f>
        <v>6.1837116677800905</v>
      </c>
      <c r="C4963">
        <v>57212</v>
      </c>
      <c r="D4963" t="s">
        <v>2122</v>
      </c>
      <c r="E4963">
        <v>50602</v>
      </c>
      <c r="F4963" t="s">
        <v>1468</v>
      </c>
      <c r="G4963">
        <v>506</v>
      </c>
      <c r="H4963" t="s">
        <v>99</v>
      </c>
      <c r="I4963">
        <v>5</v>
      </c>
      <c r="J4963" t="s">
        <v>93</v>
      </c>
    </row>
    <row r="4964" spans="1:10" x14ac:dyDescent="0.25">
      <c r="A4964" t="s">
        <v>146</v>
      </c>
      <c r="B4964">
        <f>80950.8029185667*(1/100/100)</f>
        <v>8.0950802918566698</v>
      </c>
      <c r="C4964">
        <v>57213</v>
      </c>
      <c r="D4964" t="s">
        <v>1488</v>
      </c>
      <c r="E4964">
        <v>50622</v>
      </c>
      <c r="F4964" t="s">
        <v>1488</v>
      </c>
      <c r="G4964">
        <v>506</v>
      </c>
      <c r="H4964" t="s">
        <v>99</v>
      </c>
      <c r="I4964">
        <v>5</v>
      </c>
      <c r="J4964" t="s">
        <v>93</v>
      </c>
    </row>
    <row r="4965" spans="1:10" x14ac:dyDescent="0.25">
      <c r="A4965" t="s">
        <v>146</v>
      </c>
      <c r="B4965">
        <f>43167.0054761045*(1/100/100)</f>
        <v>4.3167005476104503</v>
      </c>
      <c r="C4965">
        <v>57214</v>
      </c>
      <c r="D4965" t="s">
        <v>6085</v>
      </c>
      <c r="E4965">
        <v>50617</v>
      </c>
      <c r="F4965" t="s">
        <v>1483</v>
      </c>
      <c r="G4965">
        <v>506</v>
      </c>
      <c r="H4965" t="s">
        <v>99</v>
      </c>
      <c r="I4965">
        <v>5</v>
      </c>
      <c r="J4965" t="s">
        <v>93</v>
      </c>
    </row>
    <row r="4966" spans="1:10" x14ac:dyDescent="0.25">
      <c r="A4966" t="s">
        <v>146</v>
      </c>
      <c r="B4966">
        <f>46794.9551390067*(1/100/100)</f>
        <v>4.6794955139006698</v>
      </c>
      <c r="C4966">
        <v>57215</v>
      </c>
      <c r="D4966" t="s">
        <v>6086</v>
      </c>
      <c r="E4966">
        <v>50617</v>
      </c>
      <c r="F4966" t="s">
        <v>1483</v>
      </c>
      <c r="G4966">
        <v>506</v>
      </c>
      <c r="H4966" t="s">
        <v>99</v>
      </c>
      <c r="I4966">
        <v>5</v>
      </c>
      <c r="J4966" t="s">
        <v>93</v>
      </c>
    </row>
    <row r="4967" spans="1:10" x14ac:dyDescent="0.25">
      <c r="A4967" t="s">
        <v>146</v>
      </c>
      <c r="B4967">
        <f>53260.037491076*(1/100/100)</f>
        <v>5.3260037491076</v>
      </c>
      <c r="C4967">
        <v>57216</v>
      </c>
      <c r="D4967" t="s">
        <v>6097</v>
      </c>
      <c r="E4967">
        <v>50622</v>
      </c>
      <c r="F4967" t="s">
        <v>1488</v>
      </c>
      <c r="G4967">
        <v>506</v>
      </c>
      <c r="H4967" t="s">
        <v>99</v>
      </c>
      <c r="I4967">
        <v>5</v>
      </c>
      <c r="J4967" t="s">
        <v>93</v>
      </c>
    </row>
    <row r="4968" spans="1:10" x14ac:dyDescent="0.25">
      <c r="A4968" t="s">
        <v>146</v>
      </c>
      <c r="B4968">
        <f>43702.9860732576*(1/100/100)</f>
        <v>4.3702986073257604</v>
      </c>
      <c r="C4968">
        <v>57217</v>
      </c>
      <c r="D4968" t="s">
        <v>6087</v>
      </c>
      <c r="E4968">
        <v>50617</v>
      </c>
      <c r="F4968" t="s">
        <v>1483</v>
      </c>
      <c r="G4968">
        <v>506</v>
      </c>
      <c r="H4968" t="s">
        <v>99</v>
      </c>
      <c r="I4968">
        <v>5</v>
      </c>
      <c r="J4968" t="s">
        <v>93</v>
      </c>
    </row>
    <row r="4969" spans="1:10" x14ac:dyDescent="0.25">
      <c r="A4969" t="s">
        <v>146</v>
      </c>
      <c r="B4969">
        <f>107026.216785455*(1/100/100)</f>
        <v>10.702621678545501</v>
      </c>
      <c r="C4969">
        <v>57301</v>
      </c>
      <c r="D4969" t="s">
        <v>3961</v>
      </c>
      <c r="E4969">
        <v>50611</v>
      </c>
      <c r="F4969" t="s">
        <v>1477</v>
      </c>
      <c r="G4969">
        <v>506</v>
      </c>
      <c r="H4969" t="s">
        <v>99</v>
      </c>
      <c r="I4969">
        <v>5</v>
      </c>
      <c r="J4969" t="s">
        <v>93</v>
      </c>
    </row>
    <row r="4970" spans="1:10" x14ac:dyDescent="0.25">
      <c r="A4970" t="s">
        <v>146</v>
      </c>
      <c r="B4970">
        <f>78031.4040149029*(1/100/100)</f>
        <v>7.8031404014902908</v>
      </c>
      <c r="C4970">
        <v>57302</v>
      </c>
      <c r="D4970" t="s">
        <v>6081</v>
      </c>
      <c r="E4970">
        <v>50616</v>
      </c>
      <c r="F4970" t="s">
        <v>1482</v>
      </c>
      <c r="G4970">
        <v>506</v>
      </c>
      <c r="H4970" t="s">
        <v>99</v>
      </c>
      <c r="I4970">
        <v>5</v>
      </c>
      <c r="J4970" t="s">
        <v>93</v>
      </c>
    </row>
    <row r="4971" spans="1:10" x14ac:dyDescent="0.25">
      <c r="A4971" t="s">
        <v>146</v>
      </c>
      <c r="B4971">
        <f>192317.506629999*(1/100/100)</f>
        <v>19.2317506629999</v>
      </c>
      <c r="C4971">
        <v>57303</v>
      </c>
      <c r="D4971" t="s">
        <v>5398</v>
      </c>
      <c r="E4971">
        <v>50602</v>
      </c>
      <c r="F4971" t="s">
        <v>1468</v>
      </c>
      <c r="G4971">
        <v>506</v>
      </c>
      <c r="H4971" t="s">
        <v>99</v>
      </c>
      <c r="I4971">
        <v>5</v>
      </c>
      <c r="J4971" t="s">
        <v>93</v>
      </c>
    </row>
    <row r="4972" spans="1:10" x14ac:dyDescent="0.25">
      <c r="A4972" t="s">
        <v>146</v>
      </c>
      <c r="B4972">
        <f>48362.3795124102*(1/100/100)</f>
        <v>4.8362379512410207</v>
      </c>
      <c r="C4972">
        <v>57304</v>
      </c>
      <c r="D4972" t="s">
        <v>6104</v>
      </c>
      <c r="E4972">
        <v>50628</v>
      </c>
      <c r="F4972" t="s">
        <v>99</v>
      </c>
      <c r="G4972">
        <v>506</v>
      </c>
      <c r="H4972" t="s">
        <v>99</v>
      </c>
      <c r="I4972">
        <v>5</v>
      </c>
      <c r="J4972" t="s">
        <v>93</v>
      </c>
    </row>
    <row r="4973" spans="1:10" x14ac:dyDescent="0.25">
      <c r="A4973" t="s">
        <v>146</v>
      </c>
      <c r="B4973">
        <f>22652.5110670973*(1/100/100)</f>
        <v>2.2652511067097301</v>
      </c>
      <c r="C4973">
        <v>57305</v>
      </c>
      <c r="D4973" t="s">
        <v>6105</v>
      </c>
      <c r="E4973">
        <v>50628</v>
      </c>
      <c r="F4973" t="s">
        <v>99</v>
      </c>
      <c r="G4973">
        <v>506</v>
      </c>
      <c r="H4973" t="s">
        <v>99</v>
      </c>
      <c r="I4973">
        <v>5</v>
      </c>
      <c r="J4973" t="s">
        <v>93</v>
      </c>
    </row>
    <row r="4974" spans="1:10" x14ac:dyDescent="0.25">
      <c r="A4974" t="s">
        <v>146</v>
      </c>
      <c r="B4974">
        <f>117547.439474466*(1/100/100)</f>
        <v>11.754743947446601</v>
      </c>
      <c r="C4974">
        <v>57306</v>
      </c>
      <c r="D4974" t="s">
        <v>6058</v>
      </c>
      <c r="E4974">
        <v>50604</v>
      </c>
      <c r="F4974" t="s">
        <v>1470</v>
      </c>
      <c r="G4974">
        <v>506</v>
      </c>
      <c r="H4974" t="s">
        <v>99</v>
      </c>
      <c r="I4974">
        <v>5</v>
      </c>
      <c r="J4974" t="s">
        <v>93</v>
      </c>
    </row>
    <row r="4975" spans="1:10" x14ac:dyDescent="0.25">
      <c r="A4975" t="s">
        <v>146</v>
      </c>
      <c r="B4975">
        <f>213688.151763443*(1/100/100)</f>
        <v>21.368815176344299</v>
      </c>
      <c r="C4975">
        <v>57307</v>
      </c>
      <c r="D4975" t="s">
        <v>6088</v>
      </c>
      <c r="E4975">
        <v>50618</v>
      </c>
      <c r="F4975" t="s">
        <v>1484</v>
      </c>
      <c r="G4975">
        <v>506</v>
      </c>
      <c r="H4975" t="s">
        <v>99</v>
      </c>
      <c r="I4975">
        <v>5</v>
      </c>
      <c r="J4975" t="s">
        <v>93</v>
      </c>
    </row>
    <row r="4976" spans="1:10" x14ac:dyDescent="0.25">
      <c r="A4976" t="s">
        <v>146</v>
      </c>
      <c r="B4976">
        <f>22368.4973947543*(1/100/100)</f>
        <v>2.2368497394754301</v>
      </c>
      <c r="C4976">
        <v>57308</v>
      </c>
      <c r="D4976" t="s">
        <v>6082</v>
      </c>
      <c r="E4976">
        <v>50616</v>
      </c>
      <c r="F4976" t="s">
        <v>1482</v>
      </c>
      <c r="G4976">
        <v>506</v>
      </c>
      <c r="H4976" t="s">
        <v>99</v>
      </c>
      <c r="I4976">
        <v>5</v>
      </c>
      <c r="J4976" t="s">
        <v>93</v>
      </c>
    </row>
    <row r="4977" spans="1:10" x14ac:dyDescent="0.25">
      <c r="A4977" t="s">
        <v>146</v>
      </c>
      <c r="B4977">
        <f>77387.4980894229*(1/100/100)</f>
        <v>7.7387498089422895</v>
      </c>
      <c r="C4977">
        <v>57309</v>
      </c>
      <c r="D4977" t="s">
        <v>2376</v>
      </c>
      <c r="E4977">
        <v>50602</v>
      </c>
      <c r="F4977" t="s">
        <v>1468</v>
      </c>
      <c r="G4977">
        <v>506</v>
      </c>
      <c r="H4977" t="s">
        <v>99</v>
      </c>
      <c r="I4977">
        <v>5</v>
      </c>
      <c r="J4977" t="s">
        <v>93</v>
      </c>
    </row>
    <row r="4978" spans="1:10" x14ac:dyDescent="0.25">
      <c r="A4978" t="s">
        <v>146</v>
      </c>
      <c r="B4978">
        <f>337026.175569968*(1/100/100)</f>
        <v>33.702617556996799</v>
      </c>
      <c r="C4978">
        <v>57310</v>
      </c>
      <c r="D4978" t="s">
        <v>1472</v>
      </c>
      <c r="E4978">
        <v>50606</v>
      </c>
      <c r="F4978" t="s">
        <v>1472</v>
      </c>
      <c r="G4978">
        <v>506</v>
      </c>
      <c r="H4978" t="s">
        <v>99</v>
      </c>
      <c r="I4978">
        <v>5</v>
      </c>
      <c r="J4978" t="s">
        <v>93</v>
      </c>
    </row>
    <row r="4979" spans="1:10" x14ac:dyDescent="0.25">
      <c r="A4979" t="s">
        <v>146</v>
      </c>
      <c r="B4979">
        <f>129266.100060096*(1/100/100)</f>
        <v>12.9266100060096</v>
      </c>
      <c r="C4979">
        <v>57311</v>
      </c>
      <c r="D4979" t="s">
        <v>1477</v>
      </c>
      <c r="E4979">
        <v>50611</v>
      </c>
      <c r="F4979" t="s">
        <v>1477</v>
      </c>
      <c r="G4979">
        <v>506</v>
      </c>
      <c r="H4979" t="s">
        <v>99</v>
      </c>
      <c r="I4979">
        <v>5</v>
      </c>
      <c r="J4979" t="s">
        <v>93</v>
      </c>
    </row>
    <row r="4980" spans="1:10" x14ac:dyDescent="0.25">
      <c r="A4980" t="s">
        <v>146</v>
      </c>
      <c r="B4980">
        <f>93311.8842540672*(1/100/100)</f>
        <v>9.3311884254067206</v>
      </c>
      <c r="C4980">
        <v>57312</v>
      </c>
      <c r="D4980" t="s">
        <v>6067</v>
      </c>
      <c r="E4980">
        <v>50611</v>
      </c>
      <c r="F4980" t="s">
        <v>1477</v>
      </c>
      <c r="G4980">
        <v>506</v>
      </c>
      <c r="H4980" t="s">
        <v>99</v>
      </c>
      <c r="I4980">
        <v>5</v>
      </c>
      <c r="J4980" t="s">
        <v>93</v>
      </c>
    </row>
    <row r="4981" spans="1:10" x14ac:dyDescent="0.25">
      <c r="A4981" t="s">
        <v>146</v>
      </c>
      <c r="B4981">
        <f>164662.193731281*(1/100/100)</f>
        <v>16.466219373128101</v>
      </c>
      <c r="C4981">
        <v>57313</v>
      </c>
      <c r="D4981" t="s">
        <v>1482</v>
      </c>
      <c r="E4981">
        <v>50616</v>
      </c>
      <c r="F4981" t="s">
        <v>1482</v>
      </c>
      <c r="G4981">
        <v>506</v>
      </c>
      <c r="H4981" t="s">
        <v>99</v>
      </c>
      <c r="I4981">
        <v>5</v>
      </c>
      <c r="J4981" t="s">
        <v>93</v>
      </c>
    </row>
    <row r="4982" spans="1:10" x14ac:dyDescent="0.25">
      <c r="A4982" t="s">
        <v>146</v>
      </c>
      <c r="B4982">
        <f>265386.850696982*(1/100/100)</f>
        <v>26.5386850696982</v>
      </c>
      <c r="C4982">
        <v>57314</v>
      </c>
      <c r="D4982" t="s">
        <v>6089</v>
      </c>
      <c r="E4982">
        <v>50618</v>
      </c>
      <c r="F4982" t="s">
        <v>1484</v>
      </c>
      <c r="G4982">
        <v>506</v>
      </c>
      <c r="H4982" t="s">
        <v>99</v>
      </c>
      <c r="I4982">
        <v>5</v>
      </c>
      <c r="J4982" t="s">
        <v>93</v>
      </c>
    </row>
    <row r="4983" spans="1:10" x14ac:dyDescent="0.25">
      <c r="A4983" t="s">
        <v>146</v>
      </c>
      <c r="B4983">
        <f>58230.9854000302*(1/100/100)</f>
        <v>5.82309854000302</v>
      </c>
      <c r="C4983">
        <v>57315</v>
      </c>
      <c r="D4983" t="s">
        <v>6106</v>
      </c>
      <c r="E4983">
        <v>50628</v>
      </c>
      <c r="F4983" t="s">
        <v>99</v>
      </c>
      <c r="G4983">
        <v>506</v>
      </c>
      <c r="H4983" t="s">
        <v>99</v>
      </c>
      <c r="I4983">
        <v>5</v>
      </c>
      <c r="J4983" t="s">
        <v>93</v>
      </c>
    </row>
    <row r="4984" spans="1:10" x14ac:dyDescent="0.25">
      <c r="A4984" t="s">
        <v>146</v>
      </c>
      <c r="B4984">
        <f>79840.548415141*(1/100/100)</f>
        <v>7.9840548415141006</v>
      </c>
      <c r="C4984">
        <v>57316</v>
      </c>
      <c r="D4984" t="s">
        <v>6107</v>
      </c>
      <c r="E4984">
        <v>50628</v>
      </c>
      <c r="F4984" t="s">
        <v>99</v>
      </c>
      <c r="G4984">
        <v>506</v>
      </c>
      <c r="H4984" t="s">
        <v>99</v>
      </c>
      <c r="I4984">
        <v>5</v>
      </c>
      <c r="J4984" t="s">
        <v>93</v>
      </c>
    </row>
    <row r="4985" spans="1:10" x14ac:dyDescent="0.25">
      <c r="A4985" t="s">
        <v>146</v>
      </c>
      <c r="B4985">
        <f>73548.3536025216*(1/100/100)</f>
        <v>7.3548353602521601</v>
      </c>
      <c r="C4985">
        <v>57317</v>
      </c>
      <c r="D4985" t="s">
        <v>1491</v>
      </c>
      <c r="E4985">
        <v>50625</v>
      </c>
      <c r="F4985" t="s">
        <v>1491</v>
      </c>
      <c r="G4985">
        <v>506</v>
      </c>
      <c r="H4985" t="s">
        <v>99</v>
      </c>
      <c r="I4985">
        <v>5</v>
      </c>
      <c r="J4985" t="s">
        <v>93</v>
      </c>
    </row>
    <row r="4986" spans="1:10" x14ac:dyDescent="0.25">
      <c r="A4986" t="s">
        <v>146</v>
      </c>
      <c r="B4986">
        <f>85623.6799594798*(1/100/100)</f>
        <v>8.5623679959479819</v>
      </c>
      <c r="C4986">
        <v>57318</v>
      </c>
      <c r="D4986" t="s">
        <v>5836</v>
      </c>
      <c r="E4986">
        <v>50616</v>
      </c>
      <c r="F4986" t="s">
        <v>1482</v>
      </c>
      <c r="G4986">
        <v>506</v>
      </c>
      <c r="H4986" t="s">
        <v>99</v>
      </c>
      <c r="I4986">
        <v>5</v>
      </c>
      <c r="J4986" t="s">
        <v>93</v>
      </c>
    </row>
    <row r="4987" spans="1:10" x14ac:dyDescent="0.25">
      <c r="A4987" t="s">
        <v>146</v>
      </c>
      <c r="B4987">
        <f>532749.384662264*(1/100/100)</f>
        <v>53.274938466226402</v>
      </c>
      <c r="C4987">
        <v>57319</v>
      </c>
      <c r="D4987" t="s">
        <v>99</v>
      </c>
      <c r="E4987">
        <v>50628</v>
      </c>
      <c r="F4987" t="s">
        <v>99</v>
      </c>
      <c r="G4987">
        <v>506</v>
      </c>
      <c r="H4987" t="s">
        <v>99</v>
      </c>
      <c r="I4987">
        <v>5</v>
      </c>
      <c r="J4987" t="s">
        <v>93</v>
      </c>
    </row>
    <row r="4988" spans="1:10" x14ac:dyDescent="0.25">
      <c r="A4988" t="s">
        <v>146</v>
      </c>
      <c r="B4988">
        <f>19250.8170049503*(1/100/100)</f>
        <v>1.92508170049503</v>
      </c>
      <c r="C4988">
        <v>58001</v>
      </c>
      <c r="D4988" t="s">
        <v>6050</v>
      </c>
      <c r="E4988">
        <v>50511</v>
      </c>
      <c r="F4988" t="s">
        <v>1462</v>
      </c>
      <c r="G4988">
        <v>505</v>
      </c>
      <c r="H4988" t="s">
        <v>98</v>
      </c>
      <c r="I4988">
        <v>5</v>
      </c>
      <c r="J4988" t="s">
        <v>93</v>
      </c>
    </row>
    <row r="4989" spans="1:10" x14ac:dyDescent="0.25">
      <c r="A4989" t="s">
        <v>146</v>
      </c>
      <c r="B4989">
        <f>17159.6597220304*(1/100/100)</f>
        <v>1.71596597220304</v>
      </c>
      <c r="C4989">
        <v>58002</v>
      </c>
      <c r="D4989" t="s">
        <v>6033</v>
      </c>
      <c r="E4989">
        <v>50504</v>
      </c>
      <c r="F4989" t="s">
        <v>1456</v>
      </c>
      <c r="G4989">
        <v>505</v>
      </c>
      <c r="H4989" t="s">
        <v>98</v>
      </c>
      <c r="I4989">
        <v>5</v>
      </c>
      <c r="J4989" t="s">
        <v>93</v>
      </c>
    </row>
    <row r="4990" spans="1:10" x14ac:dyDescent="0.25">
      <c r="A4990" t="s">
        <v>146</v>
      </c>
      <c r="B4990">
        <f>45086.8341373661*(1/100/100)</f>
        <v>4.5086834137366107</v>
      </c>
      <c r="C4990">
        <v>58003</v>
      </c>
      <c r="D4990" t="s">
        <v>1453</v>
      </c>
      <c r="E4990">
        <v>50501</v>
      </c>
      <c r="F4990" t="s">
        <v>1453</v>
      </c>
      <c r="G4990">
        <v>505</v>
      </c>
      <c r="H4990" t="s">
        <v>98</v>
      </c>
      <c r="I4990">
        <v>5</v>
      </c>
      <c r="J4990" t="s">
        <v>93</v>
      </c>
    </row>
    <row r="4991" spans="1:10" x14ac:dyDescent="0.25">
      <c r="A4991" t="s">
        <v>146</v>
      </c>
      <c r="B4991">
        <f>43603.8335298115*(1/100/100)</f>
        <v>4.3603833529811498</v>
      </c>
      <c r="C4991">
        <v>58004</v>
      </c>
      <c r="D4991" t="s">
        <v>5308</v>
      </c>
      <c r="E4991">
        <v>50510</v>
      </c>
      <c r="F4991" t="s">
        <v>98</v>
      </c>
      <c r="G4991">
        <v>505</v>
      </c>
      <c r="H4991" t="s">
        <v>98</v>
      </c>
      <c r="I4991">
        <v>5</v>
      </c>
      <c r="J4991" t="s">
        <v>93</v>
      </c>
    </row>
    <row r="4992" spans="1:10" x14ac:dyDescent="0.25">
      <c r="A4992" t="s">
        <v>146</v>
      </c>
      <c r="B4992">
        <f>16991.0168790052*(1/100/100)</f>
        <v>1.6991016879005203</v>
      </c>
      <c r="C4992">
        <v>58005</v>
      </c>
      <c r="D4992" t="s">
        <v>6035</v>
      </c>
      <c r="E4992">
        <v>50505</v>
      </c>
      <c r="F4992" t="s">
        <v>1457</v>
      </c>
      <c r="G4992">
        <v>505</v>
      </c>
      <c r="H4992" t="s">
        <v>98</v>
      </c>
      <c r="I4992">
        <v>5</v>
      </c>
      <c r="J4992" t="s">
        <v>93</v>
      </c>
    </row>
    <row r="4993" spans="1:10" x14ac:dyDescent="0.25">
      <c r="A4993" t="s">
        <v>146</v>
      </c>
      <c r="B4993">
        <f>34878.6542202123*(1/100/100)</f>
        <v>3.4878654220212302</v>
      </c>
      <c r="C4993">
        <v>58006</v>
      </c>
      <c r="D4993" t="s">
        <v>6039</v>
      </c>
      <c r="E4993">
        <v>50509</v>
      </c>
      <c r="F4993" t="s">
        <v>1461</v>
      </c>
      <c r="G4993">
        <v>505</v>
      </c>
      <c r="H4993" t="s">
        <v>98</v>
      </c>
      <c r="I4993">
        <v>5</v>
      </c>
      <c r="J4993" t="s">
        <v>93</v>
      </c>
    </row>
    <row r="4994" spans="1:10" x14ac:dyDescent="0.25">
      <c r="A4994" t="s">
        <v>146</v>
      </c>
      <c r="B4994">
        <f>7790.68245992241*(1/100/100)</f>
        <v>0.779068245992241</v>
      </c>
      <c r="C4994">
        <v>58007</v>
      </c>
      <c r="D4994" t="s">
        <v>6044</v>
      </c>
      <c r="E4994">
        <v>50510</v>
      </c>
      <c r="F4994" t="s">
        <v>98</v>
      </c>
      <c r="G4994">
        <v>505</v>
      </c>
      <c r="H4994" t="s">
        <v>98</v>
      </c>
      <c r="I4994">
        <v>5</v>
      </c>
      <c r="J4994" t="s">
        <v>93</v>
      </c>
    </row>
    <row r="4995" spans="1:10" x14ac:dyDescent="0.25">
      <c r="A4995" t="s">
        <v>146</v>
      </c>
      <c r="B4995">
        <f>35254.5321813654*(1/100/100)</f>
        <v>3.5254532181365401</v>
      </c>
      <c r="C4995">
        <v>58008</v>
      </c>
      <c r="D4995" t="s">
        <v>2825</v>
      </c>
      <c r="E4995">
        <v>50515</v>
      </c>
      <c r="F4995" t="s">
        <v>1466</v>
      </c>
      <c r="G4995">
        <v>505</v>
      </c>
      <c r="H4995" t="s">
        <v>98</v>
      </c>
      <c r="I4995">
        <v>5</v>
      </c>
      <c r="J4995" t="s">
        <v>93</v>
      </c>
    </row>
    <row r="4996" spans="1:10" x14ac:dyDescent="0.25">
      <c r="A4996" t="s">
        <v>146</v>
      </c>
      <c r="B4996">
        <f>24398.8743033968*(1/100/100)</f>
        <v>2.43988743033968</v>
      </c>
      <c r="C4996">
        <v>58009</v>
      </c>
      <c r="D4996" t="s">
        <v>6045</v>
      </c>
      <c r="E4996">
        <v>50510</v>
      </c>
      <c r="F4996" t="s">
        <v>98</v>
      </c>
      <c r="G4996">
        <v>505</v>
      </c>
      <c r="H4996" t="s">
        <v>98</v>
      </c>
      <c r="I4996">
        <v>5</v>
      </c>
      <c r="J4996" t="s">
        <v>93</v>
      </c>
    </row>
    <row r="4997" spans="1:10" x14ac:dyDescent="0.25">
      <c r="A4997" t="s">
        <v>146</v>
      </c>
      <c r="B4997">
        <f>48716.0200052584*(1/100/100)</f>
        <v>4.87160200052584</v>
      </c>
      <c r="C4997">
        <v>58010</v>
      </c>
      <c r="D4997" t="s">
        <v>1454</v>
      </c>
      <c r="E4997">
        <v>50502</v>
      </c>
      <c r="F4997" t="s">
        <v>1454</v>
      </c>
      <c r="G4997">
        <v>505</v>
      </c>
      <c r="H4997" t="s">
        <v>98</v>
      </c>
      <c r="I4997">
        <v>5</v>
      </c>
      <c r="J4997" t="s">
        <v>93</v>
      </c>
    </row>
    <row r="4998" spans="1:10" x14ac:dyDescent="0.25">
      <c r="A4998" t="s">
        <v>146</v>
      </c>
      <c r="B4998">
        <f>159092.589250017*(1/100/100)</f>
        <v>15.9092589250017</v>
      </c>
      <c r="C4998">
        <v>58011</v>
      </c>
      <c r="D4998" t="s">
        <v>1455</v>
      </c>
      <c r="E4998">
        <v>50503</v>
      </c>
      <c r="F4998" t="s">
        <v>1455</v>
      </c>
      <c r="G4998">
        <v>505</v>
      </c>
      <c r="H4998" t="s">
        <v>98</v>
      </c>
      <c r="I4998">
        <v>5</v>
      </c>
      <c r="J4998" t="s">
        <v>93</v>
      </c>
    </row>
    <row r="4999" spans="1:10" x14ac:dyDescent="0.25">
      <c r="A4999" t="s">
        <v>146</v>
      </c>
      <c r="B4999">
        <f>147214.289234629*(1/100/100)</f>
        <v>14.7214289234629</v>
      </c>
      <c r="C4999">
        <v>58012</v>
      </c>
      <c r="D4999" t="s">
        <v>1456</v>
      </c>
      <c r="E4999">
        <v>50504</v>
      </c>
      <c r="F4999" t="s">
        <v>1456</v>
      </c>
      <c r="G4999">
        <v>505</v>
      </c>
      <c r="H4999" t="s">
        <v>98</v>
      </c>
      <c r="I4999">
        <v>5</v>
      </c>
      <c r="J4999" t="s">
        <v>93</v>
      </c>
    </row>
    <row r="5000" spans="1:10" x14ac:dyDescent="0.25">
      <c r="A5000" t="s">
        <v>146</v>
      </c>
      <c r="B5000">
        <f>17438.2248478601*(1/100/100)</f>
        <v>1.74382248478601</v>
      </c>
      <c r="C5000">
        <v>58013</v>
      </c>
      <c r="D5000" t="s">
        <v>6038</v>
      </c>
      <c r="E5000">
        <v>50506</v>
      </c>
      <c r="F5000" t="s">
        <v>1458</v>
      </c>
      <c r="G5000">
        <v>505</v>
      </c>
      <c r="H5000" t="s">
        <v>98</v>
      </c>
      <c r="I5000">
        <v>5</v>
      </c>
      <c r="J5000" t="s">
        <v>93</v>
      </c>
    </row>
    <row r="5001" spans="1:10" x14ac:dyDescent="0.25">
      <c r="A5001" t="s">
        <v>146</v>
      </c>
      <c r="B5001">
        <f>35768.4886410003*(1/100/100)</f>
        <v>3.5768488641000302</v>
      </c>
      <c r="C5001">
        <v>58014</v>
      </c>
      <c r="D5001" t="s">
        <v>3100</v>
      </c>
      <c r="E5001">
        <v>50506</v>
      </c>
      <c r="F5001" t="s">
        <v>1458</v>
      </c>
      <c r="G5001">
        <v>505</v>
      </c>
      <c r="H5001" t="s">
        <v>98</v>
      </c>
      <c r="I5001">
        <v>5</v>
      </c>
      <c r="J5001" t="s">
        <v>93</v>
      </c>
    </row>
    <row r="5002" spans="1:10" x14ac:dyDescent="0.25">
      <c r="A5002" t="s">
        <v>146</v>
      </c>
      <c r="B5002">
        <f>100003.536065975*(1/100/100)</f>
        <v>10.0003536065975</v>
      </c>
      <c r="C5002">
        <v>58015</v>
      </c>
      <c r="D5002" t="s">
        <v>6046</v>
      </c>
      <c r="E5002">
        <v>50510</v>
      </c>
      <c r="F5002" t="s">
        <v>98</v>
      </c>
      <c r="G5002">
        <v>505</v>
      </c>
      <c r="H5002" t="s">
        <v>98</v>
      </c>
      <c r="I5002">
        <v>5</v>
      </c>
      <c r="J5002" t="s">
        <v>93</v>
      </c>
    </row>
    <row r="5003" spans="1:10" x14ac:dyDescent="0.25">
      <c r="A5003" t="s">
        <v>146</v>
      </c>
      <c r="B5003">
        <f>17969.3027331634*(1/100/100)</f>
        <v>1.7969302733163401</v>
      </c>
      <c r="C5003">
        <v>58016</v>
      </c>
      <c r="D5003" t="s">
        <v>6034</v>
      </c>
      <c r="E5003">
        <v>50504</v>
      </c>
      <c r="F5003" t="s">
        <v>1456</v>
      </c>
      <c r="G5003">
        <v>505</v>
      </c>
      <c r="H5003" t="s">
        <v>98</v>
      </c>
      <c r="I5003">
        <v>5</v>
      </c>
      <c r="J5003" t="s">
        <v>93</v>
      </c>
    </row>
    <row r="5004" spans="1:10" x14ac:dyDescent="0.25">
      <c r="A5004" t="s">
        <v>146</v>
      </c>
      <c r="B5004">
        <f>52412.6872217029*(1/100/100)</f>
        <v>5.2412687221702905</v>
      </c>
      <c r="C5004">
        <v>58017</v>
      </c>
      <c r="D5004" t="s">
        <v>6040</v>
      </c>
      <c r="E5004">
        <v>50509</v>
      </c>
      <c r="F5004" t="s">
        <v>1461</v>
      </c>
      <c r="G5004">
        <v>505</v>
      </c>
      <c r="H5004" t="s">
        <v>98</v>
      </c>
      <c r="I5004">
        <v>5</v>
      </c>
      <c r="J5004" t="s">
        <v>93</v>
      </c>
    </row>
    <row r="5005" spans="1:10" x14ac:dyDescent="0.25">
      <c r="A5005" t="s">
        <v>146</v>
      </c>
      <c r="B5005">
        <f>52601.8299097928*(1/100/100)</f>
        <v>5.2601829909792803</v>
      </c>
      <c r="C5005">
        <v>58018</v>
      </c>
      <c r="D5005" t="s">
        <v>5433</v>
      </c>
      <c r="E5005">
        <v>50503</v>
      </c>
      <c r="F5005" t="s">
        <v>1455</v>
      </c>
      <c r="G5005">
        <v>505</v>
      </c>
      <c r="H5005" t="s">
        <v>98</v>
      </c>
      <c r="I5005">
        <v>5</v>
      </c>
      <c r="J5005" t="s">
        <v>93</v>
      </c>
    </row>
    <row r="5006" spans="1:10" x14ac:dyDescent="0.25">
      <c r="A5006" t="s">
        <v>146</v>
      </c>
      <c r="B5006">
        <f>78852.8019145291*(1/100/100)</f>
        <v>7.8852801914529111</v>
      </c>
      <c r="C5006">
        <v>58019</v>
      </c>
      <c r="D5006" t="s">
        <v>1458</v>
      </c>
      <c r="E5006">
        <v>50506</v>
      </c>
      <c r="F5006" t="s">
        <v>1458</v>
      </c>
      <c r="G5006">
        <v>505</v>
      </c>
      <c r="H5006" t="s">
        <v>98</v>
      </c>
      <c r="I5006">
        <v>5</v>
      </c>
      <c r="J5006" t="s">
        <v>93</v>
      </c>
    </row>
    <row r="5007" spans="1:10" x14ac:dyDescent="0.25">
      <c r="A5007" t="s">
        <v>146</v>
      </c>
      <c r="B5007">
        <f>28281.0357361599*(1/100/100)</f>
        <v>2.8281035736159903</v>
      </c>
      <c r="C5007">
        <v>58020</v>
      </c>
      <c r="D5007" t="s">
        <v>6052</v>
      </c>
      <c r="E5007">
        <v>50515</v>
      </c>
      <c r="F5007" t="s">
        <v>1466</v>
      </c>
      <c r="G5007">
        <v>505</v>
      </c>
      <c r="H5007" t="s">
        <v>98</v>
      </c>
      <c r="I5007">
        <v>5</v>
      </c>
      <c r="J5007" t="s">
        <v>93</v>
      </c>
    </row>
    <row r="5008" spans="1:10" x14ac:dyDescent="0.25">
      <c r="A5008" t="s">
        <v>146</v>
      </c>
      <c r="B5008">
        <f>81130.4582902369*(1/100/100)</f>
        <v>8.1130458290236902</v>
      </c>
      <c r="C5008">
        <v>58021</v>
      </c>
      <c r="D5008" t="s">
        <v>2193</v>
      </c>
      <c r="E5008">
        <v>50507</v>
      </c>
      <c r="F5008" t="s">
        <v>1459</v>
      </c>
      <c r="G5008">
        <v>505</v>
      </c>
      <c r="H5008" t="s">
        <v>98</v>
      </c>
      <c r="I5008">
        <v>5</v>
      </c>
      <c r="J5008" t="s">
        <v>93</v>
      </c>
    </row>
    <row r="5009" spans="1:10" x14ac:dyDescent="0.25">
      <c r="A5009" t="s">
        <v>146</v>
      </c>
      <c r="B5009">
        <f>96825.5555479896*(1/100/100)</f>
        <v>9.6825555547989612</v>
      </c>
      <c r="C5009">
        <v>58022</v>
      </c>
      <c r="D5009" t="s">
        <v>2125</v>
      </c>
      <c r="E5009">
        <v>50508</v>
      </c>
      <c r="F5009" t="s">
        <v>1460</v>
      </c>
      <c r="G5009">
        <v>505</v>
      </c>
      <c r="H5009" t="s">
        <v>98</v>
      </c>
      <c r="I5009">
        <v>5</v>
      </c>
      <c r="J5009" t="s">
        <v>93</v>
      </c>
    </row>
    <row r="5010" spans="1:10" x14ac:dyDescent="0.25">
      <c r="A5010" t="s">
        <v>146</v>
      </c>
      <c r="B5010">
        <f>74790.6974139978*(1/100/100)</f>
        <v>7.4790697413997798</v>
      </c>
      <c r="C5010">
        <v>58023</v>
      </c>
      <c r="D5010" t="s">
        <v>6041</v>
      </c>
      <c r="E5010">
        <v>50509</v>
      </c>
      <c r="F5010" t="s">
        <v>1461</v>
      </c>
      <c r="G5010">
        <v>505</v>
      </c>
      <c r="H5010" t="s">
        <v>98</v>
      </c>
      <c r="I5010">
        <v>5</v>
      </c>
      <c r="J5010" t="s">
        <v>93</v>
      </c>
    </row>
    <row r="5011" spans="1:10" x14ac:dyDescent="0.25">
      <c r="A5011" t="s">
        <v>146</v>
      </c>
      <c r="B5011">
        <f>198139.18118215*(1/100/100)</f>
        <v>19.813918118215</v>
      </c>
      <c r="C5011">
        <v>58024</v>
      </c>
      <c r="D5011" t="s">
        <v>6042</v>
      </c>
      <c r="E5011">
        <v>50509</v>
      </c>
      <c r="F5011" t="s">
        <v>1461</v>
      </c>
      <c r="G5011">
        <v>505</v>
      </c>
      <c r="H5011" t="s">
        <v>98</v>
      </c>
      <c r="I5011">
        <v>5</v>
      </c>
      <c r="J5011" t="s">
        <v>93</v>
      </c>
    </row>
    <row r="5012" spans="1:10" x14ac:dyDescent="0.25">
      <c r="A5012" t="s">
        <v>146</v>
      </c>
      <c r="B5012">
        <f>57081.5298357485*(1/100/100)</f>
        <v>5.7081529835748501</v>
      </c>
      <c r="C5012">
        <v>58025</v>
      </c>
      <c r="D5012" t="s">
        <v>6047</v>
      </c>
      <c r="E5012">
        <v>50510</v>
      </c>
      <c r="F5012" t="s">
        <v>98</v>
      </c>
      <c r="G5012">
        <v>505</v>
      </c>
      <c r="H5012" t="s">
        <v>98</v>
      </c>
      <c r="I5012">
        <v>5</v>
      </c>
      <c r="J5012" t="s">
        <v>93</v>
      </c>
    </row>
    <row r="5013" spans="1:10" x14ac:dyDescent="0.25">
      <c r="A5013" t="s">
        <v>146</v>
      </c>
      <c r="B5013">
        <f>14565.5203143708*(1/100/100)</f>
        <v>1.4565520314370801</v>
      </c>
      <c r="C5013">
        <v>58026</v>
      </c>
      <c r="D5013" t="s">
        <v>6036</v>
      </c>
      <c r="E5013">
        <v>50505</v>
      </c>
      <c r="F5013" t="s">
        <v>1457</v>
      </c>
      <c r="G5013">
        <v>505</v>
      </c>
      <c r="H5013" t="s">
        <v>98</v>
      </c>
      <c r="I5013">
        <v>5</v>
      </c>
      <c r="J5013" t="s">
        <v>93</v>
      </c>
    </row>
    <row r="5014" spans="1:10" x14ac:dyDescent="0.25">
      <c r="A5014" t="s">
        <v>146</v>
      </c>
      <c r="B5014">
        <f>17578.0863812918*(1/100/100)</f>
        <v>1.75780863812918</v>
      </c>
      <c r="C5014">
        <v>58027</v>
      </c>
      <c r="D5014" t="s">
        <v>6048</v>
      </c>
      <c r="E5014">
        <v>50510</v>
      </c>
      <c r="F5014" t="s">
        <v>98</v>
      </c>
      <c r="G5014">
        <v>505</v>
      </c>
      <c r="H5014" t="s">
        <v>98</v>
      </c>
      <c r="I5014">
        <v>5</v>
      </c>
      <c r="J5014" t="s">
        <v>93</v>
      </c>
    </row>
    <row r="5015" spans="1:10" x14ac:dyDescent="0.25">
      <c r="A5015" t="s">
        <v>146</v>
      </c>
      <c r="B5015">
        <f>33900.2811288972*(1/100/100)</f>
        <v>3.3900281128897203</v>
      </c>
      <c r="C5015">
        <v>58028</v>
      </c>
      <c r="D5015" t="s">
        <v>2904</v>
      </c>
      <c r="E5015">
        <v>50504</v>
      </c>
      <c r="F5015" t="s">
        <v>1456</v>
      </c>
      <c r="G5015">
        <v>505</v>
      </c>
      <c r="H5015" t="s">
        <v>98</v>
      </c>
      <c r="I5015">
        <v>5</v>
      </c>
      <c r="J5015" t="s">
        <v>93</v>
      </c>
    </row>
    <row r="5016" spans="1:10" x14ac:dyDescent="0.25">
      <c r="A5016" t="s">
        <v>146</v>
      </c>
      <c r="B5016">
        <f>258065.153202667*(1/100/100)</f>
        <v>25.806515320266701</v>
      </c>
      <c r="C5016">
        <v>58029</v>
      </c>
      <c r="D5016" t="s">
        <v>98</v>
      </c>
      <c r="E5016">
        <v>50510</v>
      </c>
      <c r="F5016" t="s">
        <v>98</v>
      </c>
      <c r="G5016">
        <v>505</v>
      </c>
      <c r="H5016" t="s">
        <v>98</v>
      </c>
      <c r="I5016">
        <v>5</v>
      </c>
      <c r="J5016" t="s">
        <v>93</v>
      </c>
    </row>
    <row r="5017" spans="1:10" x14ac:dyDescent="0.25">
      <c r="A5017" t="s">
        <v>146</v>
      </c>
      <c r="B5017">
        <f>41180.4232970634*(1/100/100)</f>
        <v>4.1180423297063395</v>
      </c>
      <c r="C5017">
        <v>58030</v>
      </c>
      <c r="D5017" t="s">
        <v>1462</v>
      </c>
      <c r="E5017">
        <v>50511</v>
      </c>
      <c r="F5017" t="s">
        <v>1462</v>
      </c>
      <c r="G5017">
        <v>505</v>
      </c>
      <c r="H5017" t="s">
        <v>98</v>
      </c>
      <c r="I5017">
        <v>5</v>
      </c>
      <c r="J5017" t="s">
        <v>93</v>
      </c>
    </row>
    <row r="5018" spans="1:10" x14ac:dyDescent="0.25">
      <c r="A5018" t="s">
        <v>146</v>
      </c>
      <c r="B5018">
        <f>85211.4452107203*(1/100/100)</f>
        <v>8.5211445210720296</v>
      </c>
      <c r="C5018">
        <v>58031</v>
      </c>
      <c r="D5018" t="s">
        <v>1463</v>
      </c>
      <c r="E5018">
        <v>50512</v>
      </c>
      <c r="F5018" t="s">
        <v>1463</v>
      </c>
      <c r="G5018">
        <v>505</v>
      </c>
      <c r="H5018" t="s">
        <v>98</v>
      </c>
      <c r="I5018">
        <v>5</v>
      </c>
      <c r="J5018" t="s">
        <v>93</v>
      </c>
    </row>
    <row r="5019" spans="1:10" x14ac:dyDescent="0.25">
      <c r="A5019" t="s">
        <v>146</v>
      </c>
      <c r="B5019">
        <f>90590.2574853565*(1/100/100)</f>
        <v>9.0590257485356513</v>
      </c>
      <c r="C5019">
        <v>58032</v>
      </c>
      <c r="D5019" t="s">
        <v>1464</v>
      </c>
      <c r="E5019">
        <v>50513</v>
      </c>
      <c r="F5019" t="s">
        <v>1464</v>
      </c>
      <c r="G5019">
        <v>505</v>
      </c>
      <c r="H5019" t="s">
        <v>98</v>
      </c>
      <c r="I5019">
        <v>5</v>
      </c>
      <c r="J5019" t="s">
        <v>93</v>
      </c>
    </row>
    <row r="5020" spans="1:10" x14ac:dyDescent="0.25">
      <c r="A5020" t="s">
        <v>146</v>
      </c>
      <c r="B5020">
        <f>42852.4847833825*(1/100/100)</f>
        <v>4.2852484783382501</v>
      </c>
      <c r="C5020">
        <v>58033</v>
      </c>
      <c r="D5020" t="s">
        <v>6043</v>
      </c>
      <c r="E5020">
        <v>50509</v>
      </c>
      <c r="F5020" t="s">
        <v>1461</v>
      </c>
      <c r="G5020">
        <v>505</v>
      </c>
      <c r="H5020" t="s">
        <v>98</v>
      </c>
      <c r="I5020">
        <v>5</v>
      </c>
      <c r="J5020" t="s">
        <v>93</v>
      </c>
    </row>
    <row r="5021" spans="1:10" x14ac:dyDescent="0.25">
      <c r="A5021" t="s">
        <v>146</v>
      </c>
      <c r="B5021">
        <f>53091.986397669*(1/100/100)</f>
        <v>5.3091986397669002</v>
      </c>
      <c r="C5021">
        <v>58034</v>
      </c>
      <c r="D5021" t="s">
        <v>6051</v>
      </c>
      <c r="E5021">
        <v>50513</v>
      </c>
      <c r="F5021" t="s">
        <v>1464</v>
      </c>
      <c r="G5021">
        <v>505</v>
      </c>
      <c r="H5021" t="s">
        <v>98</v>
      </c>
      <c r="I5021">
        <v>5</v>
      </c>
      <c r="J5021" t="s">
        <v>93</v>
      </c>
    </row>
    <row r="5022" spans="1:10" x14ac:dyDescent="0.25">
      <c r="A5022" t="s">
        <v>146</v>
      </c>
      <c r="B5022">
        <f>33994.2340114635*(1/100/100)</f>
        <v>3.3994234011463504</v>
      </c>
      <c r="C5022">
        <v>58035</v>
      </c>
      <c r="D5022" t="s">
        <v>6037</v>
      </c>
      <c r="E5022">
        <v>50505</v>
      </c>
      <c r="F5022" t="s">
        <v>1457</v>
      </c>
      <c r="G5022">
        <v>505</v>
      </c>
      <c r="H5022" t="s">
        <v>98</v>
      </c>
      <c r="I5022">
        <v>5</v>
      </c>
      <c r="J5022" t="s">
        <v>93</v>
      </c>
    </row>
    <row r="5023" spans="1:10" x14ac:dyDescent="0.25">
      <c r="A5023" t="s">
        <v>146</v>
      </c>
      <c r="B5023">
        <f>12137.5872047743*(1/100/100)</f>
        <v>1.2137587204774301</v>
      </c>
      <c r="C5023">
        <v>58036</v>
      </c>
      <c r="D5023" t="s">
        <v>4515</v>
      </c>
      <c r="E5023">
        <v>50515</v>
      </c>
      <c r="F5023" t="s">
        <v>1466</v>
      </c>
      <c r="G5023">
        <v>505</v>
      </c>
      <c r="H5023" t="s">
        <v>98</v>
      </c>
      <c r="I5023">
        <v>5</v>
      </c>
      <c r="J5023" t="s">
        <v>93</v>
      </c>
    </row>
    <row r="5024" spans="1:10" x14ac:dyDescent="0.25">
      <c r="A5024" t="s">
        <v>146</v>
      </c>
      <c r="B5024">
        <f>57244.6454260498*(1/100/100)</f>
        <v>5.7244645426049798</v>
      </c>
      <c r="C5024">
        <v>58037</v>
      </c>
      <c r="D5024" t="s">
        <v>1465</v>
      </c>
      <c r="E5024">
        <v>50514</v>
      </c>
      <c r="F5024" t="s">
        <v>1465</v>
      </c>
      <c r="G5024">
        <v>505</v>
      </c>
      <c r="H5024" t="s">
        <v>98</v>
      </c>
      <c r="I5024">
        <v>5</v>
      </c>
      <c r="J5024" t="s">
        <v>93</v>
      </c>
    </row>
    <row r="5025" spans="1:10" x14ac:dyDescent="0.25">
      <c r="A5025" t="s">
        <v>146</v>
      </c>
      <c r="B5025">
        <f>31477.7717215403*(1/100/100)</f>
        <v>3.1477771721540302</v>
      </c>
      <c r="C5025">
        <v>58038</v>
      </c>
      <c r="D5025" t="s">
        <v>6049</v>
      </c>
      <c r="E5025">
        <v>50510</v>
      </c>
      <c r="F5025" t="s">
        <v>98</v>
      </c>
      <c r="G5025">
        <v>505</v>
      </c>
      <c r="H5025" t="s">
        <v>98</v>
      </c>
      <c r="I5025">
        <v>5</v>
      </c>
      <c r="J5025" t="s">
        <v>93</v>
      </c>
    </row>
    <row r="5026" spans="1:10" x14ac:dyDescent="0.25">
      <c r="A5026" t="s">
        <v>146</v>
      </c>
      <c r="B5026">
        <f>56184.4348342299*(1/100/100)</f>
        <v>5.6184434834229897</v>
      </c>
      <c r="C5026">
        <v>58039</v>
      </c>
      <c r="D5026" t="s">
        <v>6032</v>
      </c>
      <c r="E5026">
        <v>50503</v>
      </c>
      <c r="F5026" t="s">
        <v>1455</v>
      </c>
      <c r="G5026">
        <v>505</v>
      </c>
      <c r="H5026" t="s">
        <v>98</v>
      </c>
      <c r="I5026">
        <v>5</v>
      </c>
      <c r="J5026" t="s">
        <v>93</v>
      </c>
    </row>
    <row r="5027" spans="1:10" x14ac:dyDescent="0.25">
      <c r="A5027" t="s">
        <v>146</v>
      </c>
      <c r="B5027">
        <f>50338.4855739888*(1/100/100)</f>
        <v>5.0338485573988807</v>
      </c>
      <c r="C5027">
        <v>58040</v>
      </c>
      <c r="D5027" t="s">
        <v>1466</v>
      </c>
      <c r="E5027">
        <v>50515</v>
      </c>
      <c r="F5027" t="s">
        <v>1466</v>
      </c>
      <c r="G5027">
        <v>505</v>
      </c>
      <c r="H5027" t="s">
        <v>98</v>
      </c>
      <c r="I5027">
        <v>5</v>
      </c>
      <c r="J5027" t="s">
        <v>93</v>
      </c>
    </row>
    <row r="5028" spans="1:10" x14ac:dyDescent="0.25">
      <c r="A5028" t="s">
        <v>146</v>
      </c>
      <c r="B5028">
        <f>18235.6716274069*(1/100/100)</f>
        <v>1.8235671627406902</v>
      </c>
      <c r="C5028">
        <v>58041</v>
      </c>
      <c r="D5028" t="s">
        <v>6031</v>
      </c>
      <c r="E5028">
        <v>50502</v>
      </c>
      <c r="F5028" t="s">
        <v>1454</v>
      </c>
      <c r="G5028">
        <v>505</v>
      </c>
      <c r="H5028" t="s">
        <v>98</v>
      </c>
      <c r="I5028">
        <v>5</v>
      </c>
      <c r="J5028" t="s">
        <v>93</v>
      </c>
    </row>
    <row r="5029" spans="1:10" x14ac:dyDescent="0.25">
      <c r="A5029" t="s">
        <v>150</v>
      </c>
      <c r="B5029">
        <f>111564.116643843*(1/100/100)</f>
        <v>11.156411664384301</v>
      </c>
      <c r="C5029">
        <v>60001</v>
      </c>
      <c r="D5029" t="s">
        <v>6860</v>
      </c>
      <c r="E5029">
        <v>62138</v>
      </c>
      <c r="F5029" t="s">
        <v>1697</v>
      </c>
      <c r="G5029">
        <v>621</v>
      </c>
      <c r="H5029" t="s">
        <v>111</v>
      </c>
      <c r="I5029">
        <v>6</v>
      </c>
      <c r="J5029" t="s">
        <v>101</v>
      </c>
    </row>
    <row r="5030" spans="1:10" x14ac:dyDescent="0.25">
      <c r="A5030" t="s">
        <v>150</v>
      </c>
      <c r="B5030">
        <f>12624.1145103031*(1/100/100)</f>
        <v>1.2624114510303099</v>
      </c>
      <c r="C5030">
        <v>60002</v>
      </c>
      <c r="D5030" t="s">
        <v>4030</v>
      </c>
      <c r="E5030">
        <v>62140</v>
      </c>
      <c r="F5030" t="s">
        <v>1699</v>
      </c>
      <c r="G5030">
        <v>621</v>
      </c>
      <c r="H5030" t="s">
        <v>111</v>
      </c>
      <c r="I5030">
        <v>6</v>
      </c>
      <c r="J5030" t="s">
        <v>101</v>
      </c>
    </row>
    <row r="5031" spans="1:10" x14ac:dyDescent="0.25">
      <c r="A5031" t="s">
        <v>150</v>
      </c>
      <c r="B5031">
        <f>271187.606018381*(1/100/100)</f>
        <v>27.118760601838105</v>
      </c>
      <c r="C5031">
        <v>60003</v>
      </c>
      <c r="D5031" t="s">
        <v>490</v>
      </c>
      <c r="E5031">
        <v>62139</v>
      </c>
      <c r="F5031" t="s">
        <v>1698</v>
      </c>
      <c r="G5031">
        <v>621</v>
      </c>
      <c r="H5031" t="s">
        <v>111</v>
      </c>
      <c r="I5031">
        <v>6</v>
      </c>
      <c r="J5031" t="s">
        <v>101</v>
      </c>
    </row>
    <row r="5032" spans="1:10" x14ac:dyDescent="0.25">
      <c r="A5032" t="s">
        <v>150</v>
      </c>
      <c r="B5032">
        <f>492228.437171221*(1/100/100)</f>
        <v>49.222843717122103</v>
      </c>
      <c r="C5032">
        <v>60004</v>
      </c>
      <c r="D5032" t="s">
        <v>1698</v>
      </c>
      <c r="E5032">
        <v>62139</v>
      </c>
      <c r="F5032" t="s">
        <v>1698</v>
      </c>
      <c r="G5032">
        <v>621</v>
      </c>
      <c r="H5032" t="s">
        <v>111</v>
      </c>
      <c r="I5032">
        <v>6</v>
      </c>
      <c r="J5032" t="s">
        <v>101</v>
      </c>
    </row>
    <row r="5033" spans="1:10" x14ac:dyDescent="0.25">
      <c r="A5033" t="s">
        <v>150</v>
      </c>
      <c r="B5033">
        <f>297594.777697471*(1/100/100)</f>
        <v>29.759477769747104</v>
      </c>
      <c r="C5033">
        <v>60005</v>
      </c>
      <c r="D5033" t="s">
        <v>6875</v>
      </c>
      <c r="E5033">
        <v>62140</v>
      </c>
      <c r="F5033" t="s">
        <v>1699</v>
      </c>
      <c r="G5033">
        <v>621</v>
      </c>
      <c r="H5033" t="s">
        <v>111</v>
      </c>
      <c r="I5033">
        <v>6</v>
      </c>
      <c r="J5033" t="s">
        <v>101</v>
      </c>
    </row>
    <row r="5034" spans="1:10" x14ac:dyDescent="0.25">
      <c r="A5034" t="s">
        <v>150</v>
      </c>
      <c r="B5034">
        <f>76901.4517077278*(1/100/100)</f>
        <v>7.6901451707727801</v>
      </c>
      <c r="C5034">
        <v>60006</v>
      </c>
      <c r="D5034" t="s">
        <v>6876</v>
      </c>
      <c r="E5034">
        <v>62140</v>
      </c>
      <c r="F5034" t="s">
        <v>1699</v>
      </c>
      <c r="G5034">
        <v>621</v>
      </c>
      <c r="H5034" t="s">
        <v>111</v>
      </c>
      <c r="I5034">
        <v>6</v>
      </c>
      <c r="J5034" t="s">
        <v>101</v>
      </c>
    </row>
    <row r="5035" spans="1:10" x14ac:dyDescent="0.25">
      <c r="A5035" t="s">
        <v>150</v>
      </c>
      <c r="B5035">
        <f>29244.083269907*(1/100/100)</f>
        <v>2.9244083269907004</v>
      </c>
      <c r="C5035">
        <v>60007</v>
      </c>
      <c r="D5035" t="s">
        <v>2557</v>
      </c>
      <c r="E5035">
        <v>62138</v>
      </c>
      <c r="F5035" t="s">
        <v>1697</v>
      </c>
      <c r="G5035">
        <v>621</v>
      </c>
      <c r="H5035" t="s">
        <v>111</v>
      </c>
      <c r="I5035">
        <v>6</v>
      </c>
      <c r="J5035" t="s">
        <v>101</v>
      </c>
    </row>
    <row r="5036" spans="1:10" x14ac:dyDescent="0.25">
      <c r="A5036" t="s">
        <v>150</v>
      </c>
      <c r="B5036">
        <f>33400.5452831337*(1/100/100)</f>
        <v>3.3400545283133702</v>
      </c>
      <c r="C5036">
        <v>60008</v>
      </c>
      <c r="D5036" t="s">
        <v>6861</v>
      </c>
      <c r="E5036">
        <v>62138</v>
      </c>
      <c r="F5036" t="s">
        <v>1697</v>
      </c>
      <c r="G5036">
        <v>621</v>
      </c>
      <c r="H5036" t="s">
        <v>111</v>
      </c>
      <c r="I5036">
        <v>6</v>
      </c>
      <c r="J5036" t="s">
        <v>101</v>
      </c>
    </row>
    <row r="5037" spans="1:10" x14ac:dyDescent="0.25">
      <c r="A5037" t="s">
        <v>150</v>
      </c>
      <c r="B5037">
        <f>28430.8341727935*(1/100/100)</f>
        <v>2.8430834172793502</v>
      </c>
      <c r="C5037">
        <v>60009</v>
      </c>
      <c r="D5037" t="s">
        <v>4387</v>
      </c>
      <c r="E5037">
        <v>62140</v>
      </c>
      <c r="F5037" t="s">
        <v>1699</v>
      </c>
      <c r="G5037">
        <v>621</v>
      </c>
      <c r="H5037" t="s">
        <v>111</v>
      </c>
      <c r="I5037">
        <v>6</v>
      </c>
      <c r="J5037" t="s">
        <v>101</v>
      </c>
    </row>
    <row r="5038" spans="1:10" x14ac:dyDescent="0.25">
      <c r="A5038" t="s">
        <v>150</v>
      </c>
      <c r="B5038">
        <f>111607.53598225*(1/100/100)</f>
        <v>11.160753598225002</v>
      </c>
      <c r="C5038">
        <v>60010</v>
      </c>
      <c r="D5038" t="s">
        <v>6827</v>
      </c>
      <c r="E5038">
        <v>62105</v>
      </c>
      <c r="F5038" t="s">
        <v>1689</v>
      </c>
      <c r="G5038">
        <v>621</v>
      </c>
      <c r="H5038" t="s">
        <v>111</v>
      </c>
      <c r="I5038">
        <v>6</v>
      </c>
      <c r="J5038" t="s">
        <v>101</v>
      </c>
    </row>
    <row r="5039" spans="1:10" x14ac:dyDescent="0.25">
      <c r="A5039" t="s">
        <v>150</v>
      </c>
      <c r="B5039">
        <f>46737.7388863221*(1/100/100)</f>
        <v>4.6737738886322102</v>
      </c>
      <c r="C5039">
        <v>60011</v>
      </c>
      <c r="D5039" t="s">
        <v>6909</v>
      </c>
      <c r="E5039">
        <v>62147</v>
      </c>
      <c r="F5039" t="s">
        <v>1706</v>
      </c>
      <c r="G5039">
        <v>621</v>
      </c>
      <c r="H5039" t="s">
        <v>111</v>
      </c>
      <c r="I5039">
        <v>6</v>
      </c>
      <c r="J5039" t="s">
        <v>101</v>
      </c>
    </row>
    <row r="5040" spans="1:10" x14ac:dyDescent="0.25">
      <c r="A5040" t="s">
        <v>150</v>
      </c>
      <c r="B5040">
        <f>21452.0850286007*(1/100/100)</f>
        <v>2.1452085028600703</v>
      </c>
      <c r="C5040">
        <v>60012</v>
      </c>
      <c r="D5040" t="s">
        <v>6865</v>
      </c>
      <c r="E5040">
        <v>62139</v>
      </c>
      <c r="F5040" t="s">
        <v>1698</v>
      </c>
      <c r="G5040">
        <v>621</v>
      </c>
      <c r="H5040" t="s">
        <v>111</v>
      </c>
      <c r="I5040">
        <v>6</v>
      </c>
      <c r="J5040" t="s">
        <v>101</v>
      </c>
    </row>
    <row r="5041" spans="1:10" x14ac:dyDescent="0.25">
      <c r="A5041" t="s">
        <v>150</v>
      </c>
      <c r="B5041">
        <f>67920.9335267793*(1/100/100)</f>
        <v>6.7920933526779308</v>
      </c>
      <c r="C5041">
        <v>60013</v>
      </c>
      <c r="D5041" t="s">
        <v>6910</v>
      </c>
      <c r="E5041">
        <v>62147</v>
      </c>
      <c r="F5041" t="s">
        <v>1706</v>
      </c>
      <c r="G5041">
        <v>621</v>
      </c>
      <c r="H5041" t="s">
        <v>111</v>
      </c>
      <c r="I5041">
        <v>6</v>
      </c>
      <c r="J5041" t="s">
        <v>101</v>
      </c>
    </row>
    <row r="5042" spans="1:10" x14ac:dyDescent="0.25">
      <c r="A5042" t="s">
        <v>150</v>
      </c>
      <c r="B5042">
        <f>28248.8771392892*(1/100/100)</f>
        <v>2.8248877139289204</v>
      </c>
      <c r="C5042">
        <v>60014</v>
      </c>
      <c r="D5042" t="s">
        <v>6906</v>
      </c>
      <c r="E5042">
        <v>62146</v>
      </c>
      <c r="F5042" t="s">
        <v>1705</v>
      </c>
      <c r="G5042">
        <v>621</v>
      </c>
      <c r="H5042" t="s">
        <v>111</v>
      </c>
      <c r="I5042">
        <v>6</v>
      </c>
      <c r="J5042" t="s">
        <v>101</v>
      </c>
    </row>
    <row r="5043" spans="1:10" x14ac:dyDescent="0.25">
      <c r="A5043" t="s">
        <v>150</v>
      </c>
      <c r="B5043">
        <f>14511.0899456799*(1/100/100)</f>
        <v>1.45110899456799</v>
      </c>
      <c r="C5043">
        <v>60015</v>
      </c>
      <c r="D5043" t="s">
        <v>6843</v>
      </c>
      <c r="E5043">
        <v>62125</v>
      </c>
      <c r="F5043" t="s">
        <v>1692</v>
      </c>
      <c r="G5043">
        <v>621</v>
      </c>
      <c r="H5043" t="s">
        <v>111</v>
      </c>
      <c r="I5043">
        <v>6</v>
      </c>
      <c r="J5043" t="s">
        <v>101</v>
      </c>
    </row>
    <row r="5044" spans="1:10" x14ac:dyDescent="0.25">
      <c r="A5044" t="s">
        <v>150</v>
      </c>
      <c r="B5044">
        <f>46255.5533369919*(1/100/100)</f>
        <v>4.6255553336991904</v>
      </c>
      <c r="C5044">
        <v>60016</v>
      </c>
      <c r="D5044" t="s">
        <v>1453</v>
      </c>
      <c r="E5044">
        <v>62135</v>
      </c>
      <c r="F5044" t="s">
        <v>1696</v>
      </c>
      <c r="G5044">
        <v>621</v>
      </c>
      <c r="H5044" t="s">
        <v>111</v>
      </c>
      <c r="I5044">
        <v>6</v>
      </c>
      <c r="J5044" t="s">
        <v>101</v>
      </c>
    </row>
    <row r="5045" spans="1:10" x14ac:dyDescent="0.25">
      <c r="A5045" t="s">
        <v>150</v>
      </c>
      <c r="B5045">
        <f>66233.2848593495*(1/100/100)</f>
        <v>6.6233284859349499</v>
      </c>
      <c r="C5045">
        <v>60017</v>
      </c>
      <c r="D5045" t="s">
        <v>5420</v>
      </c>
      <c r="E5045">
        <v>62140</v>
      </c>
      <c r="F5045" t="s">
        <v>1699</v>
      </c>
      <c r="G5045">
        <v>621</v>
      </c>
      <c r="H5045" t="s">
        <v>111</v>
      </c>
      <c r="I5045">
        <v>6</v>
      </c>
      <c r="J5045" t="s">
        <v>101</v>
      </c>
    </row>
    <row r="5046" spans="1:10" x14ac:dyDescent="0.25">
      <c r="A5046" t="s">
        <v>150</v>
      </c>
      <c r="B5046">
        <f>15134.210709972*(1/100/100)</f>
        <v>1.5134210709972</v>
      </c>
      <c r="C5046">
        <v>60018</v>
      </c>
      <c r="D5046" t="s">
        <v>6907</v>
      </c>
      <c r="E5046">
        <v>62146</v>
      </c>
      <c r="F5046" t="s">
        <v>1705</v>
      </c>
      <c r="G5046">
        <v>621</v>
      </c>
      <c r="H5046" t="s">
        <v>111</v>
      </c>
      <c r="I5046">
        <v>6</v>
      </c>
      <c r="J5046" t="s">
        <v>101</v>
      </c>
    </row>
    <row r="5047" spans="1:10" x14ac:dyDescent="0.25">
      <c r="A5047" t="s">
        <v>150</v>
      </c>
      <c r="B5047">
        <f>59892.3894406476*(1/100/100)</f>
        <v>5.9892389440647609</v>
      </c>
      <c r="C5047">
        <v>60019</v>
      </c>
      <c r="D5047" t="s">
        <v>6862</v>
      </c>
      <c r="E5047">
        <v>62138</v>
      </c>
      <c r="F5047" t="s">
        <v>1697</v>
      </c>
      <c r="G5047">
        <v>621</v>
      </c>
      <c r="H5047" t="s">
        <v>111</v>
      </c>
      <c r="I5047">
        <v>6</v>
      </c>
      <c r="J5047" t="s">
        <v>101</v>
      </c>
    </row>
    <row r="5048" spans="1:10" x14ac:dyDescent="0.25">
      <c r="A5048" t="s">
        <v>150</v>
      </c>
      <c r="B5048">
        <f>295338.681223384*(1/100/100)</f>
        <v>29.533868122338401</v>
      </c>
      <c r="C5048">
        <v>60020</v>
      </c>
      <c r="D5048" t="s">
        <v>5331</v>
      </c>
      <c r="E5048">
        <v>62140</v>
      </c>
      <c r="F5048" t="s">
        <v>1699</v>
      </c>
      <c r="G5048">
        <v>621</v>
      </c>
      <c r="H5048" t="s">
        <v>111</v>
      </c>
      <c r="I5048">
        <v>6</v>
      </c>
      <c r="J5048" t="s">
        <v>101</v>
      </c>
    </row>
    <row r="5049" spans="1:10" x14ac:dyDescent="0.25">
      <c r="A5049" t="s">
        <v>150</v>
      </c>
      <c r="B5049">
        <f>12061.2728972054*(1/100/100)</f>
        <v>1.20612728972054</v>
      </c>
      <c r="C5049">
        <v>60021</v>
      </c>
      <c r="D5049" t="s">
        <v>2481</v>
      </c>
      <c r="E5049">
        <v>62147</v>
      </c>
      <c r="F5049" t="s">
        <v>1706</v>
      </c>
      <c r="G5049">
        <v>621</v>
      </c>
      <c r="H5049" t="s">
        <v>111</v>
      </c>
      <c r="I5049">
        <v>6</v>
      </c>
      <c r="J5049" t="s">
        <v>101</v>
      </c>
    </row>
    <row r="5050" spans="1:10" x14ac:dyDescent="0.25">
      <c r="A5050" t="s">
        <v>150</v>
      </c>
      <c r="B5050">
        <f>14418.0072143112*(1/100/100)</f>
        <v>1.4418007214311199</v>
      </c>
      <c r="C5050">
        <v>60022</v>
      </c>
      <c r="D5050" t="s">
        <v>6915</v>
      </c>
      <c r="E5050">
        <v>62148</v>
      </c>
      <c r="F5050" t="s">
        <v>1707</v>
      </c>
      <c r="G5050">
        <v>621</v>
      </c>
      <c r="H5050" t="s">
        <v>111</v>
      </c>
      <c r="I5050">
        <v>6</v>
      </c>
      <c r="J5050" t="s">
        <v>101</v>
      </c>
    </row>
    <row r="5051" spans="1:10" x14ac:dyDescent="0.25">
      <c r="A5051" t="s">
        <v>150</v>
      </c>
      <c r="B5051">
        <f>42625.0411873515*(1/100/100)</f>
        <v>4.2625041187351496</v>
      </c>
      <c r="C5051">
        <v>60023</v>
      </c>
      <c r="D5051" t="s">
        <v>6863</v>
      </c>
      <c r="E5051">
        <v>62138</v>
      </c>
      <c r="F5051" t="s">
        <v>1697</v>
      </c>
      <c r="G5051">
        <v>621</v>
      </c>
      <c r="H5051" t="s">
        <v>111</v>
      </c>
      <c r="I5051">
        <v>6</v>
      </c>
      <c r="J5051" t="s">
        <v>101</v>
      </c>
    </row>
    <row r="5052" spans="1:10" x14ac:dyDescent="0.25">
      <c r="A5052" t="s">
        <v>150</v>
      </c>
      <c r="B5052">
        <f>9594.22398541117*(1/100/100)</f>
        <v>0.95942239854111711</v>
      </c>
      <c r="C5052">
        <v>60024</v>
      </c>
      <c r="D5052" t="s">
        <v>6866</v>
      </c>
      <c r="E5052">
        <v>62139</v>
      </c>
      <c r="F5052" t="s">
        <v>1698</v>
      </c>
      <c r="G5052">
        <v>621</v>
      </c>
      <c r="H5052" t="s">
        <v>111</v>
      </c>
      <c r="I5052">
        <v>6</v>
      </c>
      <c r="J5052" t="s">
        <v>101</v>
      </c>
    </row>
    <row r="5053" spans="1:10" x14ac:dyDescent="0.25">
      <c r="A5053" t="s">
        <v>150</v>
      </c>
      <c r="B5053">
        <f>223951.779619282*(1/100/100)</f>
        <v>22.395177961928201</v>
      </c>
      <c r="C5053">
        <v>60025</v>
      </c>
      <c r="D5053" t="s">
        <v>1699</v>
      </c>
      <c r="E5053">
        <v>62140</v>
      </c>
      <c r="F5053" t="s">
        <v>1699</v>
      </c>
      <c r="G5053">
        <v>621</v>
      </c>
      <c r="H5053" t="s">
        <v>111</v>
      </c>
      <c r="I5053">
        <v>6</v>
      </c>
      <c r="J5053" t="s">
        <v>101</v>
      </c>
    </row>
    <row r="5054" spans="1:10" x14ac:dyDescent="0.25">
      <c r="A5054" t="s">
        <v>150</v>
      </c>
      <c r="B5054">
        <f>49631.2432322454*(1/100/100)</f>
        <v>4.9631243232245401</v>
      </c>
      <c r="C5054">
        <v>60026</v>
      </c>
      <c r="D5054" t="s">
        <v>83</v>
      </c>
      <c r="E5054">
        <v>62125</v>
      </c>
      <c r="F5054" t="s">
        <v>1692</v>
      </c>
      <c r="G5054">
        <v>621</v>
      </c>
      <c r="H5054" t="s">
        <v>111</v>
      </c>
      <c r="I5054">
        <v>6</v>
      </c>
      <c r="J5054" t="s">
        <v>101</v>
      </c>
    </row>
    <row r="5055" spans="1:10" x14ac:dyDescent="0.25">
      <c r="A5055" t="s">
        <v>150</v>
      </c>
      <c r="B5055">
        <f>168612.346094133*(1/100/100)</f>
        <v>16.861234609413302</v>
      </c>
      <c r="C5055">
        <v>60027</v>
      </c>
      <c r="D5055" t="s">
        <v>2999</v>
      </c>
      <c r="E5055">
        <v>62140</v>
      </c>
      <c r="F5055" t="s">
        <v>1699</v>
      </c>
      <c r="G5055">
        <v>621</v>
      </c>
      <c r="H5055" t="s">
        <v>111</v>
      </c>
      <c r="I5055">
        <v>6</v>
      </c>
      <c r="J5055" t="s">
        <v>101</v>
      </c>
    </row>
    <row r="5056" spans="1:10" x14ac:dyDescent="0.25">
      <c r="A5056" t="s">
        <v>150</v>
      </c>
      <c r="B5056">
        <f>18901.959123361*(1/100/100)</f>
        <v>1.8901959123361001</v>
      </c>
      <c r="C5056">
        <v>60028</v>
      </c>
      <c r="D5056" t="s">
        <v>6828</v>
      </c>
      <c r="E5056">
        <v>62105</v>
      </c>
      <c r="F5056" t="s">
        <v>1689</v>
      </c>
      <c r="G5056">
        <v>621</v>
      </c>
      <c r="H5056" t="s">
        <v>111</v>
      </c>
      <c r="I5056">
        <v>6</v>
      </c>
      <c r="J5056" t="s">
        <v>101</v>
      </c>
    </row>
    <row r="5057" spans="1:10" x14ac:dyDescent="0.25">
      <c r="A5057" t="s">
        <v>150</v>
      </c>
      <c r="B5057">
        <f>15085.4170317829*(1/100/100)</f>
        <v>1.5085417031782899</v>
      </c>
      <c r="C5057">
        <v>60029</v>
      </c>
      <c r="D5057" t="s">
        <v>6911</v>
      </c>
      <c r="E5057">
        <v>62147</v>
      </c>
      <c r="F5057" t="s">
        <v>1706</v>
      </c>
      <c r="G5057">
        <v>621</v>
      </c>
      <c r="H5057" t="s">
        <v>111</v>
      </c>
      <c r="I5057">
        <v>6</v>
      </c>
      <c r="J5057" t="s">
        <v>101</v>
      </c>
    </row>
    <row r="5058" spans="1:10" x14ac:dyDescent="0.25">
      <c r="A5058" t="s">
        <v>150</v>
      </c>
      <c r="B5058">
        <f>32856.9911324398*(1/100/100)</f>
        <v>3.2856991132439801</v>
      </c>
      <c r="C5058">
        <v>60030</v>
      </c>
      <c r="D5058" t="s">
        <v>6844</v>
      </c>
      <c r="E5058">
        <v>62125</v>
      </c>
      <c r="F5058" t="s">
        <v>1692</v>
      </c>
      <c r="G5058">
        <v>621</v>
      </c>
      <c r="H5058" t="s">
        <v>111</v>
      </c>
      <c r="I5058">
        <v>6</v>
      </c>
      <c r="J5058" t="s">
        <v>101</v>
      </c>
    </row>
    <row r="5059" spans="1:10" x14ac:dyDescent="0.25">
      <c r="A5059" t="s">
        <v>150</v>
      </c>
      <c r="B5059">
        <f>97738.4422399617*(1/100/100)</f>
        <v>9.7738442239961714</v>
      </c>
      <c r="C5059">
        <v>60031</v>
      </c>
      <c r="D5059" t="s">
        <v>6867</v>
      </c>
      <c r="E5059">
        <v>62139</v>
      </c>
      <c r="F5059" t="s">
        <v>1698</v>
      </c>
      <c r="G5059">
        <v>621</v>
      </c>
      <c r="H5059" t="s">
        <v>111</v>
      </c>
      <c r="I5059">
        <v>6</v>
      </c>
      <c r="J5059" t="s">
        <v>101</v>
      </c>
    </row>
    <row r="5060" spans="1:10" x14ac:dyDescent="0.25">
      <c r="A5060" t="s">
        <v>150</v>
      </c>
      <c r="B5060">
        <f>81187.2193906925*(1/100/100)</f>
        <v>8.1187219390692498</v>
      </c>
      <c r="C5060">
        <v>60032</v>
      </c>
      <c r="D5060" t="s">
        <v>6868</v>
      </c>
      <c r="E5060">
        <v>62139</v>
      </c>
      <c r="F5060" t="s">
        <v>1698</v>
      </c>
      <c r="G5060">
        <v>621</v>
      </c>
      <c r="H5060" t="s">
        <v>111</v>
      </c>
      <c r="I5060">
        <v>6</v>
      </c>
      <c r="J5060" t="s">
        <v>101</v>
      </c>
    </row>
    <row r="5061" spans="1:10" x14ac:dyDescent="0.25">
      <c r="A5061" t="s">
        <v>150</v>
      </c>
      <c r="B5061">
        <f>35029.0975321223*(1/100/100)</f>
        <v>3.5029097532122302</v>
      </c>
      <c r="C5061">
        <v>60033</v>
      </c>
      <c r="D5061" t="s">
        <v>6916</v>
      </c>
      <c r="E5061">
        <v>62148</v>
      </c>
      <c r="F5061" t="s">
        <v>1707</v>
      </c>
      <c r="G5061">
        <v>621</v>
      </c>
      <c r="H5061" t="s">
        <v>111</v>
      </c>
      <c r="I5061">
        <v>6</v>
      </c>
      <c r="J5061" t="s">
        <v>101</v>
      </c>
    </row>
    <row r="5062" spans="1:10" x14ac:dyDescent="0.25">
      <c r="A5062" t="s">
        <v>150</v>
      </c>
      <c r="B5062">
        <f>6117.81864967495*(1/100/100)</f>
        <v>0.61178186496749509</v>
      </c>
      <c r="C5062">
        <v>60034</v>
      </c>
      <c r="D5062" t="s">
        <v>6917</v>
      </c>
      <c r="E5062">
        <v>62148</v>
      </c>
      <c r="F5062" t="s">
        <v>1707</v>
      </c>
      <c r="G5062">
        <v>621</v>
      </c>
      <c r="H5062" t="s">
        <v>111</v>
      </c>
      <c r="I5062">
        <v>6</v>
      </c>
      <c r="J5062" t="s">
        <v>101</v>
      </c>
    </row>
    <row r="5063" spans="1:10" x14ac:dyDescent="0.25">
      <c r="A5063" t="s">
        <v>150</v>
      </c>
      <c r="B5063">
        <f>45557.7699505935*(1/100/100)</f>
        <v>4.5557769950593503</v>
      </c>
      <c r="C5063">
        <v>60035</v>
      </c>
      <c r="D5063" t="s">
        <v>6918</v>
      </c>
      <c r="E5063">
        <v>62148</v>
      </c>
      <c r="F5063" t="s">
        <v>1707</v>
      </c>
      <c r="G5063">
        <v>621</v>
      </c>
      <c r="H5063" t="s">
        <v>111</v>
      </c>
      <c r="I5063">
        <v>6</v>
      </c>
      <c r="J5063" t="s">
        <v>101</v>
      </c>
    </row>
    <row r="5064" spans="1:10" x14ac:dyDescent="0.25">
      <c r="A5064" t="s">
        <v>150</v>
      </c>
      <c r="B5064">
        <f>2926.93879537823*(1/100/100)</f>
        <v>0.29269387953782305</v>
      </c>
      <c r="C5064">
        <v>60036</v>
      </c>
      <c r="D5064" t="s">
        <v>6912</v>
      </c>
      <c r="E5064">
        <v>62147</v>
      </c>
      <c r="F5064" t="s">
        <v>1706</v>
      </c>
      <c r="G5064">
        <v>621</v>
      </c>
      <c r="H5064" t="s">
        <v>111</v>
      </c>
      <c r="I5064">
        <v>6</v>
      </c>
      <c r="J5064" t="s">
        <v>101</v>
      </c>
    </row>
    <row r="5065" spans="1:10" x14ac:dyDescent="0.25">
      <c r="A5065" t="s">
        <v>150</v>
      </c>
      <c r="B5065">
        <f>90604.6882856198*(1/100/100)</f>
        <v>9.0604688285619819</v>
      </c>
      <c r="C5065">
        <v>60037</v>
      </c>
      <c r="D5065" t="s">
        <v>6877</v>
      </c>
      <c r="E5065">
        <v>62140</v>
      </c>
      <c r="F5065" t="s">
        <v>1699</v>
      </c>
      <c r="G5065">
        <v>621</v>
      </c>
      <c r="H5065" t="s">
        <v>111</v>
      </c>
      <c r="I5065">
        <v>6</v>
      </c>
      <c r="J5065" t="s">
        <v>101</v>
      </c>
    </row>
    <row r="5066" spans="1:10" x14ac:dyDescent="0.25">
      <c r="A5066" t="s">
        <v>150</v>
      </c>
      <c r="B5066">
        <f>50403.9213090135*(1/100/100)</f>
        <v>5.0403921309013509</v>
      </c>
      <c r="C5066">
        <v>60038</v>
      </c>
      <c r="D5066" t="s">
        <v>6913</v>
      </c>
      <c r="E5066">
        <v>62147</v>
      </c>
      <c r="F5066" t="s">
        <v>1706</v>
      </c>
      <c r="G5066">
        <v>621</v>
      </c>
      <c r="H5066" t="s">
        <v>111</v>
      </c>
      <c r="I5066">
        <v>6</v>
      </c>
      <c r="J5066" t="s">
        <v>101</v>
      </c>
    </row>
    <row r="5067" spans="1:10" x14ac:dyDescent="0.25">
      <c r="A5067" t="s">
        <v>150</v>
      </c>
      <c r="B5067">
        <f>66170.6197055721*(1/100/100)</f>
        <v>6.6170619705572102</v>
      </c>
      <c r="C5067">
        <v>60039</v>
      </c>
      <c r="D5067" t="s">
        <v>643</v>
      </c>
      <c r="E5067">
        <v>62125</v>
      </c>
      <c r="F5067" t="s">
        <v>1692</v>
      </c>
      <c r="G5067">
        <v>621</v>
      </c>
      <c r="H5067" t="s">
        <v>111</v>
      </c>
      <c r="I5067">
        <v>6</v>
      </c>
      <c r="J5067" t="s">
        <v>101</v>
      </c>
    </row>
    <row r="5068" spans="1:10" x14ac:dyDescent="0.25">
      <c r="A5068" t="s">
        <v>150</v>
      </c>
      <c r="B5068">
        <f>31603.7528688309*(1/100/100)</f>
        <v>3.1603752868830899</v>
      </c>
      <c r="C5068">
        <v>60040</v>
      </c>
      <c r="D5068" t="s">
        <v>6869</v>
      </c>
      <c r="E5068">
        <v>62139</v>
      </c>
      <c r="F5068" t="s">
        <v>1698</v>
      </c>
      <c r="G5068">
        <v>621</v>
      </c>
      <c r="H5068" t="s">
        <v>111</v>
      </c>
      <c r="I5068">
        <v>6</v>
      </c>
      <c r="J5068" t="s">
        <v>101</v>
      </c>
    </row>
    <row r="5069" spans="1:10" x14ac:dyDescent="0.25">
      <c r="A5069" t="s">
        <v>150</v>
      </c>
      <c r="B5069">
        <f>19501.8772279666*(1/100/100)</f>
        <v>1.9501877227966602</v>
      </c>
      <c r="C5069">
        <v>60041</v>
      </c>
      <c r="D5069" t="s">
        <v>6870</v>
      </c>
      <c r="E5069">
        <v>62139</v>
      </c>
      <c r="F5069" t="s">
        <v>1698</v>
      </c>
      <c r="G5069">
        <v>621</v>
      </c>
      <c r="H5069" t="s">
        <v>111</v>
      </c>
      <c r="I5069">
        <v>6</v>
      </c>
      <c r="J5069" t="s">
        <v>101</v>
      </c>
    </row>
    <row r="5070" spans="1:10" x14ac:dyDescent="0.25">
      <c r="A5070" t="s">
        <v>150</v>
      </c>
      <c r="B5070">
        <f>16796.8457991082*(1/100/100)</f>
        <v>1.67968457991082</v>
      </c>
      <c r="C5070">
        <v>60042</v>
      </c>
      <c r="D5070" t="s">
        <v>6871</v>
      </c>
      <c r="E5070">
        <v>62139</v>
      </c>
      <c r="F5070" t="s">
        <v>1698</v>
      </c>
      <c r="G5070">
        <v>621</v>
      </c>
      <c r="H5070" t="s">
        <v>111</v>
      </c>
      <c r="I5070">
        <v>6</v>
      </c>
      <c r="J5070" t="s">
        <v>101</v>
      </c>
    </row>
    <row r="5071" spans="1:10" x14ac:dyDescent="0.25">
      <c r="A5071" t="s">
        <v>150</v>
      </c>
      <c r="B5071">
        <f>156842.13921241*(1/100/100)</f>
        <v>15.684213921241</v>
      </c>
      <c r="C5071">
        <v>60043</v>
      </c>
      <c r="D5071" t="s">
        <v>6878</v>
      </c>
      <c r="E5071">
        <v>62140</v>
      </c>
      <c r="F5071" t="s">
        <v>1699</v>
      </c>
      <c r="G5071">
        <v>621</v>
      </c>
      <c r="H5071" t="s">
        <v>111</v>
      </c>
      <c r="I5071">
        <v>6</v>
      </c>
      <c r="J5071" t="s">
        <v>101</v>
      </c>
    </row>
    <row r="5072" spans="1:10" x14ac:dyDescent="0.25">
      <c r="A5072" t="s">
        <v>150</v>
      </c>
      <c r="B5072">
        <f>7447.21415046592*(1/100/100)</f>
        <v>0.74472141504659206</v>
      </c>
      <c r="C5072">
        <v>60044</v>
      </c>
      <c r="D5072" t="s">
        <v>6879</v>
      </c>
      <c r="E5072">
        <v>62140</v>
      </c>
      <c r="F5072" t="s">
        <v>1699</v>
      </c>
      <c r="G5072">
        <v>621</v>
      </c>
      <c r="H5072" t="s">
        <v>111</v>
      </c>
      <c r="I5072">
        <v>6</v>
      </c>
      <c r="J5072" t="s">
        <v>101</v>
      </c>
    </row>
    <row r="5073" spans="1:10" x14ac:dyDescent="0.25">
      <c r="A5073" t="s">
        <v>150</v>
      </c>
      <c r="B5073">
        <f>18192.8026370652*(1/100/100)</f>
        <v>1.8192802637065202</v>
      </c>
      <c r="C5073">
        <v>60045</v>
      </c>
      <c r="D5073" t="s">
        <v>6848</v>
      </c>
      <c r="E5073">
        <v>62128</v>
      </c>
      <c r="F5073" t="s">
        <v>1693</v>
      </c>
      <c r="G5073">
        <v>621</v>
      </c>
      <c r="H5073" t="s">
        <v>111</v>
      </c>
      <c r="I5073">
        <v>6</v>
      </c>
      <c r="J5073" t="s">
        <v>101</v>
      </c>
    </row>
    <row r="5074" spans="1:10" x14ac:dyDescent="0.25">
      <c r="A5074" t="s">
        <v>150</v>
      </c>
      <c r="B5074">
        <f>217951.23374988*(1/100/100)</f>
        <v>21.795123374988002</v>
      </c>
      <c r="C5074">
        <v>60046</v>
      </c>
      <c r="D5074" t="s">
        <v>4527</v>
      </c>
      <c r="E5074">
        <v>62128</v>
      </c>
      <c r="F5074" t="s">
        <v>1693</v>
      </c>
      <c r="G5074">
        <v>621</v>
      </c>
      <c r="H5074" t="s">
        <v>111</v>
      </c>
      <c r="I5074">
        <v>6</v>
      </c>
      <c r="J5074" t="s">
        <v>101</v>
      </c>
    </row>
    <row r="5075" spans="1:10" x14ac:dyDescent="0.25">
      <c r="A5075" t="s">
        <v>150</v>
      </c>
      <c r="B5075">
        <f>20561.4800219404*(1/100/100)</f>
        <v>2.0561480021940399</v>
      </c>
      <c r="C5075">
        <v>60047</v>
      </c>
      <c r="D5075" t="s">
        <v>6919</v>
      </c>
      <c r="E5075">
        <v>62148</v>
      </c>
      <c r="F5075" t="s">
        <v>1707</v>
      </c>
      <c r="G5075">
        <v>621</v>
      </c>
      <c r="H5075" t="s">
        <v>111</v>
      </c>
      <c r="I5075">
        <v>6</v>
      </c>
      <c r="J5075" t="s">
        <v>101</v>
      </c>
    </row>
    <row r="5076" spans="1:10" x14ac:dyDescent="0.25">
      <c r="A5076" t="s">
        <v>150</v>
      </c>
      <c r="B5076">
        <f>6678.12223375632*(1/100/100)</f>
        <v>0.66781222337563206</v>
      </c>
      <c r="C5076">
        <v>60048</v>
      </c>
      <c r="D5076" t="s">
        <v>6845</v>
      </c>
      <c r="E5076">
        <v>62125</v>
      </c>
      <c r="F5076" t="s">
        <v>1692</v>
      </c>
      <c r="G5076">
        <v>621</v>
      </c>
      <c r="H5076" t="s">
        <v>111</v>
      </c>
      <c r="I5076">
        <v>6</v>
      </c>
      <c r="J5076" t="s">
        <v>101</v>
      </c>
    </row>
    <row r="5077" spans="1:10" x14ac:dyDescent="0.25">
      <c r="A5077" t="s">
        <v>150</v>
      </c>
      <c r="B5077">
        <f>30533.6555177233*(1/100/100)</f>
        <v>3.0533655517723299</v>
      </c>
      <c r="C5077">
        <v>60049</v>
      </c>
      <c r="D5077" t="s">
        <v>6849</v>
      </c>
      <c r="E5077">
        <v>62128</v>
      </c>
      <c r="F5077" t="s">
        <v>1693</v>
      </c>
      <c r="G5077">
        <v>621</v>
      </c>
      <c r="H5077" t="s">
        <v>111</v>
      </c>
      <c r="I5077">
        <v>6</v>
      </c>
      <c r="J5077" t="s">
        <v>101</v>
      </c>
    </row>
    <row r="5078" spans="1:10" x14ac:dyDescent="0.25">
      <c r="A5078" t="s">
        <v>150</v>
      </c>
      <c r="B5078">
        <f>39234.5052914777*(1/100/100)</f>
        <v>3.9234505291477699</v>
      </c>
      <c r="C5078">
        <v>60050</v>
      </c>
      <c r="D5078" t="s">
        <v>6914</v>
      </c>
      <c r="E5078">
        <v>62147</v>
      </c>
      <c r="F5078" t="s">
        <v>1706</v>
      </c>
      <c r="G5078">
        <v>621</v>
      </c>
      <c r="H5078" t="s">
        <v>111</v>
      </c>
      <c r="I5078">
        <v>6</v>
      </c>
      <c r="J5078" t="s">
        <v>101</v>
      </c>
    </row>
    <row r="5079" spans="1:10" x14ac:dyDescent="0.25">
      <c r="A5079" t="s">
        <v>150</v>
      </c>
      <c r="B5079">
        <f>21689.9854052482*(1/100/100)</f>
        <v>2.1689985405248202</v>
      </c>
      <c r="C5079">
        <v>60051</v>
      </c>
      <c r="D5079" t="s">
        <v>6920</v>
      </c>
      <c r="E5079">
        <v>62148</v>
      </c>
      <c r="F5079" t="s">
        <v>1707</v>
      </c>
      <c r="G5079">
        <v>621</v>
      </c>
      <c r="H5079" t="s">
        <v>111</v>
      </c>
      <c r="I5079">
        <v>6</v>
      </c>
      <c r="J5079" t="s">
        <v>101</v>
      </c>
    </row>
    <row r="5080" spans="1:10" x14ac:dyDescent="0.25">
      <c r="A5080" t="s">
        <v>150</v>
      </c>
      <c r="B5080">
        <f>94588.5343203538*(1/100/100)</f>
        <v>9.4588534320353812</v>
      </c>
      <c r="C5080">
        <v>60052</v>
      </c>
      <c r="D5080" t="s">
        <v>6850</v>
      </c>
      <c r="E5080">
        <v>62128</v>
      </c>
      <c r="F5080" t="s">
        <v>1693</v>
      </c>
      <c r="G5080">
        <v>621</v>
      </c>
      <c r="H5080" t="s">
        <v>111</v>
      </c>
      <c r="I5080">
        <v>6</v>
      </c>
      <c r="J5080" t="s">
        <v>101</v>
      </c>
    </row>
    <row r="5081" spans="1:10" x14ac:dyDescent="0.25">
      <c r="A5081" t="s">
        <v>150</v>
      </c>
      <c r="B5081">
        <f>194988.948288027*(1/100/100)</f>
        <v>19.498894828802701</v>
      </c>
      <c r="C5081">
        <v>60053</v>
      </c>
      <c r="D5081" t="s">
        <v>6908</v>
      </c>
      <c r="E5081">
        <v>62146</v>
      </c>
      <c r="F5081" t="s">
        <v>1705</v>
      </c>
      <c r="G5081">
        <v>621</v>
      </c>
      <c r="H5081" t="s">
        <v>111</v>
      </c>
      <c r="I5081">
        <v>6</v>
      </c>
      <c r="J5081" t="s">
        <v>101</v>
      </c>
    </row>
    <row r="5082" spans="1:10" x14ac:dyDescent="0.25">
      <c r="A5082" t="s">
        <v>150</v>
      </c>
      <c r="B5082">
        <f>173139.601036933*(1/100/100)</f>
        <v>17.313960103693301</v>
      </c>
      <c r="C5082">
        <v>60054</v>
      </c>
      <c r="D5082" t="s">
        <v>2218</v>
      </c>
      <c r="E5082">
        <v>62140</v>
      </c>
      <c r="F5082" t="s">
        <v>1699</v>
      </c>
      <c r="G5082">
        <v>621</v>
      </c>
      <c r="H5082" t="s">
        <v>111</v>
      </c>
      <c r="I5082">
        <v>6</v>
      </c>
      <c r="J5082" t="s">
        <v>101</v>
      </c>
    </row>
    <row r="5083" spans="1:10" x14ac:dyDescent="0.25">
      <c r="A5083" t="s">
        <v>150</v>
      </c>
      <c r="B5083">
        <f>50122.307297788*(1/100/100)</f>
        <v>5.0122307297788007</v>
      </c>
      <c r="C5083">
        <v>60055</v>
      </c>
      <c r="D5083" t="s">
        <v>2693</v>
      </c>
      <c r="E5083">
        <v>62148</v>
      </c>
      <c r="F5083" t="s">
        <v>1707</v>
      </c>
      <c r="G5083">
        <v>621</v>
      </c>
      <c r="H5083" t="s">
        <v>111</v>
      </c>
      <c r="I5083">
        <v>6</v>
      </c>
      <c r="J5083" t="s">
        <v>101</v>
      </c>
    </row>
    <row r="5084" spans="1:10" x14ac:dyDescent="0.25">
      <c r="A5084" t="s">
        <v>150</v>
      </c>
      <c r="B5084">
        <f>22078.7567380846*(1/100/100)</f>
        <v>2.2078756738084602</v>
      </c>
      <c r="C5084">
        <v>60056</v>
      </c>
      <c r="D5084" t="s">
        <v>6829</v>
      </c>
      <c r="E5084">
        <v>62105</v>
      </c>
      <c r="F5084" t="s">
        <v>1689</v>
      </c>
      <c r="G5084">
        <v>621</v>
      </c>
      <c r="H5084" t="s">
        <v>111</v>
      </c>
      <c r="I5084">
        <v>6</v>
      </c>
      <c r="J5084" t="s">
        <v>101</v>
      </c>
    </row>
    <row r="5085" spans="1:10" x14ac:dyDescent="0.25">
      <c r="A5085" t="s">
        <v>150</v>
      </c>
      <c r="B5085">
        <f>108839.146723275*(1/100/100)</f>
        <v>10.883914672327501</v>
      </c>
      <c r="C5085">
        <v>60057</v>
      </c>
      <c r="D5085" t="s">
        <v>6880</v>
      </c>
      <c r="E5085">
        <v>62140</v>
      </c>
      <c r="F5085" t="s">
        <v>1699</v>
      </c>
      <c r="G5085">
        <v>621</v>
      </c>
      <c r="H5085" t="s">
        <v>111</v>
      </c>
      <c r="I5085">
        <v>6</v>
      </c>
      <c r="J5085" t="s">
        <v>101</v>
      </c>
    </row>
    <row r="5086" spans="1:10" x14ac:dyDescent="0.25">
      <c r="A5086" t="s">
        <v>150</v>
      </c>
      <c r="B5086">
        <f>17677.0049600327*(1/100/100)</f>
        <v>1.7677004960032701</v>
      </c>
      <c r="C5086">
        <v>60058</v>
      </c>
      <c r="D5086" t="s">
        <v>6858</v>
      </c>
      <c r="E5086">
        <v>62135</v>
      </c>
      <c r="F5086" t="s">
        <v>1696</v>
      </c>
      <c r="G5086">
        <v>621</v>
      </c>
      <c r="H5086" t="s">
        <v>111</v>
      </c>
      <c r="I5086">
        <v>6</v>
      </c>
      <c r="J5086" t="s">
        <v>101</v>
      </c>
    </row>
    <row r="5087" spans="1:10" x14ac:dyDescent="0.25">
      <c r="A5087" t="s">
        <v>150</v>
      </c>
      <c r="B5087">
        <f>33262.8490256384*(1/100/100)</f>
        <v>3.3262849025638404</v>
      </c>
      <c r="C5087">
        <v>60059</v>
      </c>
      <c r="D5087" t="s">
        <v>2607</v>
      </c>
      <c r="E5087">
        <v>62148</v>
      </c>
      <c r="F5087" t="s">
        <v>1707</v>
      </c>
      <c r="G5087">
        <v>621</v>
      </c>
      <c r="H5087" t="s">
        <v>111</v>
      </c>
      <c r="I5087">
        <v>6</v>
      </c>
      <c r="J5087" t="s">
        <v>101</v>
      </c>
    </row>
    <row r="5088" spans="1:10" x14ac:dyDescent="0.25">
      <c r="A5088" t="s">
        <v>150</v>
      </c>
      <c r="B5088">
        <f>24537.5478546747*(1/100/100)</f>
        <v>2.4537547854674702</v>
      </c>
      <c r="C5088">
        <v>60060</v>
      </c>
      <c r="D5088" t="s">
        <v>6830</v>
      </c>
      <c r="E5088">
        <v>62105</v>
      </c>
      <c r="F5088" t="s">
        <v>1689</v>
      </c>
      <c r="G5088">
        <v>621</v>
      </c>
      <c r="H5088" t="s">
        <v>111</v>
      </c>
      <c r="I5088">
        <v>6</v>
      </c>
      <c r="J5088" t="s">
        <v>101</v>
      </c>
    </row>
    <row r="5089" spans="1:10" x14ac:dyDescent="0.25">
      <c r="A5089" t="s">
        <v>150</v>
      </c>
      <c r="B5089">
        <f>14086.7700620871*(1/100/100)</f>
        <v>1.4086770062087102</v>
      </c>
      <c r="C5089">
        <v>60061</v>
      </c>
      <c r="D5089" t="s">
        <v>4272</v>
      </c>
      <c r="E5089">
        <v>62146</v>
      </c>
      <c r="F5089" t="s">
        <v>1705</v>
      </c>
      <c r="G5089">
        <v>621</v>
      </c>
      <c r="H5089" t="s">
        <v>111</v>
      </c>
      <c r="I5089">
        <v>6</v>
      </c>
      <c r="J5089" t="s">
        <v>101</v>
      </c>
    </row>
    <row r="5090" spans="1:10" x14ac:dyDescent="0.25">
      <c r="A5090" t="s">
        <v>150</v>
      </c>
      <c r="B5090">
        <f>8254.91140822417*(1/100/100)</f>
        <v>0.82549114082241704</v>
      </c>
      <c r="C5090">
        <v>60062</v>
      </c>
      <c r="D5090" t="s">
        <v>6881</v>
      </c>
      <c r="E5090">
        <v>62140</v>
      </c>
      <c r="F5090" t="s">
        <v>1699</v>
      </c>
      <c r="G5090">
        <v>621</v>
      </c>
      <c r="H5090" t="s">
        <v>111</v>
      </c>
      <c r="I5090">
        <v>6</v>
      </c>
      <c r="J5090" t="s">
        <v>101</v>
      </c>
    </row>
    <row r="5091" spans="1:10" x14ac:dyDescent="0.25">
      <c r="A5091" t="s">
        <v>150</v>
      </c>
      <c r="B5091">
        <f>59400.9926502097*(1/100/100)</f>
        <v>5.9400992650209705</v>
      </c>
      <c r="C5091">
        <v>60063</v>
      </c>
      <c r="D5091" t="s">
        <v>6872</v>
      </c>
      <c r="E5091">
        <v>62139</v>
      </c>
      <c r="F5091" t="s">
        <v>1698</v>
      </c>
      <c r="G5091">
        <v>621</v>
      </c>
      <c r="H5091" t="s">
        <v>111</v>
      </c>
      <c r="I5091">
        <v>6</v>
      </c>
      <c r="J5091" t="s">
        <v>101</v>
      </c>
    </row>
    <row r="5092" spans="1:10" x14ac:dyDescent="0.25">
      <c r="A5092" t="s">
        <v>150</v>
      </c>
      <c r="B5092">
        <f>37205.794497023*(1/100/100)</f>
        <v>3.7205794497023006</v>
      </c>
      <c r="C5092">
        <v>60064</v>
      </c>
      <c r="D5092" t="s">
        <v>6859</v>
      </c>
      <c r="E5092">
        <v>62135</v>
      </c>
      <c r="F5092" t="s">
        <v>1696</v>
      </c>
      <c r="G5092">
        <v>621</v>
      </c>
      <c r="H5092" t="s">
        <v>111</v>
      </c>
      <c r="I5092">
        <v>6</v>
      </c>
      <c r="J5092" t="s">
        <v>101</v>
      </c>
    </row>
    <row r="5093" spans="1:10" x14ac:dyDescent="0.25">
      <c r="A5093" t="s">
        <v>150</v>
      </c>
      <c r="B5093">
        <f>14277.4991761119*(1/100/100)</f>
        <v>1.4277499176111901</v>
      </c>
      <c r="C5093">
        <v>60065</v>
      </c>
      <c r="D5093" t="s">
        <v>1527</v>
      </c>
      <c r="E5093">
        <v>62135</v>
      </c>
      <c r="F5093" t="s">
        <v>1696</v>
      </c>
      <c r="G5093">
        <v>621</v>
      </c>
      <c r="H5093" t="s">
        <v>111</v>
      </c>
      <c r="I5093">
        <v>6</v>
      </c>
      <c r="J5093" t="s">
        <v>101</v>
      </c>
    </row>
    <row r="5094" spans="1:10" x14ac:dyDescent="0.25">
      <c r="A5094" t="s">
        <v>150</v>
      </c>
      <c r="B5094">
        <f>55189.717134478*(1/100/100)</f>
        <v>5.5189717134478</v>
      </c>
      <c r="C5094">
        <v>60066</v>
      </c>
      <c r="D5094" t="s">
        <v>1706</v>
      </c>
      <c r="E5094">
        <v>62147</v>
      </c>
      <c r="F5094" t="s">
        <v>1706</v>
      </c>
      <c r="G5094">
        <v>621</v>
      </c>
      <c r="H5094" t="s">
        <v>111</v>
      </c>
      <c r="I5094">
        <v>6</v>
      </c>
      <c r="J5094" t="s">
        <v>101</v>
      </c>
    </row>
    <row r="5095" spans="1:10" x14ac:dyDescent="0.25">
      <c r="A5095" t="s">
        <v>150</v>
      </c>
      <c r="B5095">
        <f>15092.653612969*(1/100/100)</f>
        <v>1.5092653612969</v>
      </c>
      <c r="C5095">
        <v>60067</v>
      </c>
      <c r="D5095" t="s">
        <v>6846</v>
      </c>
      <c r="E5095">
        <v>62125</v>
      </c>
      <c r="F5095" t="s">
        <v>1692</v>
      </c>
      <c r="G5095">
        <v>621</v>
      </c>
      <c r="H5095" t="s">
        <v>111</v>
      </c>
      <c r="I5095">
        <v>6</v>
      </c>
      <c r="J5095" t="s">
        <v>101</v>
      </c>
    </row>
    <row r="5096" spans="1:10" x14ac:dyDescent="0.25">
      <c r="A5096" t="s">
        <v>150</v>
      </c>
      <c r="B5096">
        <f>87732.0959161355*(1/100/100)</f>
        <v>8.7732095916135506</v>
      </c>
      <c r="C5096">
        <v>60068</v>
      </c>
      <c r="D5096" t="s">
        <v>1696</v>
      </c>
      <c r="E5096">
        <v>62135</v>
      </c>
      <c r="F5096" t="s">
        <v>1696</v>
      </c>
      <c r="G5096">
        <v>621</v>
      </c>
      <c r="H5096" t="s">
        <v>111</v>
      </c>
      <c r="I5096">
        <v>6</v>
      </c>
      <c r="J5096" t="s">
        <v>101</v>
      </c>
    </row>
    <row r="5097" spans="1:10" x14ac:dyDescent="0.25">
      <c r="A5097" t="s">
        <v>150</v>
      </c>
      <c r="B5097">
        <f>16083.6728859538*(1/100/100)</f>
        <v>1.6083672885953801</v>
      </c>
      <c r="C5097">
        <v>60069</v>
      </c>
      <c r="D5097" t="s">
        <v>6864</v>
      </c>
      <c r="E5097">
        <v>62138</v>
      </c>
      <c r="F5097" t="s">
        <v>1697</v>
      </c>
      <c r="G5097">
        <v>621</v>
      </c>
      <c r="H5097" t="s">
        <v>111</v>
      </c>
      <c r="I5097">
        <v>6</v>
      </c>
      <c r="J5097" t="s">
        <v>101</v>
      </c>
    </row>
    <row r="5098" spans="1:10" x14ac:dyDescent="0.25">
      <c r="A5098" t="s">
        <v>150</v>
      </c>
      <c r="B5098">
        <f>27624.6279583185*(1/100/100)</f>
        <v>2.7624627958318499</v>
      </c>
      <c r="C5098">
        <v>60070</v>
      </c>
      <c r="D5098" t="s">
        <v>6873</v>
      </c>
      <c r="E5098">
        <v>62139</v>
      </c>
      <c r="F5098" t="s">
        <v>1698</v>
      </c>
      <c r="G5098">
        <v>621</v>
      </c>
      <c r="H5098" t="s">
        <v>111</v>
      </c>
      <c r="I5098">
        <v>6</v>
      </c>
      <c r="J5098" t="s">
        <v>101</v>
      </c>
    </row>
    <row r="5099" spans="1:10" x14ac:dyDescent="0.25">
      <c r="A5099" t="s">
        <v>150</v>
      </c>
      <c r="B5099">
        <f>20927.7627292434*(1/100/100)</f>
        <v>2.0927762729243402</v>
      </c>
      <c r="C5099">
        <v>60071</v>
      </c>
      <c r="D5099" t="s">
        <v>6571</v>
      </c>
      <c r="E5099">
        <v>62148</v>
      </c>
      <c r="F5099" t="s">
        <v>1707</v>
      </c>
      <c r="G5099">
        <v>621</v>
      </c>
      <c r="H5099" t="s">
        <v>111</v>
      </c>
      <c r="I5099">
        <v>6</v>
      </c>
      <c r="J5099" t="s">
        <v>101</v>
      </c>
    </row>
    <row r="5100" spans="1:10" x14ac:dyDescent="0.25">
      <c r="A5100" t="s">
        <v>150</v>
      </c>
      <c r="B5100">
        <f>80945.3103955259*(1/100/100)</f>
        <v>8.0945310395525905</v>
      </c>
      <c r="C5100">
        <v>60072</v>
      </c>
      <c r="D5100" t="s">
        <v>6874</v>
      </c>
      <c r="E5100">
        <v>62139</v>
      </c>
      <c r="F5100" t="s">
        <v>1698</v>
      </c>
      <c r="G5100">
        <v>621</v>
      </c>
      <c r="H5100" t="s">
        <v>111</v>
      </c>
      <c r="I5100">
        <v>6</v>
      </c>
      <c r="J5100" t="s">
        <v>101</v>
      </c>
    </row>
    <row r="5101" spans="1:10" x14ac:dyDescent="0.25">
      <c r="A5101" t="s">
        <v>150</v>
      </c>
      <c r="B5101">
        <f>195376.732577914*(1/100/100)</f>
        <v>19.537673257791401</v>
      </c>
      <c r="C5101">
        <v>60073</v>
      </c>
      <c r="D5101" t="s">
        <v>3568</v>
      </c>
      <c r="E5101">
        <v>62140</v>
      </c>
      <c r="F5101" t="s">
        <v>1699</v>
      </c>
      <c r="G5101">
        <v>621</v>
      </c>
      <c r="H5101" t="s">
        <v>111</v>
      </c>
      <c r="I5101">
        <v>6</v>
      </c>
      <c r="J5101" t="s">
        <v>101</v>
      </c>
    </row>
    <row r="5102" spans="1:10" x14ac:dyDescent="0.25">
      <c r="A5102" t="s">
        <v>150</v>
      </c>
      <c r="B5102">
        <f>40389.8953591539*(1/100/100)</f>
        <v>4.0389895359153902</v>
      </c>
      <c r="C5102">
        <v>60074</v>
      </c>
      <c r="D5102" t="s">
        <v>6847</v>
      </c>
      <c r="E5102">
        <v>62125</v>
      </c>
      <c r="F5102" t="s">
        <v>1692</v>
      </c>
      <c r="G5102">
        <v>621</v>
      </c>
      <c r="H5102" t="s">
        <v>111</v>
      </c>
      <c r="I5102">
        <v>6</v>
      </c>
      <c r="J5102" t="s">
        <v>101</v>
      </c>
    </row>
    <row r="5103" spans="1:10" x14ac:dyDescent="0.25">
      <c r="A5103" t="s">
        <v>150</v>
      </c>
      <c r="B5103">
        <f>125345.705590417*(1/100/100)</f>
        <v>12.5345705590417</v>
      </c>
      <c r="C5103">
        <v>60101</v>
      </c>
      <c r="D5103" t="s">
        <v>1572</v>
      </c>
      <c r="E5103">
        <v>61101</v>
      </c>
      <c r="F5103" t="s">
        <v>1572</v>
      </c>
      <c r="G5103">
        <v>611</v>
      </c>
      <c r="H5103" t="s">
        <v>105</v>
      </c>
      <c r="I5103">
        <v>6</v>
      </c>
      <c r="J5103" t="s">
        <v>101</v>
      </c>
    </row>
    <row r="5104" spans="1:10" x14ac:dyDescent="0.25">
      <c r="A5104" t="s">
        <v>150</v>
      </c>
      <c r="B5104">
        <f>67959.6133138554*(1/100/100)</f>
        <v>6.7959613313855405</v>
      </c>
      <c r="C5104">
        <v>60102</v>
      </c>
      <c r="D5104" t="s">
        <v>6549</v>
      </c>
      <c r="E5104">
        <v>61258</v>
      </c>
      <c r="F5104" t="s">
        <v>1606</v>
      </c>
      <c r="G5104">
        <v>612</v>
      </c>
      <c r="H5104" t="s">
        <v>106</v>
      </c>
      <c r="I5104">
        <v>6</v>
      </c>
      <c r="J5104" t="s">
        <v>101</v>
      </c>
    </row>
    <row r="5105" spans="1:10" x14ac:dyDescent="0.25">
      <c r="A5105" t="s">
        <v>150</v>
      </c>
      <c r="B5105">
        <f>12346.3716125556*(1/100/100)</f>
        <v>1.23463716125556</v>
      </c>
      <c r="C5105">
        <v>60103</v>
      </c>
      <c r="D5105" t="s">
        <v>6550</v>
      </c>
      <c r="E5105">
        <v>61258</v>
      </c>
      <c r="F5105" t="s">
        <v>1606</v>
      </c>
      <c r="G5105">
        <v>612</v>
      </c>
      <c r="H5105" t="s">
        <v>106</v>
      </c>
      <c r="I5105">
        <v>6</v>
      </c>
      <c r="J5105" t="s">
        <v>101</v>
      </c>
    </row>
    <row r="5106" spans="1:10" x14ac:dyDescent="0.25">
      <c r="A5106" t="s">
        <v>150</v>
      </c>
      <c r="B5106">
        <f>45929.4014815305*(1/100/100)</f>
        <v>4.5929401481530503</v>
      </c>
      <c r="C5106">
        <v>60104</v>
      </c>
      <c r="D5106" t="s">
        <v>6472</v>
      </c>
      <c r="E5106">
        <v>61101</v>
      </c>
      <c r="F5106" t="s">
        <v>1572</v>
      </c>
      <c r="G5106">
        <v>611</v>
      </c>
      <c r="H5106" t="s">
        <v>105</v>
      </c>
      <c r="I5106">
        <v>6</v>
      </c>
      <c r="J5106" t="s">
        <v>101</v>
      </c>
    </row>
    <row r="5107" spans="1:10" x14ac:dyDescent="0.25">
      <c r="A5107" t="s">
        <v>150</v>
      </c>
      <c r="B5107">
        <f>124053.961936429*(1/100/100)</f>
        <v>12.4053961936429</v>
      </c>
      <c r="C5107">
        <v>60105</v>
      </c>
      <c r="D5107" t="s">
        <v>6473</v>
      </c>
      <c r="E5107">
        <v>61101</v>
      </c>
      <c r="F5107" t="s">
        <v>1572</v>
      </c>
      <c r="G5107">
        <v>611</v>
      </c>
      <c r="H5107" t="s">
        <v>105</v>
      </c>
      <c r="I5107">
        <v>6</v>
      </c>
      <c r="J5107" t="s">
        <v>101</v>
      </c>
    </row>
    <row r="5108" spans="1:10" x14ac:dyDescent="0.25">
      <c r="A5108" t="s">
        <v>150</v>
      </c>
      <c r="B5108">
        <f>22096.970387322*(1/100/100)</f>
        <v>2.2096970387321999</v>
      </c>
      <c r="C5108">
        <v>60106</v>
      </c>
      <c r="D5108" t="s">
        <v>6496</v>
      </c>
      <c r="E5108">
        <v>61112</v>
      </c>
      <c r="F5108" t="s">
        <v>1579</v>
      </c>
      <c r="G5108">
        <v>611</v>
      </c>
      <c r="H5108" t="s">
        <v>105</v>
      </c>
      <c r="I5108">
        <v>6</v>
      </c>
      <c r="J5108" t="s">
        <v>101</v>
      </c>
    </row>
    <row r="5109" spans="1:10" x14ac:dyDescent="0.25">
      <c r="A5109" t="s">
        <v>150</v>
      </c>
      <c r="B5109">
        <f>50439.6858403817*(1/100/100)</f>
        <v>5.0439685840381703</v>
      </c>
      <c r="C5109">
        <v>60107</v>
      </c>
      <c r="D5109" t="s">
        <v>6497</v>
      </c>
      <c r="E5109">
        <v>61112</v>
      </c>
      <c r="F5109" t="s">
        <v>1579</v>
      </c>
      <c r="G5109">
        <v>611</v>
      </c>
      <c r="H5109" t="s">
        <v>105</v>
      </c>
      <c r="I5109">
        <v>6</v>
      </c>
      <c r="J5109" t="s">
        <v>101</v>
      </c>
    </row>
    <row r="5110" spans="1:10" x14ac:dyDescent="0.25">
      <c r="A5110" t="s">
        <v>150</v>
      </c>
      <c r="B5110">
        <f>99222.4948463075*(1/100/100)</f>
        <v>9.9222494846307505</v>
      </c>
      <c r="C5110">
        <v>60108</v>
      </c>
      <c r="D5110" t="s">
        <v>6474</v>
      </c>
      <c r="E5110">
        <v>61101</v>
      </c>
      <c r="F5110" t="s">
        <v>1572</v>
      </c>
      <c r="G5110">
        <v>611</v>
      </c>
      <c r="H5110" t="s">
        <v>105</v>
      </c>
      <c r="I5110">
        <v>6</v>
      </c>
      <c r="J5110" t="s">
        <v>101</v>
      </c>
    </row>
    <row r="5111" spans="1:10" x14ac:dyDescent="0.25">
      <c r="A5111" t="s">
        <v>150</v>
      </c>
      <c r="B5111">
        <f>28841.1645862884*(1/100/100)</f>
        <v>2.8841164586288399</v>
      </c>
      <c r="C5111">
        <v>60201</v>
      </c>
      <c r="D5111" t="s">
        <v>5496</v>
      </c>
      <c r="E5111">
        <v>62141</v>
      </c>
      <c r="F5111" t="s">
        <v>1700</v>
      </c>
      <c r="G5111">
        <v>621</v>
      </c>
      <c r="H5111" t="s">
        <v>111</v>
      </c>
      <c r="I5111">
        <v>6</v>
      </c>
      <c r="J5111" t="s">
        <v>101</v>
      </c>
    </row>
    <row r="5112" spans="1:10" x14ac:dyDescent="0.25">
      <c r="A5112" t="s">
        <v>150</v>
      </c>
      <c r="B5112">
        <f>18255.2959616012*(1/100/100)</f>
        <v>1.8255295961601201</v>
      </c>
      <c r="C5112">
        <v>60202</v>
      </c>
      <c r="D5112" t="s">
        <v>6831</v>
      </c>
      <c r="E5112">
        <v>62115</v>
      </c>
      <c r="F5112" t="s">
        <v>1690</v>
      </c>
      <c r="G5112">
        <v>621</v>
      </c>
      <c r="H5112" t="s">
        <v>111</v>
      </c>
      <c r="I5112">
        <v>6</v>
      </c>
      <c r="J5112" t="s">
        <v>101</v>
      </c>
    </row>
    <row r="5113" spans="1:10" x14ac:dyDescent="0.25">
      <c r="A5113" t="s">
        <v>150</v>
      </c>
      <c r="B5113">
        <f>34506.3833988172*(1/100/100)</f>
        <v>3.4506383398817198</v>
      </c>
      <c r="C5113">
        <v>60203</v>
      </c>
      <c r="D5113" t="s">
        <v>6853</v>
      </c>
      <c r="E5113">
        <v>62132</v>
      </c>
      <c r="F5113" t="s">
        <v>1695</v>
      </c>
      <c r="G5113">
        <v>621</v>
      </c>
      <c r="H5113" t="s">
        <v>111</v>
      </c>
      <c r="I5113">
        <v>6</v>
      </c>
      <c r="J5113" t="s">
        <v>101</v>
      </c>
    </row>
    <row r="5114" spans="1:10" x14ac:dyDescent="0.25">
      <c r="A5114" t="s">
        <v>150</v>
      </c>
      <c r="B5114">
        <f>21100.2407737645*(1/100/100)</f>
        <v>2.1100240773764503</v>
      </c>
      <c r="C5114">
        <v>60204</v>
      </c>
      <c r="D5114" t="s">
        <v>6854</v>
      </c>
      <c r="E5114">
        <v>62132</v>
      </c>
      <c r="F5114" t="s">
        <v>1695</v>
      </c>
      <c r="G5114">
        <v>621</v>
      </c>
      <c r="H5114" t="s">
        <v>111</v>
      </c>
      <c r="I5114">
        <v>6</v>
      </c>
      <c r="J5114" t="s">
        <v>101</v>
      </c>
    </row>
    <row r="5115" spans="1:10" x14ac:dyDescent="0.25">
      <c r="A5115" t="s">
        <v>150</v>
      </c>
      <c r="B5115">
        <f>30995.5996902389*(1/100/100)</f>
        <v>3.0995599690238902</v>
      </c>
      <c r="C5115">
        <v>60205</v>
      </c>
      <c r="D5115" t="s">
        <v>6900</v>
      </c>
      <c r="E5115">
        <v>62145</v>
      </c>
      <c r="F5115" t="s">
        <v>1704</v>
      </c>
      <c r="G5115">
        <v>621</v>
      </c>
      <c r="H5115" t="s">
        <v>111</v>
      </c>
      <c r="I5115">
        <v>6</v>
      </c>
      <c r="J5115" t="s">
        <v>101</v>
      </c>
    </row>
    <row r="5116" spans="1:10" x14ac:dyDescent="0.25">
      <c r="A5116" t="s">
        <v>150</v>
      </c>
      <c r="B5116">
        <f>82783.8149487689*(1/100/100)</f>
        <v>8.2783814948768892</v>
      </c>
      <c r="C5116">
        <v>60206</v>
      </c>
      <c r="D5116" t="s">
        <v>6882</v>
      </c>
      <c r="E5116">
        <v>62141</v>
      </c>
      <c r="F5116" t="s">
        <v>1700</v>
      </c>
      <c r="G5116">
        <v>621</v>
      </c>
      <c r="H5116" t="s">
        <v>111</v>
      </c>
      <c r="I5116">
        <v>6</v>
      </c>
      <c r="J5116" t="s">
        <v>101</v>
      </c>
    </row>
    <row r="5117" spans="1:10" x14ac:dyDescent="0.25">
      <c r="A5117" t="s">
        <v>150</v>
      </c>
      <c r="B5117">
        <f>19729.9806310897*(1/100/100)</f>
        <v>1.9729980631089701</v>
      </c>
      <c r="C5117">
        <v>60207</v>
      </c>
      <c r="D5117" t="s">
        <v>6855</v>
      </c>
      <c r="E5117">
        <v>62132</v>
      </c>
      <c r="F5117" t="s">
        <v>1695</v>
      </c>
      <c r="G5117">
        <v>621</v>
      </c>
      <c r="H5117" t="s">
        <v>111</v>
      </c>
      <c r="I5117">
        <v>6</v>
      </c>
      <c r="J5117" t="s">
        <v>101</v>
      </c>
    </row>
    <row r="5118" spans="1:10" x14ac:dyDescent="0.25">
      <c r="A5118" t="s">
        <v>150</v>
      </c>
      <c r="B5118">
        <f>162732.658207272*(1/100/100)</f>
        <v>16.2732658207272</v>
      </c>
      <c r="C5118">
        <v>60208</v>
      </c>
      <c r="D5118" t="s">
        <v>6264</v>
      </c>
      <c r="E5118">
        <v>62115</v>
      </c>
      <c r="F5118" t="s">
        <v>1690</v>
      </c>
      <c r="G5118">
        <v>621</v>
      </c>
      <c r="H5118" t="s">
        <v>111</v>
      </c>
      <c r="I5118">
        <v>6</v>
      </c>
      <c r="J5118" t="s">
        <v>101</v>
      </c>
    </row>
    <row r="5119" spans="1:10" x14ac:dyDescent="0.25">
      <c r="A5119" t="s">
        <v>150</v>
      </c>
      <c r="B5119">
        <f>2338.93036894343*(1/100/100)</f>
        <v>0.23389303689434301</v>
      </c>
      <c r="C5119">
        <v>60209</v>
      </c>
      <c r="D5119" t="s">
        <v>6832</v>
      </c>
      <c r="E5119">
        <v>62115</v>
      </c>
      <c r="F5119" t="s">
        <v>1690</v>
      </c>
      <c r="G5119">
        <v>621</v>
      </c>
      <c r="H5119" t="s">
        <v>111</v>
      </c>
      <c r="I5119">
        <v>6</v>
      </c>
      <c r="J5119" t="s">
        <v>101</v>
      </c>
    </row>
    <row r="5120" spans="1:10" x14ac:dyDescent="0.25">
      <c r="A5120" t="s">
        <v>150</v>
      </c>
      <c r="B5120">
        <f>117990.784935898*(1/100/100)</f>
        <v>11.799078493589802</v>
      </c>
      <c r="C5120">
        <v>60210</v>
      </c>
      <c r="D5120" t="s">
        <v>6901</v>
      </c>
      <c r="E5120">
        <v>62145</v>
      </c>
      <c r="F5120" t="s">
        <v>1704</v>
      </c>
      <c r="G5120">
        <v>621</v>
      </c>
      <c r="H5120" t="s">
        <v>111</v>
      </c>
      <c r="I5120">
        <v>6</v>
      </c>
      <c r="J5120" t="s">
        <v>101</v>
      </c>
    </row>
    <row r="5121" spans="1:10" x14ac:dyDescent="0.25">
      <c r="A5121" t="s">
        <v>150</v>
      </c>
      <c r="B5121">
        <f>89145.3235211805*(1/100/100)</f>
        <v>8.9145323521180497</v>
      </c>
      <c r="C5121">
        <v>60211</v>
      </c>
      <c r="D5121" t="s">
        <v>2829</v>
      </c>
      <c r="E5121">
        <v>62141</v>
      </c>
      <c r="F5121" t="s">
        <v>1700</v>
      </c>
      <c r="G5121">
        <v>621</v>
      </c>
      <c r="H5121" t="s">
        <v>111</v>
      </c>
      <c r="I5121">
        <v>6</v>
      </c>
      <c r="J5121" t="s">
        <v>101</v>
      </c>
    </row>
    <row r="5122" spans="1:10" x14ac:dyDescent="0.25">
      <c r="A5122" t="s">
        <v>150</v>
      </c>
      <c r="B5122">
        <f>30206.092402213*(1/100/100)</f>
        <v>3.0206092402213001</v>
      </c>
      <c r="C5122">
        <v>60212</v>
      </c>
      <c r="D5122" t="s">
        <v>6059</v>
      </c>
      <c r="E5122">
        <v>62132</v>
      </c>
      <c r="F5122" t="s">
        <v>1695</v>
      </c>
      <c r="G5122">
        <v>621</v>
      </c>
      <c r="H5122" t="s">
        <v>111</v>
      </c>
      <c r="I5122">
        <v>6</v>
      </c>
      <c r="J5122" t="s">
        <v>101</v>
      </c>
    </row>
    <row r="5123" spans="1:10" x14ac:dyDescent="0.25">
      <c r="A5123" t="s">
        <v>150</v>
      </c>
      <c r="B5123">
        <f>29035.0358143144*(1/100/100)</f>
        <v>2.9035035814314401</v>
      </c>
      <c r="C5123">
        <v>60213</v>
      </c>
      <c r="D5123" t="s">
        <v>6883</v>
      </c>
      <c r="E5123">
        <v>62141</v>
      </c>
      <c r="F5123" t="s">
        <v>1700</v>
      </c>
      <c r="G5123">
        <v>621</v>
      </c>
      <c r="H5123" t="s">
        <v>111</v>
      </c>
      <c r="I5123">
        <v>6</v>
      </c>
      <c r="J5123" t="s">
        <v>101</v>
      </c>
    </row>
    <row r="5124" spans="1:10" x14ac:dyDescent="0.25">
      <c r="A5124" t="s">
        <v>150</v>
      </c>
      <c r="B5124">
        <f>192194.675579771*(1/100/100)</f>
        <v>19.219467557977101</v>
      </c>
      <c r="C5124">
        <v>60214</v>
      </c>
      <c r="D5124" t="s">
        <v>1700</v>
      </c>
      <c r="E5124">
        <v>62141</v>
      </c>
      <c r="F5124" t="s">
        <v>1700</v>
      </c>
      <c r="G5124">
        <v>621</v>
      </c>
      <c r="H5124" t="s">
        <v>111</v>
      </c>
      <c r="I5124">
        <v>6</v>
      </c>
      <c r="J5124" t="s">
        <v>101</v>
      </c>
    </row>
    <row r="5125" spans="1:10" x14ac:dyDescent="0.25">
      <c r="A5125" t="s">
        <v>150</v>
      </c>
      <c r="B5125">
        <f>269013.81755619*(1/100/100)</f>
        <v>26.901381755619003</v>
      </c>
      <c r="C5125">
        <v>60215</v>
      </c>
      <c r="D5125" t="s">
        <v>6884</v>
      </c>
      <c r="E5125">
        <v>62141</v>
      </c>
      <c r="F5125" t="s">
        <v>1700</v>
      </c>
      <c r="G5125">
        <v>621</v>
      </c>
      <c r="H5125" t="s">
        <v>111</v>
      </c>
      <c r="I5125">
        <v>6</v>
      </c>
      <c r="J5125" t="s">
        <v>101</v>
      </c>
    </row>
    <row r="5126" spans="1:10" x14ac:dyDescent="0.25">
      <c r="A5126" t="s">
        <v>150</v>
      </c>
      <c r="B5126">
        <f>39640.7264727686*(1/100/100)</f>
        <v>3.9640726472768599</v>
      </c>
      <c r="C5126">
        <v>60216</v>
      </c>
      <c r="D5126" t="s">
        <v>6885</v>
      </c>
      <c r="E5126">
        <v>62141</v>
      </c>
      <c r="F5126" t="s">
        <v>1700</v>
      </c>
      <c r="G5126">
        <v>621</v>
      </c>
      <c r="H5126" t="s">
        <v>111</v>
      </c>
      <c r="I5126">
        <v>6</v>
      </c>
      <c r="J5126" t="s">
        <v>101</v>
      </c>
    </row>
    <row r="5127" spans="1:10" x14ac:dyDescent="0.25">
      <c r="A5127" t="s">
        <v>150</v>
      </c>
      <c r="B5127">
        <f>16745.6699183251*(1/100/100)</f>
        <v>1.6745669918325101</v>
      </c>
      <c r="C5127">
        <v>60217</v>
      </c>
      <c r="D5127" t="s">
        <v>6886</v>
      </c>
      <c r="E5127">
        <v>62141</v>
      </c>
      <c r="F5127" t="s">
        <v>1700</v>
      </c>
      <c r="G5127">
        <v>621</v>
      </c>
      <c r="H5127" t="s">
        <v>111</v>
      </c>
      <c r="I5127">
        <v>6</v>
      </c>
      <c r="J5127" t="s">
        <v>101</v>
      </c>
    </row>
    <row r="5128" spans="1:10" x14ac:dyDescent="0.25">
      <c r="A5128" t="s">
        <v>150</v>
      </c>
      <c r="B5128">
        <f>51610.0895715236*(1/100/100)</f>
        <v>5.1610089571523599</v>
      </c>
      <c r="C5128">
        <v>60218</v>
      </c>
      <c r="D5128" t="s">
        <v>6902</v>
      </c>
      <c r="E5128">
        <v>62145</v>
      </c>
      <c r="F5128" t="s">
        <v>1704</v>
      </c>
      <c r="G5128">
        <v>621</v>
      </c>
      <c r="H5128" t="s">
        <v>111</v>
      </c>
      <c r="I5128">
        <v>6</v>
      </c>
      <c r="J5128" t="s">
        <v>101</v>
      </c>
    </row>
    <row r="5129" spans="1:10" x14ac:dyDescent="0.25">
      <c r="A5129" t="s">
        <v>150</v>
      </c>
      <c r="B5129">
        <f>241897.74857645*(1/100/100)</f>
        <v>24.189774857644998</v>
      </c>
      <c r="C5129">
        <v>60219</v>
      </c>
      <c r="D5129" t="s">
        <v>1690</v>
      </c>
      <c r="E5129">
        <v>62115</v>
      </c>
      <c r="F5129" t="s">
        <v>1690</v>
      </c>
      <c r="G5129">
        <v>621</v>
      </c>
      <c r="H5129" t="s">
        <v>111</v>
      </c>
      <c r="I5129">
        <v>6</v>
      </c>
      <c r="J5129" t="s">
        <v>101</v>
      </c>
    </row>
    <row r="5130" spans="1:10" x14ac:dyDescent="0.25">
      <c r="A5130" t="s">
        <v>150</v>
      </c>
      <c r="B5130">
        <f>35881.0327272765*(1/100/100)</f>
        <v>3.5881032727276501</v>
      </c>
      <c r="C5130">
        <v>60220</v>
      </c>
      <c r="D5130" t="s">
        <v>6833</v>
      </c>
      <c r="E5130">
        <v>62115</v>
      </c>
      <c r="F5130" t="s">
        <v>1690</v>
      </c>
      <c r="G5130">
        <v>621</v>
      </c>
      <c r="H5130" t="s">
        <v>111</v>
      </c>
      <c r="I5130">
        <v>6</v>
      </c>
      <c r="J5130" t="s">
        <v>101</v>
      </c>
    </row>
    <row r="5131" spans="1:10" x14ac:dyDescent="0.25">
      <c r="A5131" t="s">
        <v>150</v>
      </c>
      <c r="B5131">
        <f>37123.6258339143*(1/100/100)</f>
        <v>3.7123625833914304</v>
      </c>
      <c r="C5131">
        <v>60221</v>
      </c>
      <c r="D5131" t="s">
        <v>6903</v>
      </c>
      <c r="E5131">
        <v>62145</v>
      </c>
      <c r="F5131" t="s">
        <v>1704</v>
      </c>
      <c r="G5131">
        <v>621</v>
      </c>
      <c r="H5131" t="s">
        <v>111</v>
      </c>
      <c r="I5131">
        <v>6</v>
      </c>
      <c r="J5131" t="s">
        <v>101</v>
      </c>
    </row>
    <row r="5132" spans="1:10" x14ac:dyDescent="0.25">
      <c r="A5132" t="s">
        <v>150</v>
      </c>
      <c r="B5132">
        <f>21760.6940535742*(1/100/100)</f>
        <v>2.1760694053574201</v>
      </c>
      <c r="C5132">
        <v>60222</v>
      </c>
      <c r="D5132" t="s">
        <v>6834</v>
      </c>
      <c r="E5132">
        <v>62115</v>
      </c>
      <c r="F5132" t="s">
        <v>1690</v>
      </c>
      <c r="G5132">
        <v>621</v>
      </c>
      <c r="H5132" t="s">
        <v>111</v>
      </c>
      <c r="I5132">
        <v>6</v>
      </c>
      <c r="J5132" t="s">
        <v>101</v>
      </c>
    </row>
    <row r="5133" spans="1:10" x14ac:dyDescent="0.25">
      <c r="A5133" t="s">
        <v>150</v>
      </c>
      <c r="B5133">
        <f>15676.2370720704*(1/100/100)</f>
        <v>1.56762370720704</v>
      </c>
      <c r="C5133">
        <v>60223</v>
      </c>
      <c r="D5133" t="s">
        <v>6835</v>
      </c>
      <c r="E5133">
        <v>62115</v>
      </c>
      <c r="F5133" t="s">
        <v>1690</v>
      </c>
      <c r="G5133">
        <v>621</v>
      </c>
      <c r="H5133" t="s">
        <v>111</v>
      </c>
      <c r="I5133">
        <v>6</v>
      </c>
      <c r="J5133" t="s">
        <v>101</v>
      </c>
    </row>
    <row r="5134" spans="1:10" x14ac:dyDescent="0.25">
      <c r="A5134" t="s">
        <v>150</v>
      </c>
      <c r="B5134">
        <f>221795.100506001*(1/100/100)</f>
        <v>22.179510050600101</v>
      </c>
      <c r="C5134">
        <v>60224</v>
      </c>
      <c r="D5134" t="s">
        <v>6581</v>
      </c>
      <c r="E5134">
        <v>62145</v>
      </c>
      <c r="F5134" t="s">
        <v>1704</v>
      </c>
      <c r="G5134">
        <v>621</v>
      </c>
      <c r="H5134" t="s">
        <v>111</v>
      </c>
      <c r="I5134">
        <v>6</v>
      </c>
      <c r="J5134" t="s">
        <v>101</v>
      </c>
    </row>
    <row r="5135" spans="1:10" x14ac:dyDescent="0.25">
      <c r="A5135" t="s">
        <v>150</v>
      </c>
      <c r="B5135">
        <f>87966.7521584602*(1/100/100)</f>
        <v>8.7966752158460189</v>
      </c>
      <c r="C5135">
        <v>60225</v>
      </c>
      <c r="D5135" t="s">
        <v>6887</v>
      </c>
      <c r="E5135">
        <v>62141</v>
      </c>
      <c r="F5135" t="s">
        <v>1700</v>
      </c>
      <c r="G5135">
        <v>621</v>
      </c>
      <c r="H5135" t="s">
        <v>111</v>
      </c>
      <c r="I5135">
        <v>6</v>
      </c>
      <c r="J5135" t="s">
        <v>101</v>
      </c>
    </row>
    <row r="5136" spans="1:10" x14ac:dyDescent="0.25">
      <c r="A5136" t="s">
        <v>150</v>
      </c>
      <c r="B5136">
        <f>42593.3607566332*(1/100/100)</f>
        <v>4.2593360756633203</v>
      </c>
      <c r="C5136">
        <v>60226</v>
      </c>
      <c r="D5136" t="s">
        <v>6904</v>
      </c>
      <c r="E5136">
        <v>62145</v>
      </c>
      <c r="F5136" t="s">
        <v>1704</v>
      </c>
      <c r="G5136">
        <v>621</v>
      </c>
      <c r="H5136" t="s">
        <v>111</v>
      </c>
      <c r="I5136">
        <v>6</v>
      </c>
      <c r="J5136" t="s">
        <v>101</v>
      </c>
    </row>
    <row r="5137" spans="1:10" x14ac:dyDescent="0.25">
      <c r="A5137" t="s">
        <v>150</v>
      </c>
      <c r="B5137">
        <f>11994.4696483151*(1/100/100)</f>
        <v>1.19944696483151</v>
      </c>
      <c r="C5137">
        <v>60227</v>
      </c>
      <c r="D5137" t="s">
        <v>6856</v>
      </c>
      <c r="E5137">
        <v>62132</v>
      </c>
      <c r="F5137" t="s">
        <v>1695</v>
      </c>
      <c r="G5137">
        <v>621</v>
      </c>
      <c r="H5137" t="s">
        <v>111</v>
      </c>
      <c r="I5137">
        <v>6</v>
      </c>
      <c r="J5137" t="s">
        <v>101</v>
      </c>
    </row>
    <row r="5138" spans="1:10" x14ac:dyDescent="0.25">
      <c r="A5138" t="s">
        <v>150</v>
      </c>
      <c r="B5138">
        <f>61401.6261242489*(1/100/100)</f>
        <v>6.1401626124248905</v>
      </c>
      <c r="C5138">
        <v>60228</v>
      </c>
      <c r="D5138" t="s">
        <v>6905</v>
      </c>
      <c r="E5138">
        <v>62145</v>
      </c>
      <c r="F5138" t="s">
        <v>1704</v>
      </c>
      <c r="G5138">
        <v>621</v>
      </c>
      <c r="H5138" t="s">
        <v>111</v>
      </c>
      <c r="I5138">
        <v>6</v>
      </c>
      <c r="J5138" t="s">
        <v>101</v>
      </c>
    </row>
    <row r="5139" spans="1:10" x14ac:dyDescent="0.25">
      <c r="A5139" t="s">
        <v>150</v>
      </c>
      <c r="B5139">
        <f>65141.297441648*(1/100/100)</f>
        <v>6.5141297441648005</v>
      </c>
      <c r="C5139">
        <v>60229</v>
      </c>
      <c r="D5139" t="s">
        <v>6888</v>
      </c>
      <c r="E5139">
        <v>62141</v>
      </c>
      <c r="F5139" t="s">
        <v>1700</v>
      </c>
      <c r="G5139">
        <v>621</v>
      </c>
      <c r="H5139" t="s">
        <v>111</v>
      </c>
      <c r="I5139">
        <v>6</v>
      </c>
      <c r="J5139" t="s">
        <v>101</v>
      </c>
    </row>
    <row r="5140" spans="1:10" x14ac:dyDescent="0.25">
      <c r="A5140" t="s">
        <v>150</v>
      </c>
      <c r="B5140">
        <f>112020.168468959*(1/100/100)</f>
        <v>11.202016846895901</v>
      </c>
      <c r="C5140">
        <v>60230</v>
      </c>
      <c r="D5140" t="s">
        <v>6857</v>
      </c>
      <c r="E5140">
        <v>62132</v>
      </c>
      <c r="F5140" t="s">
        <v>1695</v>
      </c>
      <c r="G5140">
        <v>621</v>
      </c>
      <c r="H5140" t="s">
        <v>111</v>
      </c>
      <c r="I5140">
        <v>6</v>
      </c>
      <c r="J5140" t="s">
        <v>101</v>
      </c>
    </row>
    <row r="5141" spans="1:10" x14ac:dyDescent="0.25">
      <c r="A5141" t="s">
        <v>150</v>
      </c>
      <c r="B5141">
        <f>77925.5113571538*(1/100/100)</f>
        <v>7.7925511357153798</v>
      </c>
      <c r="C5141">
        <v>60231</v>
      </c>
      <c r="D5141" t="s">
        <v>6836</v>
      </c>
      <c r="E5141">
        <v>62115</v>
      </c>
      <c r="F5141" t="s">
        <v>1690</v>
      </c>
      <c r="G5141">
        <v>621</v>
      </c>
      <c r="H5141" t="s">
        <v>111</v>
      </c>
      <c r="I5141">
        <v>6</v>
      </c>
      <c r="J5141" t="s">
        <v>101</v>
      </c>
    </row>
    <row r="5142" spans="1:10" x14ac:dyDescent="0.25">
      <c r="A5142" t="s">
        <v>150</v>
      </c>
      <c r="B5142">
        <f>192915.279150475*(1/100/100)</f>
        <v>19.291527915047499</v>
      </c>
      <c r="C5142">
        <v>60232</v>
      </c>
      <c r="D5142" t="s">
        <v>3605</v>
      </c>
      <c r="E5142">
        <v>62145</v>
      </c>
      <c r="F5142" t="s">
        <v>1704</v>
      </c>
      <c r="G5142">
        <v>621</v>
      </c>
      <c r="H5142" t="s">
        <v>111</v>
      </c>
      <c r="I5142">
        <v>6</v>
      </c>
      <c r="J5142" t="s">
        <v>101</v>
      </c>
    </row>
    <row r="5143" spans="1:10" x14ac:dyDescent="0.25">
      <c r="A5143" t="s">
        <v>150</v>
      </c>
      <c r="B5143">
        <f>39402.4427918156*(1/100/100)</f>
        <v>3.9402442791815599</v>
      </c>
      <c r="C5143">
        <v>60301</v>
      </c>
      <c r="D5143" t="s">
        <v>4026</v>
      </c>
      <c r="E5143">
        <v>61113</v>
      </c>
      <c r="F5143" t="s">
        <v>1580</v>
      </c>
      <c r="G5143">
        <v>611</v>
      </c>
      <c r="H5143" t="s">
        <v>105</v>
      </c>
      <c r="I5143">
        <v>6</v>
      </c>
      <c r="J5143" t="s">
        <v>101</v>
      </c>
    </row>
    <row r="5144" spans="1:10" x14ac:dyDescent="0.25">
      <c r="A5144" t="s">
        <v>150</v>
      </c>
      <c r="B5144">
        <f>62542.1380586628*(1/100/100)</f>
        <v>6.2542138058662804</v>
      </c>
      <c r="C5144">
        <v>60302</v>
      </c>
      <c r="D5144" t="s">
        <v>6476</v>
      </c>
      <c r="E5144">
        <v>61106</v>
      </c>
      <c r="F5144" t="s">
        <v>1574</v>
      </c>
      <c r="G5144">
        <v>611</v>
      </c>
      <c r="H5144" t="s">
        <v>105</v>
      </c>
      <c r="I5144">
        <v>6</v>
      </c>
      <c r="J5144" t="s">
        <v>101</v>
      </c>
    </row>
    <row r="5145" spans="1:10" x14ac:dyDescent="0.25">
      <c r="A5145" t="s">
        <v>150</v>
      </c>
      <c r="B5145">
        <f>389446.381974842*(1/100/100)</f>
        <v>38.944638197484203</v>
      </c>
      <c r="C5145">
        <v>60303</v>
      </c>
      <c r="D5145" t="s">
        <v>6480</v>
      </c>
      <c r="E5145">
        <v>61108</v>
      </c>
      <c r="F5145" t="s">
        <v>105</v>
      </c>
      <c r="G5145">
        <v>611</v>
      </c>
      <c r="H5145" t="s">
        <v>105</v>
      </c>
      <c r="I5145">
        <v>6</v>
      </c>
      <c r="J5145" t="s">
        <v>101</v>
      </c>
    </row>
    <row r="5146" spans="1:10" x14ac:dyDescent="0.25">
      <c r="A5146" t="s">
        <v>150</v>
      </c>
      <c r="B5146">
        <f>23939.8017750491*(1/100/100)</f>
        <v>2.3939801775049103</v>
      </c>
      <c r="C5146">
        <v>60304</v>
      </c>
      <c r="D5146" t="s">
        <v>6486</v>
      </c>
      <c r="E5146">
        <v>61109</v>
      </c>
      <c r="F5146" t="s">
        <v>1576</v>
      </c>
      <c r="G5146">
        <v>611</v>
      </c>
      <c r="H5146" t="s">
        <v>105</v>
      </c>
      <c r="I5146">
        <v>6</v>
      </c>
      <c r="J5146" t="s">
        <v>101</v>
      </c>
    </row>
    <row r="5147" spans="1:10" x14ac:dyDescent="0.25">
      <c r="A5147" t="s">
        <v>150</v>
      </c>
      <c r="B5147">
        <f>7674.55984902285*(1/100/100)</f>
        <v>0.76745598490228506</v>
      </c>
      <c r="C5147">
        <v>60305</v>
      </c>
      <c r="D5147" t="s">
        <v>6491</v>
      </c>
      <c r="E5147">
        <v>61110</v>
      </c>
      <c r="F5147" t="s">
        <v>1577</v>
      </c>
      <c r="G5147">
        <v>611</v>
      </c>
      <c r="H5147" t="s">
        <v>105</v>
      </c>
      <c r="I5147">
        <v>6</v>
      </c>
      <c r="J5147" t="s">
        <v>101</v>
      </c>
    </row>
    <row r="5148" spans="1:10" x14ac:dyDescent="0.25">
      <c r="A5148" t="s">
        <v>150</v>
      </c>
      <c r="B5148">
        <f>65959.2447225293*(1/100/100)</f>
        <v>6.5959244722529302</v>
      </c>
      <c r="C5148">
        <v>60306</v>
      </c>
      <c r="D5148" t="s">
        <v>6513</v>
      </c>
      <c r="E5148">
        <v>61120</v>
      </c>
      <c r="F5148" t="s">
        <v>1586</v>
      </c>
      <c r="G5148">
        <v>611</v>
      </c>
      <c r="H5148" t="s">
        <v>105</v>
      </c>
      <c r="I5148">
        <v>6</v>
      </c>
      <c r="J5148" t="s">
        <v>101</v>
      </c>
    </row>
    <row r="5149" spans="1:10" x14ac:dyDescent="0.25">
      <c r="A5149" t="s">
        <v>150</v>
      </c>
      <c r="B5149">
        <f>70742.508562101*(1/100/100)</f>
        <v>7.0742508562100994</v>
      </c>
      <c r="C5149">
        <v>60307</v>
      </c>
      <c r="D5149" t="s">
        <v>6514</v>
      </c>
      <c r="E5149">
        <v>61120</v>
      </c>
      <c r="F5149" t="s">
        <v>1586</v>
      </c>
      <c r="G5149">
        <v>611</v>
      </c>
      <c r="H5149" t="s">
        <v>105</v>
      </c>
      <c r="I5149">
        <v>6</v>
      </c>
      <c r="J5149" t="s">
        <v>101</v>
      </c>
    </row>
    <row r="5150" spans="1:10" x14ac:dyDescent="0.25">
      <c r="A5150" t="s">
        <v>150</v>
      </c>
      <c r="B5150">
        <f>256638.470678538*(1/100/100)</f>
        <v>25.663847067853801</v>
      </c>
      <c r="C5150">
        <v>60308</v>
      </c>
      <c r="D5150" t="s">
        <v>6481</v>
      </c>
      <c r="E5150">
        <v>61108</v>
      </c>
      <c r="F5150" t="s">
        <v>105</v>
      </c>
      <c r="G5150">
        <v>611</v>
      </c>
      <c r="H5150" t="s">
        <v>105</v>
      </c>
      <c r="I5150">
        <v>6</v>
      </c>
      <c r="J5150" t="s">
        <v>101</v>
      </c>
    </row>
    <row r="5151" spans="1:10" x14ac:dyDescent="0.25">
      <c r="A5151" t="s">
        <v>150</v>
      </c>
      <c r="B5151">
        <f>31223.7836020758*(1/100/100)</f>
        <v>3.1223783602075801</v>
      </c>
      <c r="C5151">
        <v>60309</v>
      </c>
      <c r="D5151" t="s">
        <v>6515</v>
      </c>
      <c r="E5151">
        <v>61120</v>
      </c>
      <c r="F5151" t="s">
        <v>1586</v>
      </c>
      <c r="G5151">
        <v>611</v>
      </c>
      <c r="H5151" t="s">
        <v>105</v>
      </c>
      <c r="I5151">
        <v>6</v>
      </c>
      <c r="J5151" t="s">
        <v>101</v>
      </c>
    </row>
    <row r="5152" spans="1:10" x14ac:dyDescent="0.25">
      <c r="A5152" t="s">
        <v>150</v>
      </c>
      <c r="B5152">
        <f>8702.23731218305*(1/100/100)</f>
        <v>0.87022373121830499</v>
      </c>
      <c r="C5152">
        <v>60310</v>
      </c>
      <c r="D5152" t="s">
        <v>6482</v>
      </c>
      <c r="E5152">
        <v>61108</v>
      </c>
      <c r="F5152" t="s">
        <v>105</v>
      </c>
      <c r="G5152">
        <v>611</v>
      </c>
      <c r="H5152" t="s">
        <v>105</v>
      </c>
      <c r="I5152">
        <v>6</v>
      </c>
      <c r="J5152" t="s">
        <v>101</v>
      </c>
    </row>
    <row r="5153" spans="1:10" x14ac:dyDescent="0.25">
      <c r="A5153" t="s">
        <v>150</v>
      </c>
      <c r="B5153">
        <f>47949.4440644716*(1/100/100)</f>
        <v>4.7949444064471605</v>
      </c>
      <c r="C5153">
        <v>60311</v>
      </c>
      <c r="D5153" t="s">
        <v>4305</v>
      </c>
      <c r="E5153">
        <v>61120</v>
      </c>
      <c r="F5153" t="s">
        <v>1586</v>
      </c>
      <c r="G5153">
        <v>611</v>
      </c>
      <c r="H5153" t="s">
        <v>105</v>
      </c>
      <c r="I5153">
        <v>6</v>
      </c>
      <c r="J5153" t="s">
        <v>101</v>
      </c>
    </row>
    <row r="5154" spans="1:10" x14ac:dyDescent="0.25">
      <c r="A5154" t="s">
        <v>150</v>
      </c>
      <c r="B5154">
        <f>68649.2668583516*(1/100/100)</f>
        <v>6.8649266858351607</v>
      </c>
      <c r="C5154">
        <v>60312</v>
      </c>
      <c r="D5154" t="s">
        <v>6503</v>
      </c>
      <c r="E5154">
        <v>61114</v>
      </c>
      <c r="F5154" t="s">
        <v>1581</v>
      </c>
      <c r="G5154">
        <v>611</v>
      </c>
      <c r="H5154" t="s">
        <v>105</v>
      </c>
      <c r="I5154">
        <v>6</v>
      </c>
      <c r="J5154" t="s">
        <v>101</v>
      </c>
    </row>
    <row r="5155" spans="1:10" x14ac:dyDescent="0.25">
      <c r="A5155" t="s">
        <v>150</v>
      </c>
      <c r="B5155">
        <f>16854.7591424744*(1/100/100)</f>
        <v>1.68547591424744</v>
      </c>
      <c r="C5155">
        <v>60313</v>
      </c>
      <c r="D5155" t="s">
        <v>6498</v>
      </c>
      <c r="E5155">
        <v>61113</v>
      </c>
      <c r="F5155" t="s">
        <v>1580</v>
      </c>
      <c r="G5155">
        <v>611</v>
      </c>
      <c r="H5155" t="s">
        <v>105</v>
      </c>
      <c r="I5155">
        <v>6</v>
      </c>
      <c r="J5155" t="s">
        <v>101</v>
      </c>
    </row>
    <row r="5156" spans="1:10" x14ac:dyDescent="0.25">
      <c r="A5156" t="s">
        <v>150</v>
      </c>
      <c r="B5156">
        <f>4769.58696678646*(1/100/100)</f>
        <v>0.47695869667864599</v>
      </c>
      <c r="C5156">
        <v>60314</v>
      </c>
      <c r="D5156" t="s">
        <v>6499</v>
      </c>
      <c r="E5156">
        <v>61113</v>
      </c>
      <c r="F5156" t="s">
        <v>1580</v>
      </c>
      <c r="G5156">
        <v>611</v>
      </c>
      <c r="H5156" t="s">
        <v>105</v>
      </c>
      <c r="I5156">
        <v>6</v>
      </c>
      <c r="J5156" t="s">
        <v>101</v>
      </c>
    </row>
    <row r="5157" spans="1:10" x14ac:dyDescent="0.25">
      <c r="A5157" t="s">
        <v>150</v>
      </c>
      <c r="B5157">
        <f>173127.689418106*(1/100/100)</f>
        <v>17.312768941810599</v>
      </c>
      <c r="C5157">
        <v>60315</v>
      </c>
      <c r="D5157" t="s">
        <v>2327</v>
      </c>
      <c r="E5157">
        <v>61108</v>
      </c>
      <c r="F5157" t="s">
        <v>105</v>
      </c>
      <c r="G5157">
        <v>611</v>
      </c>
      <c r="H5157" t="s">
        <v>105</v>
      </c>
      <c r="I5157">
        <v>6</v>
      </c>
      <c r="J5157" t="s">
        <v>101</v>
      </c>
    </row>
    <row r="5158" spans="1:10" x14ac:dyDescent="0.25">
      <c r="A5158" t="s">
        <v>150</v>
      </c>
      <c r="B5158">
        <f>57488.8853343202*(1/100/100)</f>
        <v>5.7488885334320203</v>
      </c>
      <c r="C5158">
        <v>60316</v>
      </c>
      <c r="D5158" t="s">
        <v>6507</v>
      </c>
      <c r="E5158">
        <v>61115</v>
      </c>
      <c r="F5158" t="s">
        <v>1582</v>
      </c>
      <c r="G5158">
        <v>611</v>
      </c>
      <c r="H5158" t="s">
        <v>105</v>
      </c>
      <c r="I5158">
        <v>6</v>
      </c>
      <c r="J5158" t="s">
        <v>101</v>
      </c>
    </row>
    <row r="5159" spans="1:10" x14ac:dyDescent="0.25">
      <c r="A5159" t="s">
        <v>150</v>
      </c>
      <c r="B5159">
        <f>72739.1501644719*(1/100/100)</f>
        <v>7.27391501644719</v>
      </c>
      <c r="C5159">
        <v>60317</v>
      </c>
      <c r="D5159" t="s">
        <v>1573</v>
      </c>
      <c r="E5159">
        <v>61105</v>
      </c>
      <c r="F5159" t="s">
        <v>1573</v>
      </c>
      <c r="G5159">
        <v>611</v>
      </c>
      <c r="H5159" t="s">
        <v>105</v>
      </c>
      <c r="I5159">
        <v>6</v>
      </c>
      <c r="J5159" t="s">
        <v>101</v>
      </c>
    </row>
    <row r="5160" spans="1:10" x14ac:dyDescent="0.25">
      <c r="A5160" t="s">
        <v>150</v>
      </c>
      <c r="B5160">
        <f>92166.2477278002*(1/100/100)</f>
        <v>9.2166247727800208</v>
      </c>
      <c r="C5160">
        <v>60318</v>
      </c>
      <c r="D5160" t="s">
        <v>3727</v>
      </c>
      <c r="E5160">
        <v>61106</v>
      </c>
      <c r="F5160" t="s">
        <v>1574</v>
      </c>
      <c r="G5160">
        <v>611</v>
      </c>
      <c r="H5160" t="s">
        <v>105</v>
      </c>
      <c r="I5160">
        <v>6</v>
      </c>
      <c r="J5160" t="s">
        <v>101</v>
      </c>
    </row>
    <row r="5161" spans="1:10" x14ac:dyDescent="0.25">
      <c r="A5161" t="s">
        <v>150</v>
      </c>
      <c r="B5161">
        <f>9744.44634601475*(1/100/100)</f>
        <v>0.97444463460147512</v>
      </c>
      <c r="C5161">
        <v>60319</v>
      </c>
      <c r="D5161" t="s">
        <v>6493</v>
      </c>
      <c r="E5161">
        <v>61111</v>
      </c>
      <c r="F5161" t="s">
        <v>1578</v>
      </c>
      <c r="G5161">
        <v>611</v>
      </c>
      <c r="H5161" t="s">
        <v>105</v>
      </c>
      <c r="I5161">
        <v>6</v>
      </c>
      <c r="J5161" t="s">
        <v>101</v>
      </c>
    </row>
    <row r="5162" spans="1:10" x14ac:dyDescent="0.25">
      <c r="A5162" t="s">
        <v>150</v>
      </c>
      <c r="B5162">
        <f>26484.6730819949*(1/100/100)</f>
        <v>2.6484673081994901</v>
      </c>
      <c r="C5162">
        <v>60320</v>
      </c>
      <c r="D5162" t="s">
        <v>6494</v>
      </c>
      <c r="E5162">
        <v>61111</v>
      </c>
      <c r="F5162" t="s">
        <v>1578</v>
      </c>
      <c r="G5162">
        <v>611</v>
      </c>
      <c r="H5162" t="s">
        <v>105</v>
      </c>
      <c r="I5162">
        <v>6</v>
      </c>
      <c r="J5162" t="s">
        <v>101</v>
      </c>
    </row>
    <row r="5163" spans="1:10" x14ac:dyDescent="0.25">
      <c r="A5163" t="s">
        <v>150</v>
      </c>
      <c r="B5163">
        <f>135599.382495635*(1/100/100)</f>
        <v>13.559938249563501</v>
      </c>
      <c r="C5163">
        <v>60321</v>
      </c>
      <c r="D5163" t="s">
        <v>6195</v>
      </c>
      <c r="E5163">
        <v>61107</v>
      </c>
      <c r="F5163" t="s">
        <v>1575</v>
      </c>
      <c r="G5163">
        <v>611</v>
      </c>
      <c r="H5163" t="s">
        <v>105</v>
      </c>
      <c r="I5163">
        <v>6</v>
      </c>
      <c r="J5163" t="s">
        <v>101</v>
      </c>
    </row>
    <row r="5164" spans="1:10" x14ac:dyDescent="0.25">
      <c r="A5164" t="s">
        <v>150</v>
      </c>
      <c r="B5164">
        <f>11851.5146424443*(1/100/100)</f>
        <v>1.1851514642444301</v>
      </c>
      <c r="C5164">
        <v>60322</v>
      </c>
      <c r="D5164" t="s">
        <v>6479</v>
      </c>
      <c r="E5164">
        <v>61107</v>
      </c>
      <c r="F5164" t="s">
        <v>1575</v>
      </c>
      <c r="G5164">
        <v>611</v>
      </c>
      <c r="H5164" t="s">
        <v>105</v>
      </c>
      <c r="I5164">
        <v>6</v>
      </c>
      <c r="J5164" t="s">
        <v>101</v>
      </c>
    </row>
    <row r="5165" spans="1:10" x14ac:dyDescent="0.25">
      <c r="A5165" t="s">
        <v>150</v>
      </c>
      <c r="B5165">
        <f>12598.87223641*(1/100/100)</f>
        <v>1.2598872236409999</v>
      </c>
      <c r="C5165">
        <v>60323</v>
      </c>
      <c r="D5165" t="s">
        <v>6516</v>
      </c>
      <c r="E5165">
        <v>61120</v>
      </c>
      <c r="F5165" t="s">
        <v>1586</v>
      </c>
      <c r="G5165">
        <v>611</v>
      </c>
      <c r="H5165" t="s">
        <v>105</v>
      </c>
      <c r="I5165">
        <v>6</v>
      </c>
      <c r="J5165" t="s">
        <v>101</v>
      </c>
    </row>
    <row r="5166" spans="1:10" x14ac:dyDescent="0.25">
      <c r="A5166" t="s">
        <v>150</v>
      </c>
      <c r="B5166">
        <f>72377.8528844388*(1/100/100)</f>
        <v>7.2377852884438809</v>
      </c>
      <c r="C5166">
        <v>60324</v>
      </c>
      <c r="D5166" t="s">
        <v>6517</v>
      </c>
      <c r="E5166">
        <v>61120</v>
      </c>
      <c r="F5166" t="s">
        <v>1586</v>
      </c>
      <c r="G5166">
        <v>611</v>
      </c>
      <c r="H5166" t="s">
        <v>105</v>
      </c>
      <c r="I5166">
        <v>6</v>
      </c>
      <c r="J5166" t="s">
        <v>101</v>
      </c>
    </row>
    <row r="5167" spans="1:10" x14ac:dyDescent="0.25">
      <c r="A5167" t="s">
        <v>150</v>
      </c>
      <c r="B5167">
        <f>10718.1684398822*(1/100/100)</f>
        <v>1.0718168439882201</v>
      </c>
      <c r="C5167">
        <v>60325</v>
      </c>
      <c r="D5167" t="s">
        <v>6477</v>
      </c>
      <c r="E5167">
        <v>61106</v>
      </c>
      <c r="F5167" t="s">
        <v>1574</v>
      </c>
      <c r="G5167">
        <v>611</v>
      </c>
      <c r="H5167" t="s">
        <v>105</v>
      </c>
      <c r="I5167">
        <v>6</v>
      </c>
      <c r="J5167" t="s">
        <v>101</v>
      </c>
    </row>
    <row r="5168" spans="1:10" x14ac:dyDescent="0.25">
      <c r="A5168" t="s">
        <v>150</v>
      </c>
      <c r="B5168">
        <f>205492.570857396*(1/100/100)</f>
        <v>20.549257085739601</v>
      </c>
      <c r="C5168">
        <v>60326</v>
      </c>
      <c r="D5168" t="s">
        <v>6483</v>
      </c>
      <c r="E5168">
        <v>61108</v>
      </c>
      <c r="F5168" t="s">
        <v>105</v>
      </c>
      <c r="G5168">
        <v>611</v>
      </c>
      <c r="H5168" t="s">
        <v>105</v>
      </c>
      <c r="I5168">
        <v>6</v>
      </c>
      <c r="J5168" t="s">
        <v>101</v>
      </c>
    </row>
    <row r="5169" spans="1:10" x14ac:dyDescent="0.25">
      <c r="A5169" t="s">
        <v>150</v>
      </c>
      <c r="B5169">
        <f>164772.68936072*(1/100/100)</f>
        <v>16.477268936072001</v>
      </c>
      <c r="C5169">
        <v>60327</v>
      </c>
      <c r="D5169" t="s">
        <v>105</v>
      </c>
      <c r="E5169">
        <v>61108</v>
      </c>
      <c r="F5169" t="s">
        <v>105</v>
      </c>
      <c r="G5169">
        <v>611</v>
      </c>
      <c r="H5169" t="s">
        <v>105</v>
      </c>
      <c r="I5169">
        <v>6</v>
      </c>
      <c r="J5169" t="s">
        <v>101</v>
      </c>
    </row>
    <row r="5170" spans="1:10" x14ac:dyDescent="0.25">
      <c r="A5170" t="s">
        <v>150</v>
      </c>
      <c r="B5170">
        <f>4458.13601654803*(1/100/100)</f>
        <v>0.44581360165480305</v>
      </c>
      <c r="C5170">
        <v>60328</v>
      </c>
      <c r="D5170" t="s">
        <v>6508</v>
      </c>
      <c r="E5170">
        <v>61115</v>
      </c>
      <c r="F5170" t="s">
        <v>1582</v>
      </c>
      <c r="G5170">
        <v>611</v>
      </c>
      <c r="H5170" t="s">
        <v>105</v>
      </c>
      <c r="I5170">
        <v>6</v>
      </c>
      <c r="J5170" t="s">
        <v>101</v>
      </c>
    </row>
    <row r="5171" spans="1:10" x14ac:dyDescent="0.25">
      <c r="A5171" t="s">
        <v>150</v>
      </c>
      <c r="B5171">
        <f>8926.84391679198*(1/100/100)</f>
        <v>0.89268439167919811</v>
      </c>
      <c r="C5171">
        <v>60329</v>
      </c>
      <c r="D5171" t="s">
        <v>2363</v>
      </c>
      <c r="E5171">
        <v>61119</v>
      </c>
      <c r="F5171" t="s">
        <v>1585</v>
      </c>
      <c r="G5171">
        <v>611</v>
      </c>
      <c r="H5171" t="s">
        <v>105</v>
      </c>
      <c r="I5171">
        <v>6</v>
      </c>
      <c r="J5171" t="s">
        <v>101</v>
      </c>
    </row>
    <row r="5172" spans="1:10" x14ac:dyDescent="0.25">
      <c r="A5172" t="s">
        <v>150</v>
      </c>
      <c r="B5172">
        <f>38674.4125852071*(1/100/100)</f>
        <v>3.8674412585207101</v>
      </c>
      <c r="C5172">
        <v>60330</v>
      </c>
      <c r="D5172" t="s">
        <v>6487</v>
      </c>
      <c r="E5172">
        <v>61109</v>
      </c>
      <c r="F5172" t="s">
        <v>1576</v>
      </c>
      <c r="G5172">
        <v>611</v>
      </c>
      <c r="H5172" t="s">
        <v>105</v>
      </c>
      <c r="I5172">
        <v>6</v>
      </c>
      <c r="J5172" t="s">
        <v>101</v>
      </c>
    </row>
    <row r="5173" spans="1:10" x14ac:dyDescent="0.25">
      <c r="A5173" t="s">
        <v>150</v>
      </c>
      <c r="B5173">
        <f>113084.083057232*(1/100/100)</f>
        <v>11.3084083057232</v>
      </c>
      <c r="C5173">
        <v>60331</v>
      </c>
      <c r="D5173" t="s">
        <v>6500</v>
      </c>
      <c r="E5173">
        <v>61113</v>
      </c>
      <c r="F5173" t="s">
        <v>1580</v>
      </c>
      <c r="G5173">
        <v>611</v>
      </c>
      <c r="H5173" t="s">
        <v>105</v>
      </c>
      <c r="I5173">
        <v>6</v>
      </c>
      <c r="J5173" t="s">
        <v>101</v>
      </c>
    </row>
    <row r="5174" spans="1:10" x14ac:dyDescent="0.25">
      <c r="A5174" t="s">
        <v>150</v>
      </c>
      <c r="B5174">
        <f>45792.4333770074*(1/100/100)</f>
        <v>4.5792433377007402</v>
      </c>
      <c r="C5174">
        <v>60332</v>
      </c>
      <c r="D5174" t="s">
        <v>6509</v>
      </c>
      <c r="E5174">
        <v>61115</v>
      </c>
      <c r="F5174" t="s">
        <v>1582</v>
      </c>
      <c r="G5174">
        <v>611</v>
      </c>
      <c r="H5174" t="s">
        <v>105</v>
      </c>
      <c r="I5174">
        <v>6</v>
      </c>
      <c r="J5174" t="s">
        <v>101</v>
      </c>
    </row>
    <row r="5175" spans="1:10" x14ac:dyDescent="0.25">
      <c r="A5175" t="s">
        <v>150</v>
      </c>
      <c r="B5175">
        <f>80237.1748227523*(1/100/100)</f>
        <v>8.0237174822752309</v>
      </c>
      <c r="C5175">
        <v>60333</v>
      </c>
      <c r="D5175" t="s">
        <v>6510</v>
      </c>
      <c r="E5175">
        <v>61116</v>
      </c>
      <c r="F5175" t="s">
        <v>1583</v>
      </c>
      <c r="G5175">
        <v>611</v>
      </c>
      <c r="H5175" t="s">
        <v>105</v>
      </c>
      <c r="I5175">
        <v>6</v>
      </c>
      <c r="J5175" t="s">
        <v>101</v>
      </c>
    </row>
    <row r="5176" spans="1:10" x14ac:dyDescent="0.25">
      <c r="A5176" t="s">
        <v>150</v>
      </c>
      <c r="B5176">
        <f>9740.01850458356*(1/100/100)</f>
        <v>0.97400185045835608</v>
      </c>
      <c r="C5176">
        <v>60334</v>
      </c>
      <c r="D5176" t="s">
        <v>6488</v>
      </c>
      <c r="E5176">
        <v>61109</v>
      </c>
      <c r="F5176" t="s">
        <v>1576</v>
      </c>
      <c r="G5176">
        <v>611</v>
      </c>
      <c r="H5176" t="s">
        <v>105</v>
      </c>
      <c r="I5176">
        <v>6</v>
      </c>
      <c r="J5176" t="s">
        <v>101</v>
      </c>
    </row>
    <row r="5177" spans="1:10" x14ac:dyDescent="0.25">
      <c r="A5177" t="s">
        <v>150</v>
      </c>
      <c r="B5177">
        <f>108354.469361156*(1/100/100)</f>
        <v>10.835446936115602</v>
      </c>
      <c r="C5177">
        <v>60335</v>
      </c>
      <c r="D5177" t="s">
        <v>3776</v>
      </c>
      <c r="E5177">
        <v>61109</v>
      </c>
      <c r="F5177" t="s">
        <v>1576</v>
      </c>
      <c r="G5177">
        <v>611</v>
      </c>
      <c r="H5177" t="s">
        <v>105</v>
      </c>
      <c r="I5177">
        <v>6</v>
      </c>
      <c r="J5177" t="s">
        <v>101</v>
      </c>
    </row>
    <row r="5178" spans="1:10" x14ac:dyDescent="0.25">
      <c r="A5178" t="s">
        <v>150</v>
      </c>
      <c r="B5178">
        <f>2104.75034532664*(1/100/100)</f>
        <v>0.210475034532664</v>
      </c>
      <c r="C5178">
        <v>60336</v>
      </c>
      <c r="D5178" t="s">
        <v>6512</v>
      </c>
      <c r="E5178">
        <v>61119</v>
      </c>
      <c r="F5178" t="s">
        <v>1585</v>
      </c>
      <c r="G5178">
        <v>611</v>
      </c>
      <c r="H5178" t="s">
        <v>105</v>
      </c>
      <c r="I5178">
        <v>6</v>
      </c>
      <c r="J5178" t="s">
        <v>101</v>
      </c>
    </row>
    <row r="5179" spans="1:10" x14ac:dyDescent="0.25">
      <c r="A5179" t="s">
        <v>150</v>
      </c>
      <c r="B5179">
        <f>49341.1038837303*(1/100/100)</f>
        <v>4.9341103883730302</v>
      </c>
      <c r="C5179">
        <v>60337</v>
      </c>
      <c r="D5179" t="s">
        <v>6478</v>
      </c>
      <c r="E5179">
        <v>61106</v>
      </c>
      <c r="F5179" t="s">
        <v>1574</v>
      </c>
      <c r="G5179">
        <v>611</v>
      </c>
      <c r="H5179" t="s">
        <v>105</v>
      </c>
      <c r="I5179">
        <v>6</v>
      </c>
      <c r="J5179" t="s">
        <v>101</v>
      </c>
    </row>
    <row r="5180" spans="1:10" x14ac:dyDescent="0.25">
      <c r="A5180" t="s">
        <v>150</v>
      </c>
      <c r="B5180">
        <f>245769.550460937*(1/100/100)</f>
        <v>24.576955046093701</v>
      </c>
      <c r="C5180">
        <v>60338</v>
      </c>
      <c r="D5180" t="s">
        <v>5355</v>
      </c>
      <c r="E5180">
        <v>61108</v>
      </c>
      <c r="F5180" t="s">
        <v>105</v>
      </c>
      <c r="G5180">
        <v>611</v>
      </c>
      <c r="H5180" t="s">
        <v>105</v>
      </c>
      <c r="I5180">
        <v>6</v>
      </c>
      <c r="J5180" t="s">
        <v>101</v>
      </c>
    </row>
    <row r="5181" spans="1:10" x14ac:dyDescent="0.25">
      <c r="A5181" t="s">
        <v>150</v>
      </c>
      <c r="B5181">
        <f>16557.8309089499*(1/100/100)</f>
        <v>1.6557830908949902</v>
      </c>
      <c r="C5181">
        <v>60339</v>
      </c>
      <c r="D5181" t="s">
        <v>2529</v>
      </c>
      <c r="E5181">
        <v>61115</v>
      </c>
      <c r="F5181" t="s">
        <v>1582</v>
      </c>
      <c r="G5181">
        <v>611</v>
      </c>
      <c r="H5181" t="s">
        <v>105</v>
      </c>
      <c r="I5181">
        <v>6</v>
      </c>
      <c r="J5181" t="s">
        <v>101</v>
      </c>
    </row>
    <row r="5182" spans="1:10" x14ac:dyDescent="0.25">
      <c r="A5182" t="s">
        <v>150</v>
      </c>
      <c r="B5182">
        <f>214097.990680952*(1/100/100)</f>
        <v>21.4097990680952</v>
      </c>
      <c r="C5182">
        <v>60340</v>
      </c>
      <c r="D5182" t="s">
        <v>1577</v>
      </c>
      <c r="E5182">
        <v>61110</v>
      </c>
      <c r="F5182" t="s">
        <v>1577</v>
      </c>
      <c r="G5182">
        <v>611</v>
      </c>
      <c r="H5182" t="s">
        <v>105</v>
      </c>
      <c r="I5182">
        <v>6</v>
      </c>
      <c r="J5182" t="s">
        <v>101</v>
      </c>
    </row>
    <row r="5183" spans="1:10" x14ac:dyDescent="0.25">
      <c r="A5183" t="s">
        <v>150</v>
      </c>
      <c r="B5183">
        <f>30291.5762856806*(1/100/100)</f>
        <v>3.0291576285680599</v>
      </c>
      <c r="C5183">
        <v>60341</v>
      </c>
      <c r="D5183" t="s">
        <v>6492</v>
      </c>
      <c r="E5183">
        <v>61110</v>
      </c>
      <c r="F5183" t="s">
        <v>1577</v>
      </c>
      <c r="G5183">
        <v>611</v>
      </c>
      <c r="H5183" t="s">
        <v>105</v>
      </c>
      <c r="I5183">
        <v>6</v>
      </c>
      <c r="J5183" t="s">
        <v>101</v>
      </c>
    </row>
    <row r="5184" spans="1:10" x14ac:dyDescent="0.25">
      <c r="A5184" t="s">
        <v>150</v>
      </c>
      <c r="B5184">
        <f>23355.2612417724*(1/100/100)</f>
        <v>2.3355261241772403</v>
      </c>
      <c r="C5184">
        <v>60342</v>
      </c>
      <c r="D5184" t="s">
        <v>2853</v>
      </c>
      <c r="E5184">
        <v>61106</v>
      </c>
      <c r="F5184" t="s">
        <v>1574</v>
      </c>
      <c r="G5184">
        <v>611</v>
      </c>
      <c r="H5184" t="s">
        <v>105</v>
      </c>
      <c r="I5184">
        <v>6</v>
      </c>
      <c r="J5184" t="s">
        <v>101</v>
      </c>
    </row>
    <row r="5185" spans="1:10" x14ac:dyDescent="0.25">
      <c r="A5185" t="s">
        <v>150</v>
      </c>
      <c r="B5185">
        <f>38746.1887027901*(1/100/100)</f>
        <v>3.8746188702790105</v>
      </c>
      <c r="C5185">
        <v>60343</v>
      </c>
      <c r="D5185" t="s">
        <v>6475</v>
      </c>
      <c r="E5185">
        <v>61105</v>
      </c>
      <c r="F5185" t="s">
        <v>1573</v>
      </c>
      <c r="G5185">
        <v>611</v>
      </c>
      <c r="H5185" t="s">
        <v>105</v>
      </c>
      <c r="I5185">
        <v>6</v>
      </c>
      <c r="J5185" t="s">
        <v>101</v>
      </c>
    </row>
    <row r="5186" spans="1:10" x14ac:dyDescent="0.25">
      <c r="A5186" t="s">
        <v>150</v>
      </c>
      <c r="B5186">
        <f>8179.95601130254*(1/100/100)</f>
        <v>0.81799560113025405</v>
      </c>
      <c r="C5186">
        <v>60344</v>
      </c>
      <c r="D5186" t="s">
        <v>6495</v>
      </c>
      <c r="E5186">
        <v>61111</v>
      </c>
      <c r="F5186" t="s">
        <v>1578</v>
      </c>
      <c r="G5186">
        <v>611</v>
      </c>
      <c r="H5186" t="s">
        <v>105</v>
      </c>
      <c r="I5186">
        <v>6</v>
      </c>
      <c r="J5186" t="s">
        <v>101</v>
      </c>
    </row>
    <row r="5187" spans="1:10" x14ac:dyDescent="0.25">
      <c r="A5187" t="s">
        <v>150</v>
      </c>
      <c r="B5187">
        <f>62273.0022565233*(1/100/100)</f>
        <v>6.2273002256523302</v>
      </c>
      <c r="C5187">
        <v>60345</v>
      </c>
      <c r="D5187" t="s">
        <v>6484</v>
      </c>
      <c r="E5187">
        <v>61108</v>
      </c>
      <c r="F5187" t="s">
        <v>105</v>
      </c>
      <c r="G5187">
        <v>611</v>
      </c>
      <c r="H5187" t="s">
        <v>105</v>
      </c>
      <c r="I5187">
        <v>6</v>
      </c>
      <c r="J5187" t="s">
        <v>101</v>
      </c>
    </row>
    <row r="5188" spans="1:10" x14ac:dyDescent="0.25">
      <c r="A5188" t="s">
        <v>150</v>
      </c>
      <c r="B5188">
        <f>82247.1351468047*(1/100/100)</f>
        <v>8.224713514680472</v>
      </c>
      <c r="C5188">
        <v>60346</v>
      </c>
      <c r="D5188" t="s">
        <v>1578</v>
      </c>
      <c r="E5188">
        <v>61111</v>
      </c>
      <c r="F5188" t="s">
        <v>1578</v>
      </c>
      <c r="G5188">
        <v>611</v>
      </c>
      <c r="H5188" t="s">
        <v>105</v>
      </c>
      <c r="I5188">
        <v>6</v>
      </c>
      <c r="J5188" t="s">
        <v>101</v>
      </c>
    </row>
    <row r="5189" spans="1:10" x14ac:dyDescent="0.25">
      <c r="A5189" t="s">
        <v>150</v>
      </c>
      <c r="B5189">
        <f>24749.45650325*(1/100/100)</f>
        <v>2.474945650325</v>
      </c>
      <c r="C5189">
        <v>60347</v>
      </c>
      <c r="D5189" t="s">
        <v>6489</v>
      </c>
      <c r="E5189">
        <v>61109</v>
      </c>
      <c r="F5189" t="s">
        <v>1576</v>
      </c>
      <c r="G5189">
        <v>611</v>
      </c>
      <c r="H5189" t="s">
        <v>105</v>
      </c>
      <c r="I5189">
        <v>6</v>
      </c>
      <c r="J5189" t="s">
        <v>101</v>
      </c>
    </row>
    <row r="5190" spans="1:10" x14ac:dyDescent="0.25">
      <c r="A5190" t="s">
        <v>150</v>
      </c>
      <c r="B5190">
        <f>11582.0260964189*(1/100/100)</f>
        <v>1.15820260964189</v>
      </c>
      <c r="C5190">
        <v>60348</v>
      </c>
      <c r="D5190" t="s">
        <v>6490</v>
      </c>
      <c r="E5190">
        <v>61109</v>
      </c>
      <c r="F5190" t="s">
        <v>1576</v>
      </c>
      <c r="G5190">
        <v>611</v>
      </c>
      <c r="H5190" t="s">
        <v>105</v>
      </c>
      <c r="I5190">
        <v>6</v>
      </c>
      <c r="J5190" t="s">
        <v>101</v>
      </c>
    </row>
    <row r="5191" spans="1:10" x14ac:dyDescent="0.25">
      <c r="A5191" t="s">
        <v>150</v>
      </c>
      <c r="B5191">
        <f>32279.088582522*(1/100/100)</f>
        <v>3.2279088582522002</v>
      </c>
      <c r="C5191">
        <v>60349</v>
      </c>
      <c r="D5191" t="s">
        <v>6518</v>
      </c>
      <c r="E5191">
        <v>61120</v>
      </c>
      <c r="F5191" t="s">
        <v>1586</v>
      </c>
      <c r="G5191">
        <v>611</v>
      </c>
      <c r="H5191" t="s">
        <v>105</v>
      </c>
      <c r="I5191">
        <v>6</v>
      </c>
      <c r="J5191" t="s">
        <v>101</v>
      </c>
    </row>
    <row r="5192" spans="1:10" x14ac:dyDescent="0.25">
      <c r="A5192" t="s">
        <v>150</v>
      </c>
      <c r="B5192">
        <f>82056.2973084769*(1/100/100)</f>
        <v>8.20562973084769</v>
      </c>
      <c r="C5192">
        <v>60350</v>
      </c>
      <c r="D5192" t="s">
        <v>6501</v>
      </c>
      <c r="E5192">
        <v>61113</v>
      </c>
      <c r="F5192" t="s">
        <v>1580</v>
      </c>
      <c r="G5192">
        <v>611</v>
      </c>
      <c r="H5192" t="s">
        <v>105</v>
      </c>
      <c r="I5192">
        <v>6</v>
      </c>
      <c r="J5192" t="s">
        <v>101</v>
      </c>
    </row>
    <row r="5193" spans="1:10" x14ac:dyDescent="0.25">
      <c r="A5193" t="s">
        <v>150</v>
      </c>
      <c r="B5193">
        <f>194414.804957304*(1/100/100)</f>
        <v>19.441480495730403</v>
      </c>
      <c r="C5193">
        <v>60351</v>
      </c>
      <c r="D5193" t="s">
        <v>6504</v>
      </c>
      <c r="E5193">
        <v>61114</v>
      </c>
      <c r="F5193" t="s">
        <v>1581</v>
      </c>
      <c r="G5193">
        <v>611</v>
      </c>
      <c r="H5193" t="s">
        <v>105</v>
      </c>
      <c r="I5193">
        <v>6</v>
      </c>
      <c r="J5193" t="s">
        <v>101</v>
      </c>
    </row>
    <row r="5194" spans="1:10" x14ac:dyDescent="0.25">
      <c r="A5194" t="s">
        <v>150</v>
      </c>
      <c r="B5194">
        <f>69349.6863957943*(1/100/100)</f>
        <v>6.9349686395794299</v>
      </c>
      <c r="C5194">
        <v>60352</v>
      </c>
      <c r="D5194" t="s">
        <v>2358</v>
      </c>
      <c r="E5194">
        <v>61115</v>
      </c>
      <c r="F5194" t="s">
        <v>1582</v>
      </c>
      <c r="G5194">
        <v>611</v>
      </c>
      <c r="H5194" t="s">
        <v>105</v>
      </c>
      <c r="I5194">
        <v>6</v>
      </c>
      <c r="J5194" t="s">
        <v>101</v>
      </c>
    </row>
    <row r="5195" spans="1:10" x14ac:dyDescent="0.25">
      <c r="A5195" t="s">
        <v>150</v>
      </c>
      <c r="B5195">
        <f>61860.0115599379*(1/100/100)</f>
        <v>6.1860011559937904</v>
      </c>
      <c r="C5195">
        <v>60353</v>
      </c>
      <c r="D5195" t="s">
        <v>6519</v>
      </c>
      <c r="E5195">
        <v>61120</v>
      </c>
      <c r="F5195" t="s">
        <v>1586</v>
      </c>
      <c r="G5195">
        <v>611</v>
      </c>
      <c r="H5195" t="s">
        <v>105</v>
      </c>
      <c r="I5195">
        <v>6</v>
      </c>
      <c r="J5195" t="s">
        <v>101</v>
      </c>
    </row>
    <row r="5196" spans="1:10" x14ac:dyDescent="0.25">
      <c r="A5196" t="s">
        <v>150</v>
      </c>
      <c r="B5196">
        <f>6677.98480551328*(1/100/100)</f>
        <v>0.66779848055132796</v>
      </c>
      <c r="C5196">
        <v>60354</v>
      </c>
      <c r="D5196" t="s">
        <v>2693</v>
      </c>
      <c r="E5196">
        <v>61105</v>
      </c>
      <c r="F5196" t="s">
        <v>1573</v>
      </c>
      <c r="G5196">
        <v>611</v>
      </c>
      <c r="H5196" t="s">
        <v>105</v>
      </c>
      <c r="I5196">
        <v>6</v>
      </c>
      <c r="J5196" t="s">
        <v>101</v>
      </c>
    </row>
    <row r="5197" spans="1:10" x14ac:dyDescent="0.25">
      <c r="A5197" t="s">
        <v>150</v>
      </c>
      <c r="B5197">
        <f>26634.7520698137*(1/100/100)</f>
        <v>2.6634752069813703</v>
      </c>
      <c r="C5197">
        <v>60355</v>
      </c>
      <c r="D5197" t="s">
        <v>6485</v>
      </c>
      <c r="E5197">
        <v>61108</v>
      </c>
      <c r="F5197" t="s">
        <v>105</v>
      </c>
      <c r="G5197">
        <v>611</v>
      </c>
      <c r="H5197" t="s">
        <v>105</v>
      </c>
      <c r="I5197">
        <v>6</v>
      </c>
      <c r="J5197" t="s">
        <v>101</v>
      </c>
    </row>
    <row r="5198" spans="1:10" x14ac:dyDescent="0.25">
      <c r="A5198" t="s">
        <v>150</v>
      </c>
      <c r="B5198">
        <f>17139.5113945236*(1/100/100)</f>
        <v>1.7139511394523601</v>
      </c>
      <c r="C5198">
        <v>60356</v>
      </c>
      <c r="D5198" t="s">
        <v>2607</v>
      </c>
      <c r="E5198">
        <v>61105</v>
      </c>
      <c r="F5198" t="s">
        <v>1573</v>
      </c>
      <c r="G5198">
        <v>611</v>
      </c>
      <c r="H5198" t="s">
        <v>105</v>
      </c>
      <c r="I5198">
        <v>6</v>
      </c>
      <c r="J5198" t="s">
        <v>101</v>
      </c>
    </row>
    <row r="5199" spans="1:10" x14ac:dyDescent="0.25">
      <c r="A5199" t="s">
        <v>150</v>
      </c>
      <c r="B5199">
        <f>49551.8102060471*(1/100/100)</f>
        <v>4.9551810206047104</v>
      </c>
      <c r="C5199">
        <v>60357</v>
      </c>
      <c r="D5199" t="s">
        <v>6511</v>
      </c>
      <c r="E5199">
        <v>61116</v>
      </c>
      <c r="F5199" t="s">
        <v>1583</v>
      </c>
      <c r="G5199">
        <v>611</v>
      </c>
      <c r="H5199" t="s">
        <v>105</v>
      </c>
      <c r="I5199">
        <v>6</v>
      </c>
      <c r="J5199" t="s">
        <v>101</v>
      </c>
    </row>
    <row r="5200" spans="1:10" x14ac:dyDescent="0.25">
      <c r="A5200" t="s">
        <v>150</v>
      </c>
      <c r="B5200">
        <f>16410.2287132678*(1/100/100)</f>
        <v>1.64102287132678</v>
      </c>
      <c r="C5200">
        <v>60358</v>
      </c>
      <c r="D5200" t="s">
        <v>6505</v>
      </c>
      <c r="E5200">
        <v>61114</v>
      </c>
      <c r="F5200" t="s">
        <v>1581</v>
      </c>
      <c r="G5200">
        <v>611</v>
      </c>
      <c r="H5200" t="s">
        <v>105</v>
      </c>
      <c r="I5200">
        <v>6</v>
      </c>
      <c r="J5200" t="s">
        <v>101</v>
      </c>
    </row>
    <row r="5201" spans="1:10" x14ac:dyDescent="0.25">
      <c r="A5201" t="s">
        <v>150</v>
      </c>
      <c r="B5201">
        <f>88861.7506399234*(1/100/100)</f>
        <v>8.88617506399234</v>
      </c>
      <c r="C5201">
        <v>60359</v>
      </c>
      <c r="D5201" t="s">
        <v>1583</v>
      </c>
      <c r="E5201">
        <v>61116</v>
      </c>
      <c r="F5201" t="s">
        <v>1583</v>
      </c>
      <c r="G5201">
        <v>611</v>
      </c>
      <c r="H5201" t="s">
        <v>105</v>
      </c>
      <c r="I5201">
        <v>6</v>
      </c>
      <c r="J5201" t="s">
        <v>101</v>
      </c>
    </row>
    <row r="5202" spans="1:10" x14ac:dyDescent="0.25">
      <c r="A5202" t="s">
        <v>150</v>
      </c>
      <c r="B5202">
        <f>43850.8192082333*(1/100/100)</f>
        <v>4.38508192082333</v>
      </c>
      <c r="C5202">
        <v>60360</v>
      </c>
      <c r="D5202" t="s">
        <v>6506</v>
      </c>
      <c r="E5202">
        <v>61114</v>
      </c>
      <c r="F5202" t="s">
        <v>1581</v>
      </c>
      <c r="G5202">
        <v>611</v>
      </c>
      <c r="H5202" t="s">
        <v>105</v>
      </c>
      <c r="I5202">
        <v>6</v>
      </c>
      <c r="J5202" t="s">
        <v>101</v>
      </c>
    </row>
    <row r="5203" spans="1:10" x14ac:dyDescent="0.25">
      <c r="A5203" t="s">
        <v>150</v>
      </c>
      <c r="B5203">
        <f>13472.7054685173*(1/100/100)</f>
        <v>1.3472705468517301</v>
      </c>
      <c r="C5203">
        <v>60361</v>
      </c>
      <c r="D5203" t="s">
        <v>6520</v>
      </c>
      <c r="E5203">
        <v>61120</v>
      </c>
      <c r="F5203" t="s">
        <v>1586</v>
      </c>
      <c r="G5203">
        <v>611</v>
      </c>
      <c r="H5203" t="s">
        <v>105</v>
      </c>
      <c r="I5203">
        <v>6</v>
      </c>
      <c r="J5203" t="s">
        <v>101</v>
      </c>
    </row>
    <row r="5204" spans="1:10" x14ac:dyDescent="0.25">
      <c r="A5204" t="s">
        <v>150</v>
      </c>
      <c r="B5204">
        <f>431038.533248466*(1/100/100)</f>
        <v>43.103853324846597</v>
      </c>
      <c r="C5204">
        <v>60362</v>
      </c>
      <c r="D5204" t="s">
        <v>1586</v>
      </c>
      <c r="E5204">
        <v>61120</v>
      </c>
      <c r="F5204" t="s">
        <v>1586</v>
      </c>
      <c r="G5204">
        <v>611</v>
      </c>
      <c r="H5204" t="s">
        <v>105</v>
      </c>
      <c r="I5204">
        <v>6</v>
      </c>
      <c r="J5204" t="s">
        <v>101</v>
      </c>
    </row>
    <row r="5205" spans="1:10" x14ac:dyDescent="0.25">
      <c r="A5205" t="s">
        <v>150</v>
      </c>
      <c r="B5205">
        <f>22778.8319184914*(1/100/100)</f>
        <v>2.2778831918491402</v>
      </c>
      <c r="C5205">
        <v>60363</v>
      </c>
      <c r="D5205" t="s">
        <v>6502</v>
      </c>
      <c r="E5205">
        <v>61113</v>
      </c>
      <c r="F5205" t="s">
        <v>1580</v>
      </c>
      <c r="G5205">
        <v>611</v>
      </c>
      <c r="H5205" t="s">
        <v>105</v>
      </c>
      <c r="I5205">
        <v>6</v>
      </c>
      <c r="J5205" t="s">
        <v>101</v>
      </c>
    </row>
    <row r="5206" spans="1:10" x14ac:dyDescent="0.25">
      <c r="A5206" t="s">
        <v>150</v>
      </c>
      <c r="B5206">
        <f>125433.445237462*(1/100/100)</f>
        <v>12.543344523746201</v>
      </c>
      <c r="C5206">
        <v>60364</v>
      </c>
      <c r="D5206" t="s">
        <v>1584</v>
      </c>
      <c r="E5206">
        <v>61118</v>
      </c>
      <c r="F5206" t="s">
        <v>1584</v>
      </c>
      <c r="G5206">
        <v>611</v>
      </c>
      <c r="H5206" t="s">
        <v>105</v>
      </c>
      <c r="I5206">
        <v>6</v>
      </c>
      <c r="J5206" t="s">
        <v>101</v>
      </c>
    </row>
    <row r="5207" spans="1:10" x14ac:dyDescent="0.25">
      <c r="A5207" t="s">
        <v>150</v>
      </c>
      <c r="B5207">
        <f>182297.980606065*(1/100/100)</f>
        <v>18.229798060606498</v>
      </c>
      <c r="C5207">
        <v>60365</v>
      </c>
      <c r="D5207" t="s">
        <v>4431</v>
      </c>
      <c r="E5207">
        <v>61108</v>
      </c>
      <c r="F5207" t="s">
        <v>105</v>
      </c>
      <c r="G5207">
        <v>611</v>
      </c>
      <c r="H5207" t="s">
        <v>105</v>
      </c>
      <c r="I5207">
        <v>6</v>
      </c>
      <c r="J5207" t="s">
        <v>101</v>
      </c>
    </row>
    <row r="5208" spans="1:10" x14ac:dyDescent="0.25">
      <c r="A5208" t="s">
        <v>150</v>
      </c>
      <c r="B5208">
        <f>72265.6370287809*(1/100/100)</f>
        <v>7.2265637028780905</v>
      </c>
      <c r="C5208">
        <v>60366</v>
      </c>
      <c r="D5208" t="s">
        <v>4515</v>
      </c>
      <c r="E5208">
        <v>61119</v>
      </c>
      <c r="F5208" t="s">
        <v>1585</v>
      </c>
      <c r="G5208">
        <v>611</v>
      </c>
      <c r="H5208" t="s">
        <v>105</v>
      </c>
      <c r="I5208">
        <v>6</v>
      </c>
      <c r="J5208" t="s">
        <v>101</v>
      </c>
    </row>
    <row r="5209" spans="1:10" x14ac:dyDescent="0.25">
      <c r="A5209" t="s">
        <v>150</v>
      </c>
      <c r="B5209">
        <f>174275.271822209*(1/100/100)</f>
        <v>17.427527182220903</v>
      </c>
      <c r="C5209">
        <v>60401</v>
      </c>
      <c r="D5209" t="s">
        <v>6889</v>
      </c>
      <c r="E5209">
        <v>62142</v>
      </c>
      <c r="F5209" t="s">
        <v>1701</v>
      </c>
      <c r="G5209">
        <v>621</v>
      </c>
      <c r="H5209" t="s">
        <v>111</v>
      </c>
      <c r="I5209">
        <v>6</v>
      </c>
      <c r="J5209" t="s">
        <v>101</v>
      </c>
    </row>
    <row r="5210" spans="1:10" x14ac:dyDescent="0.25">
      <c r="A5210" t="s">
        <v>150</v>
      </c>
      <c r="B5210">
        <f>61218.858643166*(1/100/100)</f>
        <v>6.1218858643166003</v>
      </c>
      <c r="C5210">
        <v>60402</v>
      </c>
      <c r="D5210" t="s">
        <v>6890</v>
      </c>
      <c r="E5210">
        <v>62142</v>
      </c>
      <c r="F5210" t="s">
        <v>1701</v>
      </c>
      <c r="G5210">
        <v>621</v>
      </c>
      <c r="H5210" t="s">
        <v>111</v>
      </c>
      <c r="I5210">
        <v>6</v>
      </c>
      <c r="J5210" t="s">
        <v>101</v>
      </c>
    </row>
    <row r="5211" spans="1:10" x14ac:dyDescent="0.25">
      <c r="A5211" t="s">
        <v>150</v>
      </c>
      <c r="B5211">
        <f>143122.079203389*(1/100/100)</f>
        <v>14.312207920338901</v>
      </c>
      <c r="C5211">
        <v>60403</v>
      </c>
      <c r="D5211" t="s">
        <v>1701</v>
      </c>
      <c r="E5211">
        <v>62142</v>
      </c>
      <c r="F5211" t="s">
        <v>1701</v>
      </c>
      <c r="G5211">
        <v>621</v>
      </c>
      <c r="H5211" t="s">
        <v>111</v>
      </c>
      <c r="I5211">
        <v>6</v>
      </c>
      <c r="J5211" t="s">
        <v>101</v>
      </c>
    </row>
    <row r="5212" spans="1:10" x14ac:dyDescent="0.25">
      <c r="A5212" t="s">
        <v>150</v>
      </c>
      <c r="B5212">
        <f>125165.021682522*(1/100/100)</f>
        <v>12.516502168252201</v>
      </c>
      <c r="C5212">
        <v>60404</v>
      </c>
      <c r="D5212" t="s">
        <v>6891</v>
      </c>
      <c r="E5212">
        <v>62142</v>
      </c>
      <c r="F5212" t="s">
        <v>1701</v>
      </c>
      <c r="G5212">
        <v>621</v>
      </c>
      <c r="H5212" t="s">
        <v>111</v>
      </c>
      <c r="I5212">
        <v>6</v>
      </c>
      <c r="J5212" t="s">
        <v>101</v>
      </c>
    </row>
    <row r="5213" spans="1:10" x14ac:dyDescent="0.25">
      <c r="A5213" t="s">
        <v>150</v>
      </c>
      <c r="B5213">
        <f>17622.209017782*(1/100/100)</f>
        <v>1.7622209017782</v>
      </c>
      <c r="C5213">
        <v>60405</v>
      </c>
      <c r="D5213" t="s">
        <v>6892</v>
      </c>
      <c r="E5213">
        <v>62142</v>
      </c>
      <c r="F5213" t="s">
        <v>1701</v>
      </c>
      <c r="G5213">
        <v>621</v>
      </c>
      <c r="H5213" t="s">
        <v>111</v>
      </c>
      <c r="I5213">
        <v>6</v>
      </c>
      <c r="J5213" t="s">
        <v>101</v>
      </c>
    </row>
    <row r="5214" spans="1:10" x14ac:dyDescent="0.25">
      <c r="A5214" t="s">
        <v>150</v>
      </c>
      <c r="B5214">
        <f>48293.1770656628*(1/100/100)</f>
        <v>4.8293177065662798</v>
      </c>
      <c r="C5214">
        <v>60501</v>
      </c>
      <c r="D5214" t="s">
        <v>4723</v>
      </c>
      <c r="E5214">
        <v>62144</v>
      </c>
      <c r="F5214" t="s">
        <v>1703</v>
      </c>
      <c r="G5214">
        <v>621</v>
      </c>
      <c r="H5214" t="s">
        <v>111</v>
      </c>
      <c r="I5214">
        <v>6</v>
      </c>
      <c r="J5214" t="s">
        <v>101</v>
      </c>
    </row>
    <row r="5215" spans="1:10" x14ac:dyDescent="0.25">
      <c r="A5215" t="s">
        <v>150</v>
      </c>
      <c r="B5215">
        <f>20016.8597673109*(1/100/100)</f>
        <v>2.0016859767310899</v>
      </c>
      <c r="C5215">
        <v>60502</v>
      </c>
      <c r="D5215" t="s">
        <v>6893</v>
      </c>
      <c r="E5215">
        <v>62143</v>
      </c>
      <c r="F5215" t="s">
        <v>1702</v>
      </c>
      <c r="G5215">
        <v>621</v>
      </c>
      <c r="H5215" t="s">
        <v>111</v>
      </c>
      <c r="I5215">
        <v>6</v>
      </c>
      <c r="J5215" t="s">
        <v>101</v>
      </c>
    </row>
    <row r="5216" spans="1:10" x14ac:dyDescent="0.25">
      <c r="A5216" t="s">
        <v>150</v>
      </c>
      <c r="B5216">
        <f>9506.95310059419*(1/100/100)</f>
        <v>0.95069531005941899</v>
      </c>
      <c r="C5216">
        <v>60503</v>
      </c>
      <c r="D5216" t="s">
        <v>6894</v>
      </c>
      <c r="E5216">
        <v>62143</v>
      </c>
      <c r="F5216" t="s">
        <v>1702</v>
      </c>
      <c r="G5216">
        <v>621</v>
      </c>
      <c r="H5216" t="s">
        <v>111</v>
      </c>
      <c r="I5216">
        <v>6</v>
      </c>
      <c r="J5216" t="s">
        <v>101</v>
      </c>
    </row>
    <row r="5217" spans="1:10" x14ac:dyDescent="0.25">
      <c r="A5217" t="s">
        <v>150</v>
      </c>
      <c r="B5217">
        <f>23419.4649650429*(1/100/100)</f>
        <v>2.3419464965042898</v>
      </c>
      <c r="C5217">
        <v>60504</v>
      </c>
      <c r="D5217" t="s">
        <v>6837</v>
      </c>
      <c r="E5217">
        <v>62116</v>
      </c>
      <c r="F5217" t="s">
        <v>1691</v>
      </c>
      <c r="G5217">
        <v>621</v>
      </c>
      <c r="H5217" t="s">
        <v>111</v>
      </c>
      <c r="I5217">
        <v>6</v>
      </c>
      <c r="J5217" t="s">
        <v>101</v>
      </c>
    </row>
    <row r="5218" spans="1:10" x14ac:dyDescent="0.25">
      <c r="A5218" t="s">
        <v>150</v>
      </c>
      <c r="B5218">
        <f>11169.735890587*(1/100/100)</f>
        <v>1.1169735890587</v>
      </c>
      <c r="C5218">
        <v>60505</v>
      </c>
      <c r="D5218" t="s">
        <v>6896</v>
      </c>
      <c r="E5218">
        <v>62144</v>
      </c>
      <c r="F5218" t="s">
        <v>1703</v>
      </c>
      <c r="G5218">
        <v>621</v>
      </c>
      <c r="H5218" t="s">
        <v>111</v>
      </c>
      <c r="I5218">
        <v>6</v>
      </c>
      <c r="J5218" t="s">
        <v>101</v>
      </c>
    </row>
    <row r="5219" spans="1:10" x14ac:dyDescent="0.25">
      <c r="A5219" t="s">
        <v>150</v>
      </c>
      <c r="B5219">
        <f>17716.010471673*(1/100/100)</f>
        <v>1.7716010471672998</v>
      </c>
      <c r="C5219">
        <v>60506</v>
      </c>
      <c r="D5219" t="s">
        <v>6851</v>
      </c>
      <c r="E5219">
        <v>62131</v>
      </c>
      <c r="F5219" t="s">
        <v>1694</v>
      </c>
      <c r="G5219">
        <v>621</v>
      </c>
      <c r="H5219" t="s">
        <v>111</v>
      </c>
      <c r="I5219">
        <v>6</v>
      </c>
      <c r="J5219" t="s">
        <v>101</v>
      </c>
    </row>
    <row r="5220" spans="1:10" x14ac:dyDescent="0.25">
      <c r="A5220" t="s">
        <v>150</v>
      </c>
      <c r="B5220">
        <f>24579.2936061959*(1/100/100)</f>
        <v>2.4579293606195902</v>
      </c>
      <c r="C5220">
        <v>60507</v>
      </c>
      <c r="D5220" t="s">
        <v>5066</v>
      </c>
      <c r="E5220">
        <v>62143</v>
      </c>
      <c r="F5220" t="s">
        <v>1702</v>
      </c>
      <c r="G5220">
        <v>621</v>
      </c>
      <c r="H5220" t="s">
        <v>111</v>
      </c>
      <c r="I5220">
        <v>6</v>
      </c>
      <c r="J5220" t="s">
        <v>101</v>
      </c>
    </row>
    <row r="5221" spans="1:10" x14ac:dyDescent="0.25">
      <c r="A5221" t="s">
        <v>150</v>
      </c>
      <c r="B5221">
        <f>26540.9398607866*(1/100/100)</f>
        <v>2.6540939860786601</v>
      </c>
      <c r="C5221">
        <v>60508</v>
      </c>
      <c r="D5221" t="s">
        <v>6838</v>
      </c>
      <c r="E5221">
        <v>62116</v>
      </c>
      <c r="F5221" t="s">
        <v>1691</v>
      </c>
      <c r="G5221">
        <v>621</v>
      </c>
      <c r="H5221" t="s">
        <v>111</v>
      </c>
      <c r="I5221">
        <v>6</v>
      </c>
      <c r="J5221" t="s">
        <v>101</v>
      </c>
    </row>
    <row r="5222" spans="1:10" x14ac:dyDescent="0.25">
      <c r="A5222" t="s">
        <v>150</v>
      </c>
      <c r="B5222">
        <f>68021.1238039733*(1/100/100)</f>
        <v>6.8021123803973307</v>
      </c>
      <c r="C5222">
        <v>60509</v>
      </c>
      <c r="D5222" t="s">
        <v>6897</v>
      </c>
      <c r="E5222">
        <v>62144</v>
      </c>
      <c r="F5222" t="s">
        <v>1703</v>
      </c>
      <c r="G5222">
        <v>621</v>
      </c>
      <c r="H5222" t="s">
        <v>111</v>
      </c>
      <c r="I5222">
        <v>6</v>
      </c>
      <c r="J5222" t="s">
        <v>101</v>
      </c>
    </row>
    <row r="5223" spans="1:10" x14ac:dyDescent="0.25">
      <c r="A5223" t="s">
        <v>150</v>
      </c>
      <c r="B5223">
        <f>21544.5267193965*(1/100/100)</f>
        <v>2.1544526719396502</v>
      </c>
      <c r="C5223">
        <v>60510</v>
      </c>
      <c r="D5223" t="s">
        <v>6898</v>
      </c>
      <c r="E5223">
        <v>62144</v>
      </c>
      <c r="F5223" t="s">
        <v>1703</v>
      </c>
      <c r="G5223">
        <v>621</v>
      </c>
      <c r="H5223" t="s">
        <v>111</v>
      </c>
      <c r="I5223">
        <v>6</v>
      </c>
      <c r="J5223" t="s">
        <v>101</v>
      </c>
    </row>
    <row r="5224" spans="1:10" x14ac:dyDescent="0.25">
      <c r="A5224" t="s">
        <v>150</v>
      </c>
      <c r="B5224">
        <f>6293.29844348256*(1/100/100)</f>
        <v>0.62932984434825601</v>
      </c>
      <c r="C5224">
        <v>60511</v>
      </c>
      <c r="D5224" t="s">
        <v>1366</v>
      </c>
      <c r="E5224">
        <v>62143</v>
      </c>
      <c r="F5224" t="s">
        <v>1702</v>
      </c>
      <c r="G5224">
        <v>621</v>
      </c>
      <c r="H5224" t="s">
        <v>111</v>
      </c>
      <c r="I5224">
        <v>6</v>
      </c>
      <c r="J5224" t="s">
        <v>101</v>
      </c>
    </row>
    <row r="5225" spans="1:10" x14ac:dyDescent="0.25">
      <c r="A5225" t="s">
        <v>150</v>
      </c>
      <c r="B5225">
        <f>173398.916118242*(1/100/100)</f>
        <v>17.3398916118242</v>
      </c>
      <c r="C5225">
        <v>60512</v>
      </c>
      <c r="D5225" t="s">
        <v>1691</v>
      </c>
      <c r="E5225">
        <v>62116</v>
      </c>
      <c r="F5225" t="s">
        <v>1691</v>
      </c>
      <c r="G5225">
        <v>621</v>
      </c>
      <c r="H5225" t="s">
        <v>111</v>
      </c>
      <c r="I5225">
        <v>6</v>
      </c>
      <c r="J5225" t="s">
        <v>101</v>
      </c>
    </row>
    <row r="5226" spans="1:10" x14ac:dyDescent="0.25">
      <c r="A5226" t="s">
        <v>150</v>
      </c>
      <c r="B5226">
        <f>62965.4006027252*(1/100/100)</f>
        <v>6.2965400602725206</v>
      </c>
      <c r="C5226">
        <v>60513</v>
      </c>
      <c r="D5226" t="s">
        <v>6839</v>
      </c>
      <c r="E5226">
        <v>62116</v>
      </c>
      <c r="F5226" t="s">
        <v>1691</v>
      </c>
      <c r="G5226">
        <v>621</v>
      </c>
      <c r="H5226" t="s">
        <v>111</v>
      </c>
      <c r="I5226">
        <v>6</v>
      </c>
      <c r="J5226" t="s">
        <v>101</v>
      </c>
    </row>
    <row r="5227" spans="1:10" x14ac:dyDescent="0.25">
      <c r="A5227" t="s">
        <v>150</v>
      </c>
      <c r="B5227">
        <f>79121.7096425187*(1/100/100)</f>
        <v>7.9121709642518709</v>
      </c>
      <c r="C5227">
        <v>60514</v>
      </c>
      <c r="D5227" t="s">
        <v>6840</v>
      </c>
      <c r="E5227">
        <v>62116</v>
      </c>
      <c r="F5227" t="s">
        <v>1691</v>
      </c>
      <c r="G5227">
        <v>621</v>
      </c>
      <c r="H5227" t="s">
        <v>111</v>
      </c>
      <c r="I5227">
        <v>6</v>
      </c>
      <c r="J5227" t="s">
        <v>101</v>
      </c>
    </row>
    <row r="5228" spans="1:10" x14ac:dyDescent="0.25">
      <c r="A5228" t="s">
        <v>150</v>
      </c>
      <c r="B5228">
        <f>23020.8447699926*(1/100/100)</f>
        <v>2.3020844769992603</v>
      </c>
      <c r="C5228">
        <v>60515</v>
      </c>
      <c r="D5228" t="s">
        <v>3100</v>
      </c>
      <c r="E5228">
        <v>62116</v>
      </c>
      <c r="F5228" t="s">
        <v>1691</v>
      </c>
      <c r="G5228">
        <v>621</v>
      </c>
      <c r="H5228" t="s">
        <v>111</v>
      </c>
      <c r="I5228">
        <v>6</v>
      </c>
      <c r="J5228" t="s">
        <v>101</v>
      </c>
    </row>
    <row r="5229" spans="1:10" x14ac:dyDescent="0.25">
      <c r="A5229" t="s">
        <v>150</v>
      </c>
      <c r="B5229">
        <f>67095.6056440695*(1/100/100)</f>
        <v>6.7095605644069503</v>
      </c>
      <c r="C5229">
        <v>60516</v>
      </c>
      <c r="D5229" t="s">
        <v>6899</v>
      </c>
      <c r="E5229">
        <v>62144</v>
      </c>
      <c r="F5229" t="s">
        <v>1703</v>
      </c>
      <c r="G5229">
        <v>621</v>
      </c>
      <c r="H5229" t="s">
        <v>111</v>
      </c>
      <c r="I5229">
        <v>6</v>
      </c>
      <c r="J5229" t="s">
        <v>101</v>
      </c>
    </row>
    <row r="5230" spans="1:10" x14ac:dyDescent="0.25">
      <c r="A5230" t="s">
        <v>150</v>
      </c>
      <c r="B5230">
        <f>651968.783427508*(1/100/100)</f>
        <v>65.196878342750793</v>
      </c>
      <c r="C5230">
        <v>60517</v>
      </c>
      <c r="D5230" t="s">
        <v>1702</v>
      </c>
      <c r="E5230">
        <v>62143</v>
      </c>
      <c r="F5230" t="s">
        <v>1702</v>
      </c>
      <c r="G5230">
        <v>621</v>
      </c>
      <c r="H5230" t="s">
        <v>111</v>
      </c>
      <c r="I5230">
        <v>6</v>
      </c>
      <c r="J5230" t="s">
        <v>101</v>
      </c>
    </row>
    <row r="5231" spans="1:10" x14ac:dyDescent="0.25">
      <c r="A5231" t="s">
        <v>150</v>
      </c>
      <c r="B5231">
        <f>159762.45446822*(1/100/100)</f>
        <v>15.976245446822002</v>
      </c>
      <c r="C5231">
        <v>60518</v>
      </c>
      <c r="D5231" t="s">
        <v>2147</v>
      </c>
      <c r="E5231">
        <v>62144</v>
      </c>
      <c r="F5231" t="s">
        <v>1703</v>
      </c>
      <c r="G5231">
        <v>621</v>
      </c>
      <c r="H5231" t="s">
        <v>111</v>
      </c>
      <c r="I5231">
        <v>6</v>
      </c>
      <c r="J5231" t="s">
        <v>101</v>
      </c>
    </row>
    <row r="5232" spans="1:10" x14ac:dyDescent="0.25">
      <c r="A5232" t="s">
        <v>150</v>
      </c>
      <c r="B5232">
        <f>18150.54127803*(1/100/100)</f>
        <v>1.8150541278030001</v>
      </c>
      <c r="C5232">
        <v>60519</v>
      </c>
      <c r="D5232" t="s">
        <v>6841</v>
      </c>
      <c r="E5232">
        <v>62116</v>
      </c>
      <c r="F5232" t="s">
        <v>1691</v>
      </c>
      <c r="G5232">
        <v>621</v>
      </c>
      <c r="H5232" t="s">
        <v>111</v>
      </c>
      <c r="I5232">
        <v>6</v>
      </c>
      <c r="J5232" t="s">
        <v>101</v>
      </c>
    </row>
    <row r="5233" spans="1:10" x14ac:dyDescent="0.25">
      <c r="A5233" t="s">
        <v>150</v>
      </c>
      <c r="B5233">
        <f>15007.1173891651*(1/100/100)</f>
        <v>1.5007117389165101</v>
      </c>
      <c r="C5233">
        <v>60520</v>
      </c>
      <c r="D5233" t="s">
        <v>6895</v>
      </c>
      <c r="E5233">
        <v>62143</v>
      </c>
      <c r="F5233" t="s">
        <v>1702</v>
      </c>
      <c r="G5233">
        <v>621</v>
      </c>
      <c r="H5233" t="s">
        <v>111</v>
      </c>
      <c r="I5233">
        <v>6</v>
      </c>
      <c r="J5233" t="s">
        <v>101</v>
      </c>
    </row>
    <row r="5234" spans="1:10" x14ac:dyDescent="0.25">
      <c r="A5234" t="s">
        <v>150</v>
      </c>
      <c r="B5234">
        <f>7398.57377456694*(1/100/100)</f>
        <v>0.73985737745669411</v>
      </c>
      <c r="C5234">
        <v>60521</v>
      </c>
      <c r="D5234" t="s">
        <v>6852</v>
      </c>
      <c r="E5234">
        <v>62131</v>
      </c>
      <c r="F5234" t="s">
        <v>1694</v>
      </c>
      <c r="G5234">
        <v>621</v>
      </c>
      <c r="H5234" t="s">
        <v>111</v>
      </c>
      <c r="I5234">
        <v>6</v>
      </c>
      <c r="J5234" t="s">
        <v>101</v>
      </c>
    </row>
    <row r="5235" spans="1:10" x14ac:dyDescent="0.25">
      <c r="A5235" t="s">
        <v>150</v>
      </c>
      <c r="B5235">
        <f>113234.461158293*(1/100/100)</f>
        <v>11.3234461158293</v>
      </c>
      <c r="C5235">
        <v>60522</v>
      </c>
      <c r="D5235" t="s">
        <v>824</v>
      </c>
      <c r="E5235">
        <v>62131</v>
      </c>
      <c r="F5235" t="s">
        <v>1694</v>
      </c>
      <c r="G5235">
        <v>621</v>
      </c>
      <c r="H5235" t="s">
        <v>111</v>
      </c>
      <c r="I5235">
        <v>6</v>
      </c>
      <c r="J5235" t="s">
        <v>101</v>
      </c>
    </row>
    <row r="5236" spans="1:10" x14ac:dyDescent="0.25">
      <c r="A5236" t="s">
        <v>150</v>
      </c>
      <c r="B5236">
        <f>113583.040946016*(1/100/100)</f>
        <v>11.3583040946016</v>
      </c>
      <c r="C5236">
        <v>60523</v>
      </c>
      <c r="D5236" t="s">
        <v>1694</v>
      </c>
      <c r="E5236">
        <v>62131</v>
      </c>
      <c r="F5236" t="s">
        <v>1694</v>
      </c>
      <c r="G5236">
        <v>621</v>
      </c>
      <c r="H5236" t="s">
        <v>111</v>
      </c>
      <c r="I5236">
        <v>6</v>
      </c>
      <c r="J5236" t="s">
        <v>101</v>
      </c>
    </row>
    <row r="5237" spans="1:10" x14ac:dyDescent="0.25">
      <c r="A5237" t="s">
        <v>150</v>
      </c>
      <c r="B5237">
        <f>3949.24019403027*(1/100/100)</f>
        <v>0.39492401940302702</v>
      </c>
      <c r="C5237">
        <v>60524</v>
      </c>
      <c r="D5237" t="s">
        <v>6842</v>
      </c>
      <c r="E5237">
        <v>62116</v>
      </c>
      <c r="F5237" t="s">
        <v>1691</v>
      </c>
      <c r="G5237">
        <v>621</v>
      </c>
      <c r="H5237" t="s">
        <v>111</v>
      </c>
      <c r="I5237">
        <v>6</v>
      </c>
      <c r="J5237" t="s">
        <v>101</v>
      </c>
    </row>
    <row r="5238" spans="1:10" x14ac:dyDescent="0.25">
      <c r="A5238" t="s">
        <v>150</v>
      </c>
      <c r="B5238">
        <f>56310.3865824931*(1/100/100)</f>
        <v>5.6310386582493104</v>
      </c>
      <c r="C5238">
        <v>61001</v>
      </c>
      <c r="D5238" t="s">
        <v>6224</v>
      </c>
      <c r="E5238">
        <v>60349</v>
      </c>
      <c r="F5238" t="s">
        <v>6225</v>
      </c>
      <c r="G5238">
        <v>603</v>
      </c>
      <c r="H5238" t="s">
        <v>102</v>
      </c>
      <c r="I5238">
        <v>6</v>
      </c>
      <c r="J5238" t="s">
        <v>101</v>
      </c>
    </row>
    <row r="5239" spans="1:10" x14ac:dyDescent="0.25">
      <c r="A5239" t="s">
        <v>150</v>
      </c>
      <c r="B5239">
        <f>27637.8313318572*(1/100/100)</f>
        <v>2.7637831331857203</v>
      </c>
      <c r="C5239">
        <v>61002</v>
      </c>
      <c r="D5239" t="s">
        <v>3700</v>
      </c>
      <c r="E5239">
        <v>60347</v>
      </c>
      <c r="F5239" t="s">
        <v>1504</v>
      </c>
      <c r="G5239">
        <v>603</v>
      </c>
      <c r="H5239" t="s">
        <v>102</v>
      </c>
      <c r="I5239">
        <v>6</v>
      </c>
      <c r="J5239" t="s">
        <v>101</v>
      </c>
    </row>
    <row r="5240" spans="1:10" x14ac:dyDescent="0.25">
      <c r="A5240" t="s">
        <v>150</v>
      </c>
      <c r="B5240">
        <f>31215.9945680654*(1/100/100)</f>
        <v>3.1215994568065399</v>
      </c>
      <c r="C5240">
        <v>61003</v>
      </c>
      <c r="D5240" t="s">
        <v>4932</v>
      </c>
      <c r="E5240">
        <v>60344</v>
      </c>
      <c r="F5240" t="s">
        <v>102</v>
      </c>
      <c r="G5240">
        <v>603</v>
      </c>
      <c r="H5240" t="s">
        <v>102</v>
      </c>
      <c r="I5240">
        <v>6</v>
      </c>
      <c r="J5240" t="s">
        <v>101</v>
      </c>
    </row>
    <row r="5241" spans="1:10" x14ac:dyDescent="0.25">
      <c r="A5241" t="s">
        <v>150</v>
      </c>
      <c r="B5241">
        <f>30941.3772018614*(1/100/100)</f>
        <v>3.09413772018614</v>
      </c>
      <c r="C5241">
        <v>61004</v>
      </c>
      <c r="D5241" t="s">
        <v>6146</v>
      </c>
      <c r="E5241">
        <v>60344</v>
      </c>
      <c r="F5241" t="s">
        <v>102</v>
      </c>
      <c r="G5241">
        <v>603</v>
      </c>
      <c r="H5241" t="s">
        <v>102</v>
      </c>
      <c r="I5241">
        <v>6</v>
      </c>
      <c r="J5241" t="s">
        <v>101</v>
      </c>
    </row>
    <row r="5242" spans="1:10" x14ac:dyDescent="0.25">
      <c r="A5242" t="s">
        <v>150</v>
      </c>
      <c r="B5242">
        <f>50042.1466358352*(1/100/100)</f>
        <v>5.0042146635835199</v>
      </c>
      <c r="C5242">
        <v>61005</v>
      </c>
      <c r="D5242" t="s">
        <v>6147</v>
      </c>
      <c r="E5242">
        <v>60344</v>
      </c>
      <c r="F5242" t="s">
        <v>102</v>
      </c>
      <c r="G5242">
        <v>603</v>
      </c>
      <c r="H5242" t="s">
        <v>102</v>
      </c>
      <c r="I5242">
        <v>6</v>
      </c>
      <c r="J5242" t="s">
        <v>101</v>
      </c>
    </row>
    <row r="5243" spans="1:10" x14ac:dyDescent="0.25">
      <c r="A5243" t="s">
        <v>150</v>
      </c>
      <c r="B5243">
        <f>121889.507202096*(1/100/100)</f>
        <v>12.188950720209601</v>
      </c>
      <c r="C5243">
        <v>61006</v>
      </c>
      <c r="D5243" t="s">
        <v>102</v>
      </c>
      <c r="E5243">
        <v>60344</v>
      </c>
      <c r="F5243" t="s">
        <v>102</v>
      </c>
      <c r="G5243">
        <v>603</v>
      </c>
      <c r="H5243" t="s">
        <v>102</v>
      </c>
      <c r="I5243">
        <v>6</v>
      </c>
      <c r="J5243" t="s">
        <v>101</v>
      </c>
    </row>
    <row r="5244" spans="1:10" x14ac:dyDescent="0.25">
      <c r="A5244" t="s">
        <v>150</v>
      </c>
      <c r="B5244">
        <f>44914.8246959883*(1/100/100)</f>
        <v>4.4914824695988305</v>
      </c>
      <c r="C5244">
        <v>61008</v>
      </c>
      <c r="D5244" t="s">
        <v>6203</v>
      </c>
      <c r="E5244">
        <v>60347</v>
      </c>
      <c r="F5244" t="s">
        <v>1504</v>
      </c>
      <c r="G5244">
        <v>603</v>
      </c>
      <c r="H5244" t="s">
        <v>102</v>
      </c>
      <c r="I5244">
        <v>6</v>
      </c>
      <c r="J5244" t="s">
        <v>101</v>
      </c>
    </row>
    <row r="5245" spans="1:10" x14ac:dyDescent="0.25">
      <c r="A5245" t="s">
        <v>150</v>
      </c>
      <c r="B5245">
        <f>105109.299017139*(1/100/100)</f>
        <v>10.510929901713901</v>
      </c>
      <c r="C5245">
        <v>61009</v>
      </c>
      <c r="D5245" t="s">
        <v>6123</v>
      </c>
      <c r="E5245">
        <v>60305</v>
      </c>
      <c r="F5245" t="s">
        <v>1495</v>
      </c>
      <c r="G5245">
        <v>603</v>
      </c>
      <c r="H5245" t="s">
        <v>102</v>
      </c>
      <c r="I5245">
        <v>6</v>
      </c>
      <c r="J5245" t="s">
        <v>101</v>
      </c>
    </row>
    <row r="5246" spans="1:10" x14ac:dyDescent="0.25">
      <c r="A5246" t="s">
        <v>150</v>
      </c>
      <c r="B5246">
        <f>20043.0481035784*(1/100/100)</f>
        <v>2.0043048103578402</v>
      </c>
      <c r="C5246">
        <v>61010</v>
      </c>
      <c r="D5246" t="s">
        <v>6138</v>
      </c>
      <c r="E5246">
        <v>60329</v>
      </c>
      <c r="F5246" t="s">
        <v>1500</v>
      </c>
      <c r="G5246">
        <v>603</v>
      </c>
      <c r="H5246" t="s">
        <v>102</v>
      </c>
      <c r="I5246">
        <v>6</v>
      </c>
      <c r="J5246" t="s">
        <v>101</v>
      </c>
    </row>
    <row r="5247" spans="1:10" x14ac:dyDescent="0.25">
      <c r="A5247" t="s">
        <v>150</v>
      </c>
      <c r="B5247">
        <f>33258.8537675714*(1/100/100)</f>
        <v>3.3258853767571406</v>
      </c>
      <c r="C5247">
        <v>61011</v>
      </c>
      <c r="D5247" t="s">
        <v>6226</v>
      </c>
      <c r="E5247">
        <v>60349</v>
      </c>
      <c r="F5247" t="s">
        <v>6225</v>
      </c>
      <c r="G5247">
        <v>603</v>
      </c>
      <c r="H5247" t="s">
        <v>102</v>
      </c>
      <c r="I5247">
        <v>6</v>
      </c>
      <c r="J5247" t="s">
        <v>101</v>
      </c>
    </row>
    <row r="5248" spans="1:10" x14ac:dyDescent="0.25">
      <c r="A5248" t="s">
        <v>150</v>
      </c>
      <c r="B5248">
        <f>16251.7293460478*(1/100/100)</f>
        <v>1.6251729346047801</v>
      </c>
      <c r="C5248">
        <v>61012</v>
      </c>
      <c r="D5248" t="s">
        <v>6124</v>
      </c>
      <c r="E5248">
        <v>60305</v>
      </c>
      <c r="F5248" t="s">
        <v>1495</v>
      </c>
      <c r="G5248">
        <v>603</v>
      </c>
      <c r="H5248" t="s">
        <v>102</v>
      </c>
      <c r="I5248">
        <v>6</v>
      </c>
      <c r="J5248" t="s">
        <v>101</v>
      </c>
    </row>
    <row r="5249" spans="1:10" x14ac:dyDescent="0.25">
      <c r="A5249" t="s">
        <v>150</v>
      </c>
      <c r="B5249">
        <f>22897.838642287*(1/100/100)</f>
        <v>2.2897838642287001</v>
      </c>
      <c r="C5249">
        <v>61014</v>
      </c>
      <c r="D5249" t="s">
        <v>6204</v>
      </c>
      <c r="E5249">
        <v>60347</v>
      </c>
      <c r="F5249" t="s">
        <v>1504</v>
      </c>
      <c r="G5249">
        <v>603</v>
      </c>
      <c r="H5249" t="s">
        <v>102</v>
      </c>
      <c r="I5249">
        <v>6</v>
      </c>
      <c r="J5249" t="s">
        <v>101</v>
      </c>
    </row>
    <row r="5250" spans="1:10" x14ac:dyDescent="0.25">
      <c r="A5250" t="s">
        <v>150</v>
      </c>
      <c r="B5250">
        <f>57054.378190454*(1/100/100)</f>
        <v>5.7054378190454003</v>
      </c>
      <c r="C5250">
        <v>61015</v>
      </c>
      <c r="D5250" t="s">
        <v>6227</v>
      </c>
      <c r="E5250">
        <v>60349</v>
      </c>
      <c r="F5250" t="s">
        <v>6225</v>
      </c>
      <c r="G5250">
        <v>603</v>
      </c>
      <c r="H5250" t="s">
        <v>102</v>
      </c>
      <c r="I5250">
        <v>6</v>
      </c>
      <c r="J5250" t="s">
        <v>101</v>
      </c>
    </row>
    <row r="5251" spans="1:10" x14ac:dyDescent="0.25">
      <c r="A5251" t="s">
        <v>150</v>
      </c>
      <c r="B5251">
        <f>109036.128052676*(1/100/100)</f>
        <v>10.903612805267599</v>
      </c>
      <c r="C5251">
        <v>61016</v>
      </c>
      <c r="D5251" t="s">
        <v>6192</v>
      </c>
      <c r="E5251">
        <v>60346</v>
      </c>
      <c r="F5251" t="s">
        <v>1503</v>
      </c>
      <c r="G5251">
        <v>603</v>
      </c>
      <c r="H5251" t="s">
        <v>102</v>
      </c>
      <c r="I5251">
        <v>6</v>
      </c>
      <c r="J5251" t="s">
        <v>101</v>
      </c>
    </row>
    <row r="5252" spans="1:10" x14ac:dyDescent="0.25">
      <c r="A5252" t="s">
        <v>150</v>
      </c>
      <c r="B5252">
        <f>32513.751866736*(1/100/100)</f>
        <v>3.2513751866736</v>
      </c>
      <c r="C5252">
        <v>61017</v>
      </c>
      <c r="D5252" t="s">
        <v>3069</v>
      </c>
      <c r="E5252">
        <v>60346</v>
      </c>
      <c r="F5252" t="s">
        <v>1503</v>
      </c>
      <c r="G5252">
        <v>603</v>
      </c>
      <c r="H5252" t="s">
        <v>102</v>
      </c>
      <c r="I5252">
        <v>6</v>
      </c>
      <c r="J5252" t="s">
        <v>101</v>
      </c>
    </row>
    <row r="5253" spans="1:10" x14ac:dyDescent="0.25">
      <c r="A5253" t="s">
        <v>150</v>
      </c>
      <c r="B5253">
        <f>49296.7929797257*(1/100/100)</f>
        <v>4.9296792979725703</v>
      </c>
      <c r="C5253">
        <v>61018</v>
      </c>
      <c r="D5253" t="s">
        <v>4361</v>
      </c>
      <c r="E5253">
        <v>60346</v>
      </c>
      <c r="F5253" t="s">
        <v>1503</v>
      </c>
      <c r="G5253">
        <v>603</v>
      </c>
      <c r="H5253" t="s">
        <v>102</v>
      </c>
      <c r="I5253">
        <v>6</v>
      </c>
      <c r="J5253" t="s">
        <v>101</v>
      </c>
    </row>
    <row r="5254" spans="1:10" x14ac:dyDescent="0.25">
      <c r="A5254" t="s">
        <v>150</v>
      </c>
      <c r="B5254">
        <f>59929.2033722591*(1/100/100)</f>
        <v>5.9929203372259101</v>
      </c>
      <c r="C5254">
        <v>61019</v>
      </c>
      <c r="D5254" t="s">
        <v>6193</v>
      </c>
      <c r="E5254">
        <v>60346</v>
      </c>
      <c r="F5254" t="s">
        <v>1503</v>
      </c>
      <c r="G5254">
        <v>603</v>
      </c>
      <c r="H5254" t="s">
        <v>102</v>
      </c>
      <c r="I5254">
        <v>6</v>
      </c>
      <c r="J5254" t="s">
        <v>101</v>
      </c>
    </row>
    <row r="5255" spans="1:10" x14ac:dyDescent="0.25">
      <c r="A5255" t="s">
        <v>150</v>
      </c>
      <c r="B5255">
        <f>9857.3289817027*(1/100/100)</f>
        <v>0.98573289817026999</v>
      </c>
      <c r="C5255">
        <v>61020</v>
      </c>
      <c r="D5255" t="s">
        <v>6205</v>
      </c>
      <c r="E5255">
        <v>60347</v>
      </c>
      <c r="F5255" t="s">
        <v>1504</v>
      </c>
      <c r="G5255">
        <v>603</v>
      </c>
      <c r="H5255" t="s">
        <v>102</v>
      </c>
      <c r="I5255">
        <v>6</v>
      </c>
      <c r="J5255" t="s">
        <v>101</v>
      </c>
    </row>
    <row r="5256" spans="1:10" x14ac:dyDescent="0.25">
      <c r="A5256" t="s">
        <v>150</v>
      </c>
      <c r="B5256">
        <f>24415.0107280277*(1/100/100)</f>
        <v>2.4415010728027702</v>
      </c>
      <c r="C5256">
        <v>61021</v>
      </c>
      <c r="D5256" t="s">
        <v>6194</v>
      </c>
      <c r="E5256">
        <v>60346</v>
      </c>
      <c r="F5256" t="s">
        <v>1503</v>
      </c>
      <c r="G5256">
        <v>603</v>
      </c>
      <c r="H5256" t="s">
        <v>102</v>
      </c>
      <c r="I5256">
        <v>6</v>
      </c>
      <c r="J5256" t="s">
        <v>101</v>
      </c>
    </row>
    <row r="5257" spans="1:10" x14ac:dyDescent="0.25">
      <c r="A5257" t="s">
        <v>150</v>
      </c>
      <c r="B5257">
        <f>10389.7477098686*(1/100/100)</f>
        <v>1.03897477098686</v>
      </c>
      <c r="C5257">
        <v>61022</v>
      </c>
      <c r="D5257" t="s">
        <v>6148</v>
      </c>
      <c r="E5257">
        <v>60344</v>
      </c>
      <c r="F5257" t="s">
        <v>102</v>
      </c>
      <c r="G5257">
        <v>603</v>
      </c>
      <c r="H5257" t="s">
        <v>102</v>
      </c>
      <c r="I5257">
        <v>6</v>
      </c>
      <c r="J5257" t="s">
        <v>101</v>
      </c>
    </row>
    <row r="5258" spans="1:10" x14ac:dyDescent="0.25">
      <c r="A5258" t="s">
        <v>150</v>
      </c>
      <c r="B5258">
        <f>32984.3559810662*(1/100/100)</f>
        <v>3.2984355981066198</v>
      </c>
      <c r="C5258">
        <v>61023</v>
      </c>
      <c r="D5258" t="s">
        <v>6228</v>
      </c>
      <c r="E5258">
        <v>60349</v>
      </c>
      <c r="F5258" t="s">
        <v>6225</v>
      </c>
      <c r="G5258">
        <v>603</v>
      </c>
      <c r="H5258" t="s">
        <v>102</v>
      </c>
      <c r="I5258">
        <v>6</v>
      </c>
      <c r="J5258" t="s">
        <v>101</v>
      </c>
    </row>
    <row r="5259" spans="1:10" x14ac:dyDescent="0.25">
      <c r="A5259" t="s">
        <v>150</v>
      </c>
      <c r="B5259">
        <f>25135.6579902563*(1/100/100)</f>
        <v>2.5135657990256299</v>
      </c>
      <c r="C5259">
        <v>61024</v>
      </c>
      <c r="D5259" t="s">
        <v>6229</v>
      </c>
      <c r="E5259">
        <v>60349</v>
      </c>
      <c r="F5259" t="s">
        <v>6225</v>
      </c>
      <c r="G5259">
        <v>603</v>
      </c>
      <c r="H5259" t="s">
        <v>102</v>
      </c>
      <c r="I5259">
        <v>6</v>
      </c>
      <c r="J5259" t="s">
        <v>101</v>
      </c>
    </row>
    <row r="5260" spans="1:10" x14ac:dyDescent="0.25">
      <c r="A5260" t="s">
        <v>150</v>
      </c>
      <c r="B5260">
        <f>185948.210662434*(1/100/100)</f>
        <v>18.594821066243401</v>
      </c>
      <c r="C5260">
        <v>61025</v>
      </c>
      <c r="D5260" t="s">
        <v>6149</v>
      </c>
      <c r="E5260">
        <v>60344</v>
      </c>
      <c r="F5260" t="s">
        <v>102</v>
      </c>
      <c r="G5260">
        <v>603</v>
      </c>
      <c r="H5260" t="s">
        <v>102</v>
      </c>
      <c r="I5260">
        <v>6</v>
      </c>
      <c r="J5260" t="s">
        <v>101</v>
      </c>
    </row>
    <row r="5261" spans="1:10" x14ac:dyDescent="0.25">
      <c r="A5261" t="s">
        <v>150</v>
      </c>
      <c r="B5261">
        <f>27282.7922856877*(1/100/100)</f>
        <v>2.7282792285687703</v>
      </c>
      <c r="C5261">
        <v>61026</v>
      </c>
      <c r="D5261" t="s">
        <v>2566</v>
      </c>
      <c r="E5261">
        <v>60329</v>
      </c>
      <c r="F5261" t="s">
        <v>1500</v>
      </c>
      <c r="G5261">
        <v>603</v>
      </c>
      <c r="H5261" t="s">
        <v>102</v>
      </c>
      <c r="I5261">
        <v>6</v>
      </c>
      <c r="J5261" t="s">
        <v>101</v>
      </c>
    </row>
    <row r="5262" spans="1:10" x14ac:dyDescent="0.25">
      <c r="A5262" t="s">
        <v>150</v>
      </c>
      <c r="B5262">
        <f>25616.8369200587*(1/100/100)</f>
        <v>2.5616836920058703</v>
      </c>
      <c r="C5262">
        <v>61027</v>
      </c>
      <c r="D5262" t="s">
        <v>6150</v>
      </c>
      <c r="E5262">
        <v>60344</v>
      </c>
      <c r="F5262" t="s">
        <v>102</v>
      </c>
      <c r="G5262">
        <v>603</v>
      </c>
      <c r="H5262" t="s">
        <v>102</v>
      </c>
      <c r="I5262">
        <v>6</v>
      </c>
      <c r="J5262" t="s">
        <v>101</v>
      </c>
    </row>
    <row r="5263" spans="1:10" x14ac:dyDescent="0.25">
      <c r="A5263" t="s">
        <v>150</v>
      </c>
      <c r="B5263">
        <f>33595.6698804667*(1/100/100)</f>
        <v>3.3595669880466703</v>
      </c>
      <c r="C5263">
        <v>61028</v>
      </c>
      <c r="D5263" t="s">
        <v>6139</v>
      </c>
      <c r="E5263">
        <v>60329</v>
      </c>
      <c r="F5263" t="s">
        <v>1500</v>
      </c>
      <c r="G5263">
        <v>603</v>
      </c>
      <c r="H5263" t="s">
        <v>102</v>
      </c>
      <c r="I5263">
        <v>6</v>
      </c>
      <c r="J5263" t="s">
        <v>101</v>
      </c>
    </row>
    <row r="5264" spans="1:10" x14ac:dyDescent="0.25">
      <c r="A5264" t="s">
        <v>150</v>
      </c>
      <c r="B5264">
        <f>34967.6931344869*(1/100/100)</f>
        <v>3.4967693134486901</v>
      </c>
      <c r="C5264">
        <v>61029</v>
      </c>
      <c r="D5264" t="s">
        <v>6195</v>
      </c>
      <c r="E5264">
        <v>60346</v>
      </c>
      <c r="F5264" t="s">
        <v>1503</v>
      </c>
      <c r="G5264">
        <v>603</v>
      </c>
      <c r="H5264" t="s">
        <v>102</v>
      </c>
      <c r="I5264">
        <v>6</v>
      </c>
      <c r="J5264" t="s">
        <v>101</v>
      </c>
    </row>
    <row r="5265" spans="1:10" x14ac:dyDescent="0.25">
      <c r="A5265" t="s">
        <v>150</v>
      </c>
      <c r="B5265">
        <f>46556.3930462943*(1/100/100)</f>
        <v>4.6556393046294309</v>
      </c>
      <c r="C5265">
        <v>61030</v>
      </c>
      <c r="D5265" t="s">
        <v>6230</v>
      </c>
      <c r="E5265">
        <v>60349</v>
      </c>
      <c r="F5265" t="s">
        <v>6225</v>
      </c>
      <c r="G5265">
        <v>603</v>
      </c>
      <c r="H5265" t="s">
        <v>102</v>
      </c>
      <c r="I5265">
        <v>6</v>
      </c>
      <c r="J5265" t="s">
        <v>101</v>
      </c>
    </row>
    <row r="5266" spans="1:10" x14ac:dyDescent="0.25">
      <c r="A5266" t="s">
        <v>150</v>
      </c>
      <c r="B5266">
        <f>30922.5053072176*(1/100/100)</f>
        <v>3.0922505307217603</v>
      </c>
      <c r="C5266">
        <v>61031</v>
      </c>
      <c r="D5266" t="s">
        <v>2999</v>
      </c>
      <c r="E5266">
        <v>60346</v>
      </c>
      <c r="F5266" t="s">
        <v>1503</v>
      </c>
      <c r="G5266">
        <v>603</v>
      </c>
      <c r="H5266" t="s">
        <v>102</v>
      </c>
      <c r="I5266">
        <v>6</v>
      </c>
      <c r="J5266" t="s">
        <v>101</v>
      </c>
    </row>
    <row r="5267" spans="1:10" x14ac:dyDescent="0.25">
      <c r="A5267" t="s">
        <v>150</v>
      </c>
      <c r="B5267">
        <f>26010.6377326039*(1/100/100)</f>
        <v>2.6010637732603903</v>
      </c>
      <c r="C5267">
        <v>61032</v>
      </c>
      <c r="D5267" t="s">
        <v>6151</v>
      </c>
      <c r="E5267">
        <v>60344</v>
      </c>
      <c r="F5267" t="s">
        <v>102</v>
      </c>
      <c r="G5267">
        <v>603</v>
      </c>
      <c r="H5267" t="s">
        <v>102</v>
      </c>
      <c r="I5267">
        <v>6</v>
      </c>
      <c r="J5267" t="s">
        <v>101</v>
      </c>
    </row>
    <row r="5268" spans="1:10" x14ac:dyDescent="0.25">
      <c r="A5268" t="s">
        <v>150</v>
      </c>
      <c r="B5268">
        <f>31765.0811375079*(1/100/100)</f>
        <v>3.1765081137507902</v>
      </c>
      <c r="C5268">
        <v>61033</v>
      </c>
      <c r="D5268" t="s">
        <v>6141</v>
      </c>
      <c r="E5268">
        <v>60341</v>
      </c>
      <c r="F5268" t="s">
        <v>1501</v>
      </c>
      <c r="G5268">
        <v>603</v>
      </c>
      <c r="H5268" t="s">
        <v>102</v>
      </c>
      <c r="I5268">
        <v>6</v>
      </c>
      <c r="J5268" t="s">
        <v>101</v>
      </c>
    </row>
    <row r="5269" spans="1:10" x14ac:dyDescent="0.25">
      <c r="A5269" t="s">
        <v>150</v>
      </c>
      <c r="B5269">
        <f>106440.647285793*(1/100/100)</f>
        <v>10.644064728579302</v>
      </c>
      <c r="C5269">
        <v>61034</v>
      </c>
      <c r="D5269" t="s">
        <v>6125</v>
      </c>
      <c r="E5269">
        <v>60305</v>
      </c>
      <c r="F5269" t="s">
        <v>1495</v>
      </c>
      <c r="G5269">
        <v>603</v>
      </c>
      <c r="H5269" t="s">
        <v>102</v>
      </c>
      <c r="I5269">
        <v>6</v>
      </c>
      <c r="J5269" t="s">
        <v>101</v>
      </c>
    </row>
    <row r="5270" spans="1:10" x14ac:dyDescent="0.25">
      <c r="A5270" t="s">
        <v>150</v>
      </c>
      <c r="B5270">
        <f>39851.8744309672*(1/100/100)</f>
        <v>3.98518744309672</v>
      </c>
      <c r="C5270">
        <v>61035</v>
      </c>
      <c r="D5270" t="s">
        <v>5497</v>
      </c>
      <c r="E5270">
        <v>60346</v>
      </c>
      <c r="F5270" t="s">
        <v>1503</v>
      </c>
      <c r="G5270">
        <v>603</v>
      </c>
      <c r="H5270" t="s">
        <v>102</v>
      </c>
      <c r="I5270">
        <v>6</v>
      </c>
      <c r="J5270" t="s">
        <v>101</v>
      </c>
    </row>
    <row r="5271" spans="1:10" x14ac:dyDescent="0.25">
      <c r="A5271" t="s">
        <v>150</v>
      </c>
      <c r="B5271">
        <f>56406.5030187638*(1/100/100)</f>
        <v>5.6406503018763798</v>
      </c>
      <c r="C5271">
        <v>61036</v>
      </c>
      <c r="D5271" t="s">
        <v>6152</v>
      </c>
      <c r="E5271">
        <v>60344</v>
      </c>
      <c r="F5271" t="s">
        <v>102</v>
      </c>
      <c r="G5271">
        <v>603</v>
      </c>
      <c r="H5271" t="s">
        <v>102</v>
      </c>
      <c r="I5271">
        <v>6</v>
      </c>
      <c r="J5271" t="s">
        <v>101</v>
      </c>
    </row>
    <row r="5272" spans="1:10" x14ac:dyDescent="0.25">
      <c r="A5272" t="s">
        <v>150</v>
      </c>
      <c r="B5272">
        <f>66315.9479443281*(1/100/100)</f>
        <v>6.6315947944328109</v>
      </c>
      <c r="C5272">
        <v>61037</v>
      </c>
      <c r="D5272" t="s">
        <v>6231</v>
      </c>
      <c r="E5272">
        <v>60349</v>
      </c>
      <c r="F5272" t="s">
        <v>6225</v>
      </c>
      <c r="G5272">
        <v>603</v>
      </c>
      <c r="H5272" t="s">
        <v>102</v>
      </c>
      <c r="I5272">
        <v>6</v>
      </c>
      <c r="J5272" t="s">
        <v>101</v>
      </c>
    </row>
    <row r="5273" spans="1:10" x14ac:dyDescent="0.25">
      <c r="A5273" t="s">
        <v>150</v>
      </c>
      <c r="B5273">
        <f>37095.1102519895*(1/100/100)</f>
        <v>3.70951102519895</v>
      </c>
      <c r="C5273">
        <v>61038</v>
      </c>
      <c r="D5273" t="s">
        <v>6196</v>
      </c>
      <c r="E5273">
        <v>60346</v>
      </c>
      <c r="F5273" t="s">
        <v>1503</v>
      </c>
      <c r="G5273">
        <v>603</v>
      </c>
      <c r="H5273" t="s">
        <v>102</v>
      </c>
      <c r="I5273">
        <v>6</v>
      </c>
      <c r="J5273" t="s">
        <v>101</v>
      </c>
    </row>
    <row r="5274" spans="1:10" x14ac:dyDescent="0.25">
      <c r="A5274" t="s">
        <v>150</v>
      </c>
      <c r="B5274">
        <f>30206.1023895981*(1/100/100)</f>
        <v>3.0206102389598102</v>
      </c>
      <c r="C5274">
        <v>61039</v>
      </c>
      <c r="D5274" t="s">
        <v>6153</v>
      </c>
      <c r="E5274">
        <v>60344</v>
      </c>
      <c r="F5274" t="s">
        <v>102</v>
      </c>
      <c r="G5274">
        <v>603</v>
      </c>
      <c r="H5274" t="s">
        <v>102</v>
      </c>
      <c r="I5274">
        <v>6</v>
      </c>
      <c r="J5274" t="s">
        <v>101</v>
      </c>
    </row>
    <row r="5275" spans="1:10" x14ac:dyDescent="0.25">
      <c r="A5275" t="s">
        <v>150</v>
      </c>
      <c r="B5275">
        <f>36141.5264729299*(1/100/100)</f>
        <v>3.6141526472929901</v>
      </c>
      <c r="C5275">
        <v>61040</v>
      </c>
      <c r="D5275" t="s">
        <v>2690</v>
      </c>
      <c r="E5275">
        <v>60329</v>
      </c>
      <c r="F5275" t="s">
        <v>1500</v>
      </c>
      <c r="G5275">
        <v>603</v>
      </c>
      <c r="H5275" t="s">
        <v>102</v>
      </c>
      <c r="I5275">
        <v>6</v>
      </c>
      <c r="J5275" t="s">
        <v>101</v>
      </c>
    </row>
    <row r="5276" spans="1:10" x14ac:dyDescent="0.25">
      <c r="A5276" t="s">
        <v>150</v>
      </c>
      <c r="B5276">
        <f>12744.1615515916*(1/100/100)</f>
        <v>1.27441615515916</v>
      </c>
      <c r="C5276">
        <v>61041</v>
      </c>
      <c r="D5276" t="s">
        <v>6197</v>
      </c>
      <c r="E5276">
        <v>60346</v>
      </c>
      <c r="F5276" t="s">
        <v>1503</v>
      </c>
      <c r="G5276">
        <v>603</v>
      </c>
      <c r="H5276" t="s">
        <v>102</v>
      </c>
      <c r="I5276">
        <v>6</v>
      </c>
      <c r="J5276" t="s">
        <v>101</v>
      </c>
    </row>
    <row r="5277" spans="1:10" x14ac:dyDescent="0.25">
      <c r="A5277" t="s">
        <v>150</v>
      </c>
      <c r="B5277">
        <f>22691.9969823944*(1/100/100)</f>
        <v>2.26919969823944</v>
      </c>
      <c r="C5277">
        <v>61042</v>
      </c>
      <c r="D5277" t="s">
        <v>6198</v>
      </c>
      <c r="E5277">
        <v>60346</v>
      </c>
      <c r="F5277" t="s">
        <v>1503</v>
      </c>
      <c r="G5277">
        <v>603</v>
      </c>
      <c r="H5277" t="s">
        <v>102</v>
      </c>
      <c r="I5277">
        <v>6</v>
      </c>
      <c r="J5277" t="s">
        <v>101</v>
      </c>
    </row>
    <row r="5278" spans="1:10" x14ac:dyDescent="0.25">
      <c r="A5278" t="s">
        <v>150</v>
      </c>
      <c r="B5278">
        <f>31602.2726972431*(1/100/100)</f>
        <v>3.1602272697243103</v>
      </c>
      <c r="C5278">
        <v>61043</v>
      </c>
      <c r="D5278" t="s">
        <v>2147</v>
      </c>
      <c r="E5278">
        <v>60349</v>
      </c>
      <c r="F5278" t="s">
        <v>6225</v>
      </c>
      <c r="G5278">
        <v>603</v>
      </c>
      <c r="H5278" t="s">
        <v>102</v>
      </c>
      <c r="I5278">
        <v>6</v>
      </c>
      <c r="J5278" t="s">
        <v>101</v>
      </c>
    </row>
    <row r="5279" spans="1:10" x14ac:dyDescent="0.25">
      <c r="A5279" t="s">
        <v>150</v>
      </c>
      <c r="B5279">
        <f>13245.6159044746*(1/100/100)</f>
        <v>1.3245615904474601</v>
      </c>
      <c r="C5279">
        <v>61044</v>
      </c>
      <c r="D5279" t="s">
        <v>6232</v>
      </c>
      <c r="E5279">
        <v>60349</v>
      </c>
      <c r="F5279" t="s">
        <v>6225</v>
      </c>
      <c r="G5279">
        <v>603</v>
      </c>
      <c r="H5279" t="s">
        <v>102</v>
      </c>
      <c r="I5279">
        <v>6</v>
      </c>
      <c r="J5279" t="s">
        <v>101</v>
      </c>
    </row>
    <row r="5280" spans="1:10" x14ac:dyDescent="0.25">
      <c r="A5280" t="s">
        <v>150</v>
      </c>
      <c r="B5280">
        <f>23164.6220024804*(1/100/100)</f>
        <v>2.3164622002480399</v>
      </c>
      <c r="C5280">
        <v>61045</v>
      </c>
      <c r="D5280" t="s">
        <v>6154</v>
      </c>
      <c r="E5280">
        <v>60344</v>
      </c>
      <c r="F5280" t="s">
        <v>102</v>
      </c>
      <c r="G5280">
        <v>603</v>
      </c>
      <c r="H5280" t="s">
        <v>102</v>
      </c>
      <c r="I5280">
        <v>6</v>
      </c>
      <c r="J5280" t="s">
        <v>101</v>
      </c>
    </row>
    <row r="5281" spans="1:10" x14ac:dyDescent="0.25">
      <c r="A5281" t="s">
        <v>150</v>
      </c>
      <c r="B5281">
        <f>33429.7276532381*(1/100/100)</f>
        <v>3.3429727653238102</v>
      </c>
      <c r="C5281">
        <v>61046</v>
      </c>
      <c r="D5281" t="s">
        <v>2524</v>
      </c>
      <c r="E5281">
        <v>60344</v>
      </c>
      <c r="F5281" t="s">
        <v>102</v>
      </c>
      <c r="G5281">
        <v>603</v>
      </c>
      <c r="H5281" t="s">
        <v>102</v>
      </c>
      <c r="I5281">
        <v>6</v>
      </c>
      <c r="J5281" t="s">
        <v>101</v>
      </c>
    </row>
    <row r="5282" spans="1:10" x14ac:dyDescent="0.25">
      <c r="A5282" t="s">
        <v>150</v>
      </c>
      <c r="B5282">
        <f>30050.6817729093*(1/100/100)</f>
        <v>3.0050681772909305</v>
      </c>
      <c r="C5282">
        <v>61047</v>
      </c>
      <c r="D5282" t="s">
        <v>6206</v>
      </c>
      <c r="E5282">
        <v>60347</v>
      </c>
      <c r="F5282" t="s">
        <v>1504</v>
      </c>
      <c r="G5282">
        <v>603</v>
      </c>
      <c r="H5282" t="s">
        <v>102</v>
      </c>
      <c r="I5282">
        <v>6</v>
      </c>
      <c r="J5282" t="s">
        <v>101</v>
      </c>
    </row>
    <row r="5283" spans="1:10" x14ac:dyDescent="0.25">
      <c r="A5283" t="s">
        <v>150</v>
      </c>
      <c r="B5283">
        <f>45805.4260320042*(1/100/100)</f>
        <v>4.5805426032004206</v>
      </c>
      <c r="C5283">
        <v>61048</v>
      </c>
      <c r="D5283" t="s">
        <v>4600</v>
      </c>
      <c r="E5283">
        <v>60346</v>
      </c>
      <c r="F5283" t="s">
        <v>1503</v>
      </c>
      <c r="G5283">
        <v>603</v>
      </c>
      <c r="H5283" t="s">
        <v>102</v>
      </c>
      <c r="I5283">
        <v>6</v>
      </c>
      <c r="J5283" t="s">
        <v>101</v>
      </c>
    </row>
    <row r="5284" spans="1:10" x14ac:dyDescent="0.25">
      <c r="A5284" t="s">
        <v>150</v>
      </c>
      <c r="B5284">
        <f>165162.453477584*(1/100/100)</f>
        <v>16.516245347758399</v>
      </c>
      <c r="C5284">
        <v>61049</v>
      </c>
      <c r="D5284" t="s">
        <v>1498</v>
      </c>
      <c r="E5284">
        <v>60324</v>
      </c>
      <c r="F5284" t="s">
        <v>1498</v>
      </c>
      <c r="G5284">
        <v>603</v>
      </c>
      <c r="H5284" t="s">
        <v>102</v>
      </c>
      <c r="I5284">
        <v>6</v>
      </c>
      <c r="J5284" t="s">
        <v>101</v>
      </c>
    </row>
    <row r="5285" spans="1:10" x14ac:dyDescent="0.25">
      <c r="A5285" t="s">
        <v>150</v>
      </c>
      <c r="B5285">
        <f>14740.4332374982*(1/100/100)</f>
        <v>1.4740433237498201</v>
      </c>
      <c r="C5285">
        <v>61050</v>
      </c>
      <c r="D5285" t="s">
        <v>6207</v>
      </c>
      <c r="E5285">
        <v>60347</v>
      </c>
      <c r="F5285" t="s">
        <v>1504</v>
      </c>
      <c r="G5285">
        <v>603</v>
      </c>
      <c r="H5285" t="s">
        <v>102</v>
      </c>
      <c r="I5285">
        <v>6</v>
      </c>
      <c r="J5285" t="s">
        <v>101</v>
      </c>
    </row>
    <row r="5286" spans="1:10" x14ac:dyDescent="0.25">
      <c r="A5286" t="s">
        <v>150</v>
      </c>
      <c r="B5286">
        <f>33836.9449631397*(1/100/100)</f>
        <v>3.3836944963139701</v>
      </c>
      <c r="C5286">
        <v>61051</v>
      </c>
      <c r="D5286" t="s">
        <v>6233</v>
      </c>
      <c r="E5286">
        <v>60349</v>
      </c>
      <c r="F5286" t="s">
        <v>6225</v>
      </c>
      <c r="G5286">
        <v>603</v>
      </c>
      <c r="H5286" t="s">
        <v>102</v>
      </c>
      <c r="I5286">
        <v>6</v>
      </c>
      <c r="J5286" t="s">
        <v>101</v>
      </c>
    </row>
    <row r="5287" spans="1:10" x14ac:dyDescent="0.25">
      <c r="A5287" t="s">
        <v>150</v>
      </c>
      <c r="B5287">
        <f>20367.0223271673*(1/100/100)</f>
        <v>2.0367022327167299</v>
      </c>
      <c r="C5287">
        <v>61052</v>
      </c>
      <c r="D5287" t="s">
        <v>6155</v>
      </c>
      <c r="E5287">
        <v>60344</v>
      </c>
      <c r="F5287" t="s">
        <v>102</v>
      </c>
      <c r="G5287">
        <v>603</v>
      </c>
      <c r="H5287" t="s">
        <v>102</v>
      </c>
      <c r="I5287">
        <v>6</v>
      </c>
      <c r="J5287" t="s">
        <v>101</v>
      </c>
    </row>
    <row r="5288" spans="1:10" x14ac:dyDescent="0.25">
      <c r="A5288" t="s">
        <v>150</v>
      </c>
      <c r="B5288">
        <f>19162.9166309785*(1/100/100)</f>
        <v>1.9162916630978502</v>
      </c>
      <c r="C5288">
        <v>61053</v>
      </c>
      <c r="D5288" t="s">
        <v>6156</v>
      </c>
      <c r="E5288">
        <v>60344</v>
      </c>
      <c r="F5288" t="s">
        <v>102</v>
      </c>
      <c r="G5288">
        <v>603</v>
      </c>
      <c r="H5288" t="s">
        <v>102</v>
      </c>
      <c r="I5288">
        <v>6</v>
      </c>
      <c r="J5288" t="s">
        <v>101</v>
      </c>
    </row>
    <row r="5289" spans="1:10" x14ac:dyDescent="0.25">
      <c r="A5289" t="s">
        <v>150</v>
      </c>
      <c r="B5289">
        <f>43285.8951481656*(1/100/100)</f>
        <v>4.3285895148165601</v>
      </c>
      <c r="C5289">
        <v>61054</v>
      </c>
      <c r="D5289" t="s">
        <v>6140</v>
      </c>
      <c r="E5289">
        <v>60329</v>
      </c>
      <c r="F5289" t="s">
        <v>1500</v>
      </c>
      <c r="G5289">
        <v>603</v>
      </c>
      <c r="H5289" t="s">
        <v>102</v>
      </c>
      <c r="I5289">
        <v>6</v>
      </c>
      <c r="J5289" t="s">
        <v>101</v>
      </c>
    </row>
    <row r="5290" spans="1:10" x14ac:dyDescent="0.25">
      <c r="A5290" t="s">
        <v>150</v>
      </c>
      <c r="B5290">
        <f>93944.5379478309*(1/100/100)</f>
        <v>9.3944537947830913</v>
      </c>
      <c r="C5290">
        <v>61055</v>
      </c>
      <c r="D5290" t="s">
        <v>6126</v>
      </c>
      <c r="E5290">
        <v>60305</v>
      </c>
      <c r="F5290" t="s">
        <v>1495</v>
      </c>
      <c r="G5290">
        <v>603</v>
      </c>
      <c r="H5290" t="s">
        <v>102</v>
      </c>
      <c r="I5290">
        <v>6</v>
      </c>
      <c r="J5290" t="s">
        <v>101</v>
      </c>
    </row>
    <row r="5291" spans="1:10" x14ac:dyDescent="0.25">
      <c r="A5291" t="s">
        <v>150</v>
      </c>
      <c r="B5291">
        <f>44217.8563177541*(1/100/100)</f>
        <v>4.4217856317754105</v>
      </c>
      <c r="C5291">
        <v>61056</v>
      </c>
      <c r="D5291" t="s">
        <v>6142</v>
      </c>
      <c r="E5291">
        <v>60341</v>
      </c>
      <c r="F5291" t="s">
        <v>1501</v>
      </c>
      <c r="G5291">
        <v>603</v>
      </c>
      <c r="H5291" t="s">
        <v>102</v>
      </c>
      <c r="I5291">
        <v>6</v>
      </c>
      <c r="J5291" t="s">
        <v>101</v>
      </c>
    </row>
    <row r="5292" spans="1:10" x14ac:dyDescent="0.25">
      <c r="A5292" t="s">
        <v>150</v>
      </c>
      <c r="B5292">
        <f>149844.062206787*(1/100/100)</f>
        <v>14.9844062206787</v>
      </c>
      <c r="C5292">
        <v>61057</v>
      </c>
      <c r="D5292" t="s">
        <v>1506</v>
      </c>
      <c r="E5292">
        <v>60349</v>
      </c>
      <c r="F5292" t="s">
        <v>6225</v>
      </c>
      <c r="G5292">
        <v>603</v>
      </c>
      <c r="H5292" t="s">
        <v>102</v>
      </c>
      <c r="I5292">
        <v>6</v>
      </c>
      <c r="J5292" t="s">
        <v>101</v>
      </c>
    </row>
    <row r="5293" spans="1:10" x14ac:dyDescent="0.25">
      <c r="A5293" t="s">
        <v>150</v>
      </c>
      <c r="B5293">
        <f>60715.2736804713*(1/100/100)</f>
        <v>6.0715273680471302</v>
      </c>
      <c r="C5293">
        <v>61058</v>
      </c>
      <c r="D5293" t="s">
        <v>6208</v>
      </c>
      <c r="E5293">
        <v>60347</v>
      </c>
      <c r="F5293" t="s">
        <v>1504</v>
      </c>
      <c r="G5293">
        <v>603</v>
      </c>
      <c r="H5293" t="s">
        <v>102</v>
      </c>
      <c r="I5293">
        <v>6</v>
      </c>
      <c r="J5293" t="s">
        <v>101</v>
      </c>
    </row>
    <row r="5294" spans="1:10" x14ac:dyDescent="0.25">
      <c r="A5294" t="s">
        <v>150</v>
      </c>
      <c r="B5294">
        <f>32850.8653778476*(1/100/100)</f>
        <v>3.28508653778476</v>
      </c>
      <c r="C5294">
        <v>61059</v>
      </c>
      <c r="D5294" t="s">
        <v>2111</v>
      </c>
      <c r="E5294">
        <v>60344</v>
      </c>
      <c r="F5294" t="s">
        <v>102</v>
      </c>
      <c r="G5294">
        <v>603</v>
      </c>
      <c r="H5294" t="s">
        <v>102</v>
      </c>
      <c r="I5294">
        <v>6</v>
      </c>
      <c r="J5294" t="s">
        <v>101</v>
      </c>
    </row>
    <row r="5295" spans="1:10" x14ac:dyDescent="0.25">
      <c r="A5295" t="s">
        <v>150</v>
      </c>
      <c r="B5295">
        <f>47403.5179415694*(1/100/100)</f>
        <v>4.7403517941569406</v>
      </c>
      <c r="C5295">
        <v>61060</v>
      </c>
      <c r="D5295" t="s">
        <v>6199</v>
      </c>
      <c r="E5295">
        <v>60346</v>
      </c>
      <c r="F5295" t="s">
        <v>1503</v>
      </c>
      <c r="G5295">
        <v>603</v>
      </c>
      <c r="H5295" t="s">
        <v>102</v>
      </c>
      <c r="I5295">
        <v>6</v>
      </c>
      <c r="J5295" t="s">
        <v>101</v>
      </c>
    </row>
    <row r="5296" spans="1:10" x14ac:dyDescent="0.25">
      <c r="A5296" t="s">
        <v>150</v>
      </c>
      <c r="B5296">
        <f>29361.240772447*(1/100/100)</f>
        <v>2.9361240772446999</v>
      </c>
      <c r="C5296">
        <v>61061</v>
      </c>
      <c r="D5296" t="s">
        <v>6200</v>
      </c>
      <c r="E5296">
        <v>60346</v>
      </c>
      <c r="F5296" t="s">
        <v>1503</v>
      </c>
      <c r="G5296">
        <v>603</v>
      </c>
      <c r="H5296" t="s">
        <v>102</v>
      </c>
      <c r="I5296">
        <v>6</v>
      </c>
      <c r="J5296" t="s">
        <v>101</v>
      </c>
    </row>
    <row r="5297" spans="1:10" x14ac:dyDescent="0.25">
      <c r="A5297" t="s">
        <v>150</v>
      </c>
      <c r="B5297">
        <f>91317.7033712261*(1/100/100)</f>
        <v>9.1317703371226102</v>
      </c>
      <c r="C5297">
        <v>61062</v>
      </c>
      <c r="D5297" t="s">
        <v>6133</v>
      </c>
      <c r="E5297">
        <v>60324</v>
      </c>
      <c r="F5297" t="s">
        <v>1498</v>
      </c>
      <c r="G5297">
        <v>603</v>
      </c>
      <c r="H5297" t="s">
        <v>102</v>
      </c>
      <c r="I5297">
        <v>6</v>
      </c>
      <c r="J5297" t="s">
        <v>101</v>
      </c>
    </row>
    <row r="5298" spans="1:10" x14ac:dyDescent="0.25">
      <c r="A5298" t="s">
        <v>150</v>
      </c>
      <c r="B5298">
        <f>41762.1736629025*(1/100/100)</f>
        <v>4.1762173662902509</v>
      </c>
      <c r="C5298">
        <v>61063</v>
      </c>
      <c r="D5298" t="s">
        <v>6234</v>
      </c>
      <c r="E5298">
        <v>60349</v>
      </c>
      <c r="F5298" t="s">
        <v>6225</v>
      </c>
      <c r="G5298">
        <v>603</v>
      </c>
      <c r="H5298" t="s">
        <v>102</v>
      </c>
      <c r="I5298">
        <v>6</v>
      </c>
      <c r="J5298" t="s">
        <v>101</v>
      </c>
    </row>
    <row r="5299" spans="1:10" x14ac:dyDescent="0.25">
      <c r="A5299" t="s">
        <v>150</v>
      </c>
      <c r="B5299">
        <f>31972.3716036883*(1/100/100)</f>
        <v>3.1972371603688301</v>
      </c>
      <c r="C5299">
        <v>61064</v>
      </c>
      <c r="D5299" t="s">
        <v>6157</v>
      </c>
      <c r="E5299">
        <v>60344</v>
      </c>
      <c r="F5299" t="s">
        <v>102</v>
      </c>
      <c r="G5299">
        <v>603</v>
      </c>
      <c r="H5299" t="s">
        <v>102</v>
      </c>
      <c r="I5299">
        <v>6</v>
      </c>
      <c r="J5299" t="s">
        <v>101</v>
      </c>
    </row>
    <row r="5300" spans="1:10" x14ac:dyDescent="0.25">
      <c r="A5300" t="s">
        <v>150</v>
      </c>
      <c r="B5300">
        <f>37303.1727493236*(1/100/100)</f>
        <v>3.7303172749323603</v>
      </c>
      <c r="C5300">
        <v>61065</v>
      </c>
      <c r="D5300" t="s">
        <v>6201</v>
      </c>
      <c r="E5300">
        <v>60346</v>
      </c>
      <c r="F5300" t="s">
        <v>1503</v>
      </c>
      <c r="G5300">
        <v>603</v>
      </c>
      <c r="H5300" t="s">
        <v>102</v>
      </c>
      <c r="I5300">
        <v>6</v>
      </c>
      <c r="J5300" t="s">
        <v>101</v>
      </c>
    </row>
    <row r="5301" spans="1:10" x14ac:dyDescent="0.25">
      <c r="A5301" t="s">
        <v>150</v>
      </c>
      <c r="B5301">
        <f>258887.278354054*(1/100/100)</f>
        <v>25.888727835405401</v>
      </c>
      <c r="C5301">
        <v>61066</v>
      </c>
      <c r="D5301" t="s">
        <v>6158</v>
      </c>
      <c r="E5301">
        <v>60344</v>
      </c>
      <c r="F5301" t="s">
        <v>102</v>
      </c>
      <c r="G5301">
        <v>603</v>
      </c>
      <c r="H5301" t="s">
        <v>102</v>
      </c>
      <c r="I5301">
        <v>6</v>
      </c>
      <c r="J5301" t="s">
        <v>101</v>
      </c>
    </row>
    <row r="5302" spans="1:10" x14ac:dyDescent="0.25">
      <c r="A5302" t="s">
        <v>150</v>
      </c>
      <c r="B5302">
        <f>27933.1269375313*(1/100/100)</f>
        <v>2.7933126937531298</v>
      </c>
      <c r="C5302">
        <v>61067</v>
      </c>
      <c r="D5302" t="s">
        <v>6202</v>
      </c>
      <c r="E5302">
        <v>60346</v>
      </c>
      <c r="F5302" t="s">
        <v>1503</v>
      </c>
      <c r="G5302">
        <v>603</v>
      </c>
      <c r="H5302" t="s">
        <v>102</v>
      </c>
      <c r="I5302">
        <v>6</v>
      </c>
      <c r="J5302" t="s">
        <v>101</v>
      </c>
    </row>
    <row r="5303" spans="1:10" x14ac:dyDescent="0.25">
      <c r="A5303" t="s">
        <v>150</v>
      </c>
      <c r="B5303">
        <f>17087.32608613*(1/100/100)</f>
        <v>1.7087326086130001</v>
      </c>
      <c r="C5303">
        <v>61068</v>
      </c>
      <c r="D5303" t="s">
        <v>6159</v>
      </c>
      <c r="E5303">
        <v>60344</v>
      </c>
      <c r="F5303" t="s">
        <v>102</v>
      </c>
      <c r="G5303">
        <v>603</v>
      </c>
      <c r="H5303" t="s">
        <v>102</v>
      </c>
      <c r="I5303">
        <v>6</v>
      </c>
      <c r="J5303" t="s">
        <v>101</v>
      </c>
    </row>
    <row r="5304" spans="1:10" x14ac:dyDescent="0.25">
      <c r="A5304" t="s">
        <v>150</v>
      </c>
      <c r="B5304">
        <f>15001.059323721*(1/100/100)</f>
        <v>1.5001059323721</v>
      </c>
      <c r="C5304">
        <v>61069</v>
      </c>
      <c r="D5304" t="s">
        <v>6143</v>
      </c>
      <c r="E5304">
        <v>60341</v>
      </c>
      <c r="F5304" t="s">
        <v>1501</v>
      </c>
      <c r="G5304">
        <v>603</v>
      </c>
      <c r="H5304" t="s">
        <v>102</v>
      </c>
      <c r="I5304">
        <v>6</v>
      </c>
      <c r="J5304" t="s">
        <v>101</v>
      </c>
    </row>
    <row r="5305" spans="1:10" x14ac:dyDescent="0.25">
      <c r="A5305" t="s">
        <v>150</v>
      </c>
      <c r="B5305">
        <f>80131.9227313637*(1/100/100)</f>
        <v>8.0131922731363705</v>
      </c>
      <c r="C5305">
        <v>61070</v>
      </c>
      <c r="D5305" t="s">
        <v>1501</v>
      </c>
      <c r="E5305">
        <v>60341</v>
      </c>
      <c r="F5305" t="s">
        <v>1501</v>
      </c>
      <c r="G5305">
        <v>603</v>
      </c>
      <c r="H5305" t="s">
        <v>102</v>
      </c>
      <c r="I5305">
        <v>6</v>
      </c>
      <c r="J5305" t="s">
        <v>101</v>
      </c>
    </row>
    <row r="5306" spans="1:10" x14ac:dyDescent="0.25">
      <c r="A5306" t="s">
        <v>150</v>
      </c>
      <c r="B5306">
        <f>14671.4173474245*(1/100/100)</f>
        <v>1.46714173474245</v>
      </c>
      <c r="C5306">
        <v>61071</v>
      </c>
      <c r="D5306" t="s">
        <v>5987</v>
      </c>
      <c r="E5306">
        <v>60329</v>
      </c>
      <c r="F5306" t="s">
        <v>1500</v>
      </c>
      <c r="G5306">
        <v>603</v>
      </c>
      <c r="H5306" t="s">
        <v>102</v>
      </c>
      <c r="I5306">
        <v>6</v>
      </c>
      <c r="J5306" t="s">
        <v>101</v>
      </c>
    </row>
    <row r="5307" spans="1:10" x14ac:dyDescent="0.25">
      <c r="A5307" t="s">
        <v>150</v>
      </c>
      <c r="B5307">
        <f>12914.0369989575*(1/100/100)</f>
        <v>1.2914036998957499</v>
      </c>
      <c r="C5307">
        <v>61072</v>
      </c>
      <c r="D5307" t="s">
        <v>6160</v>
      </c>
      <c r="E5307">
        <v>60344</v>
      </c>
      <c r="F5307" t="s">
        <v>102</v>
      </c>
      <c r="G5307">
        <v>603</v>
      </c>
      <c r="H5307" t="s">
        <v>102</v>
      </c>
      <c r="I5307">
        <v>6</v>
      </c>
      <c r="J5307" t="s">
        <v>101</v>
      </c>
    </row>
    <row r="5308" spans="1:10" x14ac:dyDescent="0.25">
      <c r="A5308" t="s">
        <v>150</v>
      </c>
      <c r="B5308">
        <f>23746.5470232293*(1/100/100)</f>
        <v>2.3746547023229301</v>
      </c>
      <c r="C5308">
        <v>61073</v>
      </c>
      <c r="D5308" t="s">
        <v>6161</v>
      </c>
      <c r="E5308">
        <v>60344</v>
      </c>
      <c r="F5308" t="s">
        <v>102</v>
      </c>
      <c r="G5308">
        <v>603</v>
      </c>
      <c r="H5308" t="s">
        <v>102</v>
      </c>
      <c r="I5308">
        <v>6</v>
      </c>
      <c r="J5308" t="s">
        <v>101</v>
      </c>
    </row>
    <row r="5309" spans="1:10" x14ac:dyDescent="0.25">
      <c r="A5309" t="s">
        <v>150</v>
      </c>
      <c r="B5309">
        <f>38857.8891276041*(1/100/100)</f>
        <v>3.8857889127604106</v>
      </c>
      <c r="C5309">
        <v>61074</v>
      </c>
      <c r="D5309" t="s">
        <v>6144</v>
      </c>
      <c r="E5309">
        <v>60341</v>
      </c>
      <c r="F5309" t="s">
        <v>1501</v>
      </c>
      <c r="G5309">
        <v>603</v>
      </c>
      <c r="H5309" t="s">
        <v>102</v>
      </c>
      <c r="I5309">
        <v>6</v>
      </c>
      <c r="J5309" t="s">
        <v>101</v>
      </c>
    </row>
    <row r="5310" spans="1:10" x14ac:dyDescent="0.25">
      <c r="A5310" t="s">
        <v>150</v>
      </c>
      <c r="B5310">
        <f>29137.094325398*(1/100/100)</f>
        <v>2.9137094325398003</v>
      </c>
      <c r="C5310">
        <v>61075</v>
      </c>
      <c r="D5310" t="s">
        <v>6145</v>
      </c>
      <c r="E5310">
        <v>60341</v>
      </c>
      <c r="F5310" t="s">
        <v>1501</v>
      </c>
      <c r="G5310">
        <v>603</v>
      </c>
      <c r="H5310" t="s">
        <v>102</v>
      </c>
      <c r="I5310">
        <v>6</v>
      </c>
      <c r="J5310" t="s">
        <v>101</v>
      </c>
    </row>
    <row r="5311" spans="1:10" x14ac:dyDescent="0.25">
      <c r="A5311" t="s">
        <v>150</v>
      </c>
      <c r="B5311">
        <f>47904.4004529476*(1/100/100)</f>
        <v>4.7904400452947602</v>
      </c>
      <c r="C5311">
        <v>61076</v>
      </c>
      <c r="D5311" t="s">
        <v>6127</v>
      </c>
      <c r="E5311">
        <v>60305</v>
      </c>
      <c r="F5311" t="s">
        <v>1495</v>
      </c>
      <c r="G5311">
        <v>603</v>
      </c>
      <c r="H5311" t="s">
        <v>102</v>
      </c>
      <c r="I5311">
        <v>6</v>
      </c>
      <c r="J5311" t="s">
        <v>101</v>
      </c>
    </row>
    <row r="5312" spans="1:10" x14ac:dyDescent="0.25">
      <c r="A5312" t="s">
        <v>150</v>
      </c>
      <c r="B5312">
        <f>49419.3689321998*(1/100/100)</f>
        <v>4.9419368932199808</v>
      </c>
      <c r="C5312">
        <v>61077</v>
      </c>
      <c r="D5312" t="s">
        <v>6209</v>
      </c>
      <c r="E5312">
        <v>60347</v>
      </c>
      <c r="F5312" t="s">
        <v>1504</v>
      </c>
      <c r="G5312">
        <v>603</v>
      </c>
      <c r="H5312" t="s">
        <v>102</v>
      </c>
      <c r="I5312">
        <v>6</v>
      </c>
      <c r="J5312" t="s">
        <v>101</v>
      </c>
    </row>
    <row r="5313" spans="1:10" x14ac:dyDescent="0.25">
      <c r="A5313" t="s">
        <v>150</v>
      </c>
      <c r="B5313">
        <f>29488.2383529354*(1/100/100)</f>
        <v>2.9488238352935401</v>
      </c>
      <c r="C5313">
        <v>61078</v>
      </c>
      <c r="D5313" t="s">
        <v>6210</v>
      </c>
      <c r="E5313">
        <v>60347</v>
      </c>
      <c r="F5313" t="s">
        <v>1504</v>
      </c>
      <c r="G5313">
        <v>603</v>
      </c>
      <c r="H5313" t="s">
        <v>102</v>
      </c>
      <c r="I5313">
        <v>6</v>
      </c>
      <c r="J5313" t="s">
        <v>101</v>
      </c>
    </row>
    <row r="5314" spans="1:10" x14ac:dyDescent="0.25">
      <c r="A5314" t="s">
        <v>150</v>
      </c>
      <c r="B5314">
        <f>50068.9692277932*(1/100/100)</f>
        <v>5.0068969227793199</v>
      </c>
      <c r="C5314">
        <v>61079</v>
      </c>
      <c r="D5314" t="s">
        <v>6134</v>
      </c>
      <c r="E5314">
        <v>60324</v>
      </c>
      <c r="F5314" t="s">
        <v>1498</v>
      </c>
      <c r="G5314">
        <v>603</v>
      </c>
      <c r="H5314" t="s">
        <v>102</v>
      </c>
      <c r="I5314">
        <v>6</v>
      </c>
      <c r="J5314" t="s">
        <v>101</v>
      </c>
    </row>
    <row r="5315" spans="1:10" x14ac:dyDescent="0.25">
      <c r="A5315" t="s">
        <v>150</v>
      </c>
      <c r="B5315">
        <f>50865.1574493442*(1/100/100)</f>
        <v>5.0865157449344203</v>
      </c>
      <c r="C5315">
        <v>61101</v>
      </c>
      <c r="D5315" t="s">
        <v>6172</v>
      </c>
      <c r="E5315">
        <v>60345</v>
      </c>
      <c r="F5315" t="s">
        <v>1502</v>
      </c>
      <c r="G5315">
        <v>603</v>
      </c>
      <c r="H5315" t="s">
        <v>102</v>
      </c>
      <c r="I5315">
        <v>6</v>
      </c>
      <c r="J5315" t="s">
        <v>101</v>
      </c>
    </row>
    <row r="5316" spans="1:10" x14ac:dyDescent="0.25">
      <c r="A5316" t="s">
        <v>150</v>
      </c>
      <c r="B5316">
        <f>49688.890353404*(1/100/100)</f>
        <v>4.9688890353403998</v>
      </c>
      <c r="C5316">
        <v>61102</v>
      </c>
      <c r="D5316" t="s">
        <v>2840</v>
      </c>
      <c r="E5316">
        <v>60345</v>
      </c>
      <c r="F5316" t="s">
        <v>1502</v>
      </c>
      <c r="G5316">
        <v>603</v>
      </c>
      <c r="H5316" t="s">
        <v>102</v>
      </c>
      <c r="I5316">
        <v>6</v>
      </c>
      <c r="J5316" t="s">
        <v>101</v>
      </c>
    </row>
    <row r="5317" spans="1:10" x14ac:dyDescent="0.25">
      <c r="A5317" t="s">
        <v>150</v>
      </c>
      <c r="B5317">
        <f>91995.6023573991*(1/100/100)</f>
        <v>9.1995602357399093</v>
      </c>
      <c r="C5317">
        <v>61103</v>
      </c>
      <c r="D5317" t="s">
        <v>2535</v>
      </c>
      <c r="E5317">
        <v>60351</v>
      </c>
      <c r="F5317" t="s">
        <v>1508</v>
      </c>
      <c r="G5317">
        <v>603</v>
      </c>
      <c r="H5317" t="s">
        <v>102</v>
      </c>
      <c r="I5317">
        <v>6</v>
      </c>
      <c r="J5317" t="s">
        <v>101</v>
      </c>
    </row>
    <row r="5318" spans="1:10" x14ac:dyDescent="0.25">
      <c r="A5318" t="s">
        <v>150</v>
      </c>
      <c r="B5318">
        <f>24853.205703555*(1/100/100)</f>
        <v>2.4853205703554999</v>
      </c>
      <c r="C5318">
        <v>61104</v>
      </c>
      <c r="D5318" t="s">
        <v>6249</v>
      </c>
      <c r="E5318">
        <v>60351</v>
      </c>
      <c r="F5318" t="s">
        <v>1508</v>
      </c>
      <c r="G5318">
        <v>603</v>
      </c>
      <c r="H5318" t="s">
        <v>102</v>
      </c>
      <c r="I5318">
        <v>6</v>
      </c>
      <c r="J5318" t="s">
        <v>101</v>
      </c>
    </row>
    <row r="5319" spans="1:10" x14ac:dyDescent="0.25">
      <c r="A5319" t="s">
        <v>150</v>
      </c>
      <c r="B5319">
        <f>15108.8193831015*(1/100/100)</f>
        <v>1.5108819383101499</v>
      </c>
      <c r="C5319">
        <v>61105</v>
      </c>
      <c r="D5319" t="s">
        <v>6173</v>
      </c>
      <c r="E5319">
        <v>60345</v>
      </c>
      <c r="F5319" t="s">
        <v>1502</v>
      </c>
      <c r="G5319">
        <v>603</v>
      </c>
      <c r="H5319" t="s">
        <v>102</v>
      </c>
      <c r="I5319">
        <v>6</v>
      </c>
      <c r="J5319" t="s">
        <v>101</v>
      </c>
    </row>
    <row r="5320" spans="1:10" x14ac:dyDescent="0.25">
      <c r="A5320" t="s">
        <v>150</v>
      </c>
      <c r="B5320">
        <f>32278.7753918848*(1/100/100)</f>
        <v>3.22787753918848</v>
      </c>
      <c r="C5320">
        <v>61107</v>
      </c>
      <c r="D5320" t="s">
        <v>6174</v>
      </c>
      <c r="E5320">
        <v>60345</v>
      </c>
      <c r="F5320" t="s">
        <v>1502</v>
      </c>
      <c r="G5320">
        <v>603</v>
      </c>
      <c r="H5320" t="s">
        <v>102</v>
      </c>
      <c r="I5320">
        <v>6</v>
      </c>
      <c r="J5320" t="s">
        <v>101</v>
      </c>
    </row>
    <row r="5321" spans="1:10" x14ac:dyDescent="0.25">
      <c r="A5321" t="s">
        <v>150</v>
      </c>
      <c r="B5321">
        <f>94854.0865331628*(1/100/100)</f>
        <v>9.4854086533162807</v>
      </c>
      <c r="C5321">
        <v>61108</v>
      </c>
      <c r="D5321" t="s">
        <v>4026</v>
      </c>
      <c r="E5321">
        <v>60323</v>
      </c>
      <c r="F5321" t="s">
        <v>1497</v>
      </c>
      <c r="G5321">
        <v>603</v>
      </c>
      <c r="H5321" t="s">
        <v>102</v>
      </c>
      <c r="I5321">
        <v>6</v>
      </c>
      <c r="J5321" t="s">
        <v>101</v>
      </c>
    </row>
    <row r="5322" spans="1:10" x14ac:dyDescent="0.25">
      <c r="A5322" t="s">
        <v>150</v>
      </c>
      <c r="B5322">
        <f>15124.2676145451*(1/100/100)</f>
        <v>1.5124267614545102</v>
      </c>
      <c r="C5322">
        <v>61109</v>
      </c>
      <c r="D5322" t="s">
        <v>6250</v>
      </c>
      <c r="E5322">
        <v>60351</v>
      </c>
      <c r="F5322" t="s">
        <v>1508</v>
      </c>
      <c r="G5322">
        <v>603</v>
      </c>
      <c r="H5322" t="s">
        <v>102</v>
      </c>
      <c r="I5322">
        <v>6</v>
      </c>
      <c r="J5322" t="s">
        <v>101</v>
      </c>
    </row>
    <row r="5323" spans="1:10" x14ac:dyDescent="0.25">
      <c r="A5323" t="s">
        <v>150</v>
      </c>
      <c r="B5323">
        <f>15482.0564049552*(1/100/100)</f>
        <v>1.54820564049552</v>
      </c>
      <c r="C5323">
        <v>61110</v>
      </c>
      <c r="D5323" t="s">
        <v>6251</v>
      </c>
      <c r="E5323">
        <v>60351</v>
      </c>
      <c r="F5323" t="s">
        <v>1508</v>
      </c>
      <c r="G5323">
        <v>603</v>
      </c>
      <c r="H5323" t="s">
        <v>102</v>
      </c>
      <c r="I5323">
        <v>6</v>
      </c>
      <c r="J5323" t="s">
        <v>101</v>
      </c>
    </row>
    <row r="5324" spans="1:10" x14ac:dyDescent="0.25">
      <c r="A5324" t="s">
        <v>150</v>
      </c>
      <c r="B5324">
        <f>38052.089218352*(1/100/100)</f>
        <v>3.8052089218352001</v>
      </c>
      <c r="C5324">
        <v>61111</v>
      </c>
      <c r="D5324" t="s">
        <v>6175</v>
      </c>
      <c r="E5324">
        <v>60345</v>
      </c>
      <c r="F5324" t="s">
        <v>1502</v>
      </c>
      <c r="G5324">
        <v>603</v>
      </c>
      <c r="H5324" t="s">
        <v>102</v>
      </c>
      <c r="I5324">
        <v>6</v>
      </c>
      <c r="J5324" t="s">
        <v>101</v>
      </c>
    </row>
    <row r="5325" spans="1:10" x14ac:dyDescent="0.25">
      <c r="A5325" t="s">
        <v>150</v>
      </c>
      <c r="B5325">
        <f>167731.429033874*(1/100/100)</f>
        <v>16.773142903387402</v>
      </c>
      <c r="C5325">
        <v>61112</v>
      </c>
      <c r="D5325" t="s">
        <v>1502</v>
      </c>
      <c r="E5325">
        <v>60345</v>
      </c>
      <c r="F5325" t="s">
        <v>1502</v>
      </c>
      <c r="G5325">
        <v>603</v>
      </c>
      <c r="H5325" t="s">
        <v>102</v>
      </c>
      <c r="I5325">
        <v>6</v>
      </c>
      <c r="J5325" t="s">
        <v>101</v>
      </c>
    </row>
    <row r="5326" spans="1:10" x14ac:dyDescent="0.25">
      <c r="A5326" t="s">
        <v>150</v>
      </c>
      <c r="B5326">
        <f>23053.6882680983*(1/100/100)</f>
        <v>2.30536882680983</v>
      </c>
      <c r="C5326">
        <v>61113</v>
      </c>
      <c r="D5326" t="s">
        <v>6252</v>
      </c>
      <c r="E5326">
        <v>60351</v>
      </c>
      <c r="F5326" t="s">
        <v>1508</v>
      </c>
      <c r="G5326">
        <v>603</v>
      </c>
      <c r="H5326" t="s">
        <v>102</v>
      </c>
      <c r="I5326">
        <v>6</v>
      </c>
      <c r="J5326" t="s">
        <v>101</v>
      </c>
    </row>
    <row r="5327" spans="1:10" x14ac:dyDescent="0.25">
      <c r="A5327" t="s">
        <v>150</v>
      </c>
      <c r="B5327">
        <f>36719.8604089477*(1/100/100)</f>
        <v>3.6719860408947702</v>
      </c>
      <c r="C5327">
        <v>61114</v>
      </c>
      <c r="D5327" t="s">
        <v>6176</v>
      </c>
      <c r="E5327">
        <v>60345</v>
      </c>
      <c r="F5327" t="s">
        <v>1502</v>
      </c>
      <c r="G5327">
        <v>603</v>
      </c>
      <c r="H5327" t="s">
        <v>102</v>
      </c>
      <c r="I5327">
        <v>6</v>
      </c>
      <c r="J5327" t="s">
        <v>101</v>
      </c>
    </row>
    <row r="5328" spans="1:10" x14ac:dyDescent="0.25">
      <c r="A5328" t="s">
        <v>150</v>
      </c>
      <c r="B5328">
        <f>24149.6661918423*(1/100/100)</f>
        <v>2.4149666191842303</v>
      </c>
      <c r="C5328">
        <v>61115</v>
      </c>
      <c r="D5328" t="s">
        <v>6253</v>
      </c>
      <c r="E5328">
        <v>60351</v>
      </c>
      <c r="F5328" t="s">
        <v>1508</v>
      </c>
      <c r="G5328">
        <v>603</v>
      </c>
      <c r="H5328" t="s">
        <v>102</v>
      </c>
      <c r="I5328">
        <v>6</v>
      </c>
      <c r="J5328" t="s">
        <v>101</v>
      </c>
    </row>
    <row r="5329" spans="1:10" x14ac:dyDescent="0.25">
      <c r="A5329" t="s">
        <v>150</v>
      </c>
      <c r="B5329">
        <f>46584.2768990065*(1/100/100)</f>
        <v>4.65842768990065</v>
      </c>
      <c r="C5329">
        <v>61116</v>
      </c>
      <c r="D5329" t="s">
        <v>6211</v>
      </c>
      <c r="E5329">
        <v>60347</v>
      </c>
      <c r="F5329" t="s">
        <v>1504</v>
      </c>
      <c r="G5329">
        <v>603</v>
      </c>
      <c r="H5329" t="s">
        <v>102</v>
      </c>
      <c r="I5329">
        <v>6</v>
      </c>
      <c r="J5329" t="s">
        <v>101</v>
      </c>
    </row>
    <row r="5330" spans="1:10" x14ac:dyDescent="0.25">
      <c r="A5330" t="s">
        <v>150</v>
      </c>
      <c r="B5330">
        <f>29970.1528796518*(1/100/100)</f>
        <v>2.9970152879651799</v>
      </c>
      <c r="C5330">
        <v>61117</v>
      </c>
      <c r="D5330" t="s">
        <v>6177</v>
      </c>
      <c r="E5330">
        <v>60345</v>
      </c>
      <c r="F5330" t="s">
        <v>1502</v>
      </c>
      <c r="G5330">
        <v>603</v>
      </c>
      <c r="H5330" t="s">
        <v>102</v>
      </c>
      <c r="I5330">
        <v>6</v>
      </c>
      <c r="J5330" t="s">
        <v>101</v>
      </c>
    </row>
    <row r="5331" spans="1:10" x14ac:dyDescent="0.25">
      <c r="A5331" t="s">
        <v>150</v>
      </c>
      <c r="B5331">
        <f>41091.707561006*(1/100/100)</f>
        <v>4.1091707561005997</v>
      </c>
      <c r="C5331">
        <v>61118</v>
      </c>
      <c r="D5331" t="s">
        <v>3668</v>
      </c>
      <c r="E5331">
        <v>60345</v>
      </c>
      <c r="F5331" t="s">
        <v>1502</v>
      </c>
      <c r="G5331">
        <v>603</v>
      </c>
      <c r="H5331" t="s">
        <v>102</v>
      </c>
      <c r="I5331">
        <v>6</v>
      </c>
      <c r="J5331" t="s">
        <v>101</v>
      </c>
    </row>
    <row r="5332" spans="1:10" x14ac:dyDescent="0.25">
      <c r="A5332" t="s">
        <v>150</v>
      </c>
      <c r="B5332">
        <f>87810.9638532744*(1/100/100)</f>
        <v>8.7810963853274409</v>
      </c>
      <c r="C5332">
        <v>61119</v>
      </c>
      <c r="D5332" t="s">
        <v>6178</v>
      </c>
      <c r="E5332">
        <v>60345</v>
      </c>
      <c r="F5332" t="s">
        <v>1502</v>
      </c>
      <c r="G5332">
        <v>603</v>
      </c>
      <c r="H5332" t="s">
        <v>102</v>
      </c>
      <c r="I5332">
        <v>6</v>
      </c>
      <c r="J5332" t="s">
        <v>101</v>
      </c>
    </row>
    <row r="5333" spans="1:10" x14ac:dyDescent="0.25">
      <c r="A5333" t="s">
        <v>150</v>
      </c>
      <c r="B5333">
        <f>35793.5303841816*(1/100/100)</f>
        <v>3.57935303841816</v>
      </c>
      <c r="C5333">
        <v>61120</v>
      </c>
      <c r="D5333" t="s">
        <v>6131</v>
      </c>
      <c r="E5333">
        <v>60323</v>
      </c>
      <c r="F5333" t="s">
        <v>1497</v>
      </c>
      <c r="G5333">
        <v>603</v>
      </c>
      <c r="H5333" t="s">
        <v>102</v>
      </c>
      <c r="I5333">
        <v>6</v>
      </c>
      <c r="J5333" t="s">
        <v>101</v>
      </c>
    </row>
    <row r="5334" spans="1:10" x14ac:dyDescent="0.25">
      <c r="A5334" t="s">
        <v>150</v>
      </c>
      <c r="B5334">
        <f>10501.5038625474*(1/100/100)</f>
        <v>1.0501503862547401</v>
      </c>
      <c r="C5334">
        <v>61121</v>
      </c>
      <c r="D5334" t="s">
        <v>6179</v>
      </c>
      <c r="E5334">
        <v>60345</v>
      </c>
      <c r="F5334" t="s">
        <v>1502</v>
      </c>
      <c r="G5334">
        <v>603</v>
      </c>
      <c r="H5334" t="s">
        <v>102</v>
      </c>
      <c r="I5334">
        <v>6</v>
      </c>
      <c r="J5334" t="s">
        <v>101</v>
      </c>
    </row>
    <row r="5335" spans="1:10" x14ac:dyDescent="0.25">
      <c r="A5335" t="s">
        <v>150</v>
      </c>
      <c r="B5335">
        <f>21707.6609701961*(1/100/100)</f>
        <v>2.1707660970196101</v>
      </c>
      <c r="C5335">
        <v>61122</v>
      </c>
      <c r="D5335" t="s">
        <v>2225</v>
      </c>
      <c r="E5335">
        <v>60351</v>
      </c>
      <c r="F5335" t="s">
        <v>1508</v>
      </c>
      <c r="G5335">
        <v>603</v>
      </c>
      <c r="H5335" t="s">
        <v>102</v>
      </c>
      <c r="I5335">
        <v>6</v>
      </c>
      <c r="J5335" t="s">
        <v>101</v>
      </c>
    </row>
    <row r="5336" spans="1:10" x14ac:dyDescent="0.25">
      <c r="A5336" t="s">
        <v>150</v>
      </c>
      <c r="B5336">
        <f>33274.8073611564*(1/100/100)</f>
        <v>3.3274807361156404</v>
      </c>
      <c r="C5336">
        <v>61123</v>
      </c>
      <c r="D5336" t="s">
        <v>6212</v>
      </c>
      <c r="E5336">
        <v>60347</v>
      </c>
      <c r="F5336" t="s">
        <v>1504</v>
      </c>
      <c r="G5336">
        <v>603</v>
      </c>
      <c r="H5336" t="s">
        <v>102</v>
      </c>
      <c r="I5336">
        <v>6</v>
      </c>
      <c r="J5336" t="s">
        <v>101</v>
      </c>
    </row>
    <row r="5337" spans="1:10" x14ac:dyDescent="0.25">
      <c r="A5337" t="s">
        <v>150</v>
      </c>
      <c r="B5337">
        <f>7651.18567117976*(1/100/100)</f>
        <v>0.76511856711797599</v>
      </c>
      <c r="C5337">
        <v>61124</v>
      </c>
      <c r="D5337" t="s">
        <v>6180</v>
      </c>
      <c r="E5337">
        <v>60345</v>
      </c>
      <c r="F5337" t="s">
        <v>1502</v>
      </c>
      <c r="G5337">
        <v>603</v>
      </c>
      <c r="H5337" t="s">
        <v>102</v>
      </c>
      <c r="I5337">
        <v>6</v>
      </c>
      <c r="J5337" t="s">
        <v>101</v>
      </c>
    </row>
    <row r="5338" spans="1:10" x14ac:dyDescent="0.25">
      <c r="A5338" t="s">
        <v>150</v>
      </c>
      <c r="B5338">
        <f>27741.1142945909*(1/100/100)</f>
        <v>2.7741114294590901</v>
      </c>
      <c r="C5338">
        <v>61125</v>
      </c>
      <c r="D5338" t="s">
        <v>943</v>
      </c>
      <c r="E5338">
        <v>60345</v>
      </c>
      <c r="F5338" t="s">
        <v>1502</v>
      </c>
      <c r="G5338">
        <v>603</v>
      </c>
      <c r="H5338" t="s">
        <v>102</v>
      </c>
      <c r="I5338">
        <v>6</v>
      </c>
      <c r="J5338" t="s">
        <v>101</v>
      </c>
    </row>
    <row r="5339" spans="1:10" x14ac:dyDescent="0.25">
      <c r="A5339" t="s">
        <v>150</v>
      </c>
      <c r="B5339">
        <f>4791.1912964742*(1/100/100)</f>
        <v>0.47911912964741998</v>
      </c>
      <c r="C5339">
        <v>61126</v>
      </c>
      <c r="D5339" t="s">
        <v>6181</v>
      </c>
      <c r="E5339">
        <v>60345</v>
      </c>
      <c r="F5339" t="s">
        <v>1502</v>
      </c>
      <c r="G5339">
        <v>603</v>
      </c>
      <c r="H5339" t="s">
        <v>102</v>
      </c>
      <c r="I5339">
        <v>6</v>
      </c>
      <c r="J5339" t="s">
        <v>101</v>
      </c>
    </row>
    <row r="5340" spans="1:10" x14ac:dyDescent="0.25">
      <c r="A5340" t="s">
        <v>150</v>
      </c>
      <c r="B5340">
        <f>33153.2666337728*(1/100/100)</f>
        <v>3.3153266633772804</v>
      </c>
      <c r="C5340">
        <v>61127</v>
      </c>
      <c r="D5340" t="s">
        <v>2786</v>
      </c>
      <c r="E5340">
        <v>60351</v>
      </c>
      <c r="F5340" t="s">
        <v>1508</v>
      </c>
      <c r="G5340">
        <v>603</v>
      </c>
      <c r="H5340" t="s">
        <v>102</v>
      </c>
      <c r="I5340">
        <v>6</v>
      </c>
      <c r="J5340" t="s">
        <v>101</v>
      </c>
    </row>
    <row r="5341" spans="1:10" x14ac:dyDescent="0.25">
      <c r="A5341" t="s">
        <v>150</v>
      </c>
      <c r="B5341">
        <f>66855.2396217952*(1/100/100)</f>
        <v>6.6855239621795208</v>
      </c>
      <c r="C5341">
        <v>61128</v>
      </c>
      <c r="D5341" t="s">
        <v>6254</v>
      </c>
      <c r="E5341">
        <v>60351</v>
      </c>
      <c r="F5341" t="s">
        <v>1508</v>
      </c>
      <c r="G5341">
        <v>603</v>
      </c>
      <c r="H5341" t="s">
        <v>102</v>
      </c>
      <c r="I5341">
        <v>6</v>
      </c>
      <c r="J5341" t="s">
        <v>101</v>
      </c>
    </row>
    <row r="5342" spans="1:10" x14ac:dyDescent="0.25">
      <c r="A5342" t="s">
        <v>150</v>
      </c>
      <c r="B5342">
        <f>16668.6270096646*(1/100/100)</f>
        <v>1.6668627009664601</v>
      </c>
      <c r="C5342">
        <v>61129</v>
      </c>
      <c r="D5342" t="s">
        <v>6182</v>
      </c>
      <c r="E5342">
        <v>60345</v>
      </c>
      <c r="F5342" t="s">
        <v>1502</v>
      </c>
      <c r="G5342">
        <v>603</v>
      </c>
      <c r="H5342" t="s">
        <v>102</v>
      </c>
      <c r="I5342">
        <v>6</v>
      </c>
      <c r="J5342" t="s">
        <v>101</v>
      </c>
    </row>
    <row r="5343" spans="1:10" x14ac:dyDescent="0.25">
      <c r="A5343" t="s">
        <v>150</v>
      </c>
      <c r="B5343">
        <f>25237.4414182616*(1/100/100)</f>
        <v>2.5237441418261599</v>
      </c>
      <c r="C5343">
        <v>61131</v>
      </c>
      <c r="D5343" t="s">
        <v>6183</v>
      </c>
      <c r="E5343">
        <v>60345</v>
      </c>
      <c r="F5343" t="s">
        <v>1502</v>
      </c>
      <c r="G5343">
        <v>603</v>
      </c>
      <c r="H5343" t="s">
        <v>102</v>
      </c>
      <c r="I5343">
        <v>6</v>
      </c>
      <c r="J5343" t="s">
        <v>101</v>
      </c>
    </row>
    <row r="5344" spans="1:10" x14ac:dyDescent="0.25">
      <c r="A5344" t="s">
        <v>150</v>
      </c>
      <c r="B5344">
        <f>29588.2738648071*(1/100/100)</f>
        <v>2.95882738648071</v>
      </c>
      <c r="C5344">
        <v>61132</v>
      </c>
      <c r="D5344" t="s">
        <v>6184</v>
      </c>
      <c r="E5344">
        <v>60345</v>
      </c>
      <c r="F5344" t="s">
        <v>1502</v>
      </c>
      <c r="G5344">
        <v>603</v>
      </c>
      <c r="H5344" t="s">
        <v>102</v>
      </c>
      <c r="I5344">
        <v>6</v>
      </c>
      <c r="J5344" t="s">
        <v>101</v>
      </c>
    </row>
    <row r="5345" spans="1:10" x14ac:dyDescent="0.25">
      <c r="A5345" t="s">
        <v>150</v>
      </c>
      <c r="B5345">
        <f>17575.5346694491*(1/100/100)</f>
        <v>1.7575534669449102</v>
      </c>
      <c r="C5345">
        <v>61133</v>
      </c>
      <c r="D5345" t="s">
        <v>6213</v>
      </c>
      <c r="E5345">
        <v>60347</v>
      </c>
      <c r="F5345" t="s">
        <v>1504</v>
      </c>
      <c r="G5345">
        <v>603</v>
      </c>
      <c r="H5345" t="s">
        <v>102</v>
      </c>
      <c r="I5345">
        <v>6</v>
      </c>
      <c r="J5345" t="s">
        <v>101</v>
      </c>
    </row>
    <row r="5346" spans="1:10" x14ac:dyDescent="0.25">
      <c r="A5346" t="s">
        <v>150</v>
      </c>
      <c r="B5346">
        <f>33696.5238479736*(1/100/100)</f>
        <v>3.3696523847973601</v>
      </c>
      <c r="C5346">
        <v>61134</v>
      </c>
      <c r="D5346" t="s">
        <v>6132</v>
      </c>
      <c r="E5346">
        <v>60323</v>
      </c>
      <c r="F5346" t="s">
        <v>1497</v>
      </c>
      <c r="G5346">
        <v>603</v>
      </c>
      <c r="H5346" t="s">
        <v>102</v>
      </c>
      <c r="I5346">
        <v>6</v>
      </c>
      <c r="J5346" t="s">
        <v>101</v>
      </c>
    </row>
    <row r="5347" spans="1:10" x14ac:dyDescent="0.25">
      <c r="A5347" t="s">
        <v>150</v>
      </c>
      <c r="B5347">
        <f>15332.7143804625*(1/100/100)</f>
        <v>1.53327143804625</v>
      </c>
      <c r="C5347">
        <v>61135</v>
      </c>
      <c r="D5347" t="s">
        <v>6185</v>
      </c>
      <c r="E5347">
        <v>60345</v>
      </c>
      <c r="F5347" t="s">
        <v>1502</v>
      </c>
      <c r="G5347">
        <v>603</v>
      </c>
      <c r="H5347" t="s">
        <v>102</v>
      </c>
      <c r="I5347">
        <v>6</v>
      </c>
      <c r="J5347" t="s">
        <v>101</v>
      </c>
    </row>
    <row r="5348" spans="1:10" x14ac:dyDescent="0.25">
      <c r="A5348" t="s">
        <v>150</v>
      </c>
      <c r="B5348">
        <f>22689.9781217563*(1/100/100)</f>
        <v>2.26899781217563</v>
      </c>
      <c r="C5348">
        <v>61136</v>
      </c>
      <c r="D5348" t="s">
        <v>6255</v>
      </c>
      <c r="E5348">
        <v>60351</v>
      </c>
      <c r="F5348" t="s">
        <v>1508</v>
      </c>
      <c r="G5348">
        <v>603</v>
      </c>
      <c r="H5348" t="s">
        <v>102</v>
      </c>
      <c r="I5348">
        <v>6</v>
      </c>
      <c r="J5348" t="s">
        <v>101</v>
      </c>
    </row>
    <row r="5349" spans="1:10" x14ac:dyDescent="0.25">
      <c r="A5349" t="s">
        <v>150</v>
      </c>
      <c r="B5349">
        <f>6225.38029073179*(1/100/100)</f>
        <v>0.62253802907317912</v>
      </c>
      <c r="C5349">
        <v>61137</v>
      </c>
      <c r="D5349" t="s">
        <v>6186</v>
      </c>
      <c r="E5349">
        <v>60345</v>
      </c>
      <c r="F5349" t="s">
        <v>1502</v>
      </c>
      <c r="G5349">
        <v>603</v>
      </c>
      <c r="H5349" t="s">
        <v>102</v>
      </c>
      <c r="I5349">
        <v>6</v>
      </c>
      <c r="J5349" t="s">
        <v>101</v>
      </c>
    </row>
    <row r="5350" spans="1:10" x14ac:dyDescent="0.25">
      <c r="A5350" t="s">
        <v>150</v>
      </c>
      <c r="B5350">
        <f>3685.46983870691*(1/100/100)</f>
        <v>0.36854698387069101</v>
      </c>
      <c r="C5350">
        <v>61138</v>
      </c>
      <c r="D5350" t="s">
        <v>2438</v>
      </c>
      <c r="E5350">
        <v>60345</v>
      </c>
      <c r="F5350" t="s">
        <v>1502</v>
      </c>
      <c r="G5350">
        <v>603</v>
      </c>
      <c r="H5350" t="s">
        <v>102</v>
      </c>
      <c r="I5350">
        <v>6</v>
      </c>
      <c r="J5350" t="s">
        <v>101</v>
      </c>
    </row>
    <row r="5351" spans="1:10" x14ac:dyDescent="0.25">
      <c r="A5351" t="s">
        <v>150</v>
      </c>
      <c r="B5351">
        <f>41330.0773629508*(1/100/100)</f>
        <v>4.1330077362950801</v>
      </c>
      <c r="C5351">
        <v>61139</v>
      </c>
      <c r="D5351" t="s">
        <v>2897</v>
      </c>
      <c r="E5351">
        <v>60345</v>
      </c>
      <c r="F5351" t="s">
        <v>1502</v>
      </c>
      <c r="G5351">
        <v>603</v>
      </c>
      <c r="H5351" t="s">
        <v>102</v>
      </c>
      <c r="I5351">
        <v>6</v>
      </c>
      <c r="J5351" t="s">
        <v>101</v>
      </c>
    </row>
    <row r="5352" spans="1:10" x14ac:dyDescent="0.25">
      <c r="A5352" t="s">
        <v>150</v>
      </c>
      <c r="B5352">
        <f>53155.1362628722*(1/100/100)</f>
        <v>5.3155136262872205</v>
      </c>
      <c r="C5352">
        <v>61140</v>
      </c>
      <c r="D5352" t="s">
        <v>6187</v>
      </c>
      <c r="E5352">
        <v>60345</v>
      </c>
      <c r="F5352" t="s">
        <v>1502</v>
      </c>
      <c r="G5352">
        <v>603</v>
      </c>
      <c r="H5352" t="s">
        <v>102</v>
      </c>
      <c r="I5352">
        <v>6</v>
      </c>
      <c r="J5352" t="s">
        <v>101</v>
      </c>
    </row>
    <row r="5353" spans="1:10" x14ac:dyDescent="0.25">
      <c r="A5353" t="s">
        <v>150</v>
      </c>
      <c r="B5353">
        <f>35090.1687722616*(1/100/100)</f>
        <v>3.5090168772261601</v>
      </c>
      <c r="C5353">
        <v>61141</v>
      </c>
      <c r="D5353" t="s">
        <v>6188</v>
      </c>
      <c r="E5353">
        <v>60345</v>
      </c>
      <c r="F5353" t="s">
        <v>1502</v>
      </c>
      <c r="G5353">
        <v>603</v>
      </c>
      <c r="H5353" t="s">
        <v>102</v>
      </c>
      <c r="I5353">
        <v>6</v>
      </c>
      <c r="J5353" t="s">
        <v>101</v>
      </c>
    </row>
    <row r="5354" spans="1:10" x14ac:dyDescent="0.25">
      <c r="A5354" t="s">
        <v>150</v>
      </c>
      <c r="B5354">
        <f>15863.8778611046*(1/100/100)</f>
        <v>1.5863877861104601</v>
      </c>
      <c r="C5354">
        <v>61142</v>
      </c>
      <c r="D5354" t="s">
        <v>6189</v>
      </c>
      <c r="E5354">
        <v>60345</v>
      </c>
      <c r="F5354" t="s">
        <v>1502</v>
      </c>
      <c r="G5354">
        <v>603</v>
      </c>
      <c r="H5354" t="s">
        <v>102</v>
      </c>
      <c r="I5354">
        <v>6</v>
      </c>
      <c r="J5354" t="s">
        <v>101</v>
      </c>
    </row>
    <row r="5355" spans="1:10" x14ac:dyDescent="0.25">
      <c r="A5355" t="s">
        <v>150</v>
      </c>
      <c r="B5355">
        <f>16518.5839396374*(1/100/100)</f>
        <v>1.6518583939637401</v>
      </c>
      <c r="C5355">
        <v>61143</v>
      </c>
      <c r="D5355" t="s">
        <v>6190</v>
      </c>
      <c r="E5355">
        <v>60345</v>
      </c>
      <c r="F5355" t="s">
        <v>1502</v>
      </c>
      <c r="G5355">
        <v>603</v>
      </c>
      <c r="H5355" t="s">
        <v>102</v>
      </c>
      <c r="I5355">
        <v>6</v>
      </c>
      <c r="J5355" t="s">
        <v>101</v>
      </c>
    </row>
    <row r="5356" spans="1:10" x14ac:dyDescent="0.25">
      <c r="A5356" t="s">
        <v>150</v>
      </c>
      <c r="B5356">
        <f>36127.3398375316*(1/100/100)</f>
        <v>3.6127339837531602</v>
      </c>
      <c r="C5356">
        <v>61144</v>
      </c>
      <c r="D5356" t="s">
        <v>6214</v>
      </c>
      <c r="E5356">
        <v>60347</v>
      </c>
      <c r="F5356" t="s">
        <v>1504</v>
      </c>
      <c r="G5356">
        <v>603</v>
      </c>
      <c r="H5356" t="s">
        <v>102</v>
      </c>
      <c r="I5356">
        <v>6</v>
      </c>
      <c r="J5356" t="s">
        <v>101</v>
      </c>
    </row>
    <row r="5357" spans="1:10" x14ac:dyDescent="0.25">
      <c r="A5357" t="s">
        <v>150</v>
      </c>
      <c r="B5357">
        <f>66691.6230949769*(1/100/100)</f>
        <v>6.6691623094976897</v>
      </c>
      <c r="C5357">
        <v>61145</v>
      </c>
      <c r="D5357" t="s">
        <v>6256</v>
      </c>
      <c r="E5357">
        <v>60351</v>
      </c>
      <c r="F5357" t="s">
        <v>1508</v>
      </c>
      <c r="G5357">
        <v>603</v>
      </c>
      <c r="H5357" t="s">
        <v>102</v>
      </c>
      <c r="I5357">
        <v>6</v>
      </c>
      <c r="J5357" t="s">
        <v>101</v>
      </c>
    </row>
    <row r="5358" spans="1:10" x14ac:dyDescent="0.25">
      <c r="A5358" t="s">
        <v>150</v>
      </c>
      <c r="B5358">
        <f>58738.6978287083*(1/100/100)</f>
        <v>5.8738697828708295</v>
      </c>
      <c r="C5358">
        <v>61146</v>
      </c>
      <c r="D5358" t="s">
        <v>6257</v>
      </c>
      <c r="E5358">
        <v>60351</v>
      </c>
      <c r="F5358" t="s">
        <v>1508</v>
      </c>
      <c r="G5358">
        <v>603</v>
      </c>
      <c r="H5358" t="s">
        <v>102</v>
      </c>
      <c r="I5358">
        <v>6</v>
      </c>
      <c r="J5358" t="s">
        <v>101</v>
      </c>
    </row>
    <row r="5359" spans="1:10" x14ac:dyDescent="0.25">
      <c r="A5359" t="s">
        <v>150</v>
      </c>
      <c r="B5359">
        <f>69930.7505204363*(1/100/100)</f>
        <v>6.99307505204363</v>
      </c>
      <c r="C5359">
        <v>61147</v>
      </c>
      <c r="D5359" t="s">
        <v>4450</v>
      </c>
      <c r="E5359">
        <v>60351</v>
      </c>
      <c r="F5359" t="s">
        <v>1508</v>
      </c>
      <c r="G5359">
        <v>603</v>
      </c>
      <c r="H5359" t="s">
        <v>102</v>
      </c>
      <c r="I5359">
        <v>6</v>
      </c>
      <c r="J5359" t="s">
        <v>101</v>
      </c>
    </row>
    <row r="5360" spans="1:10" x14ac:dyDescent="0.25">
      <c r="A5360" t="s">
        <v>150</v>
      </c>
      <c r="B5360">
        <f>10060.4568179499*(1/100/100)</f>
        <v>1.0060456817949901</v>
      </c>
      <c r="C5360">
        <v>61148</v>
      </c>
      <c r="D5360" t="s">
        <v>6258</v>
      </c>
      <c r="E5360">
        <v>60351</v>
      </c>
      <c r="F5360" t="s">
        <v>1508</v>
      </c>
      <c r="G5360">
        <v>603</v>
      </c>
      <c r="H5360" t="s">
        <v>102</v>
      </c>
      <c r="I5360">
        <v>6</v>
      </c>
      <c r="J5360" t="s">
        <v>101</v>
      </c>
    </row>
    <row r="5361" spans="1:10" x14ac:dyDescent="0.25">
      <c r="A5361" t="s">
        <v>150</v>
      </c>
      <c r="B5361">
        <f>16332.3819359648*(1/100/100)</f>
        <v>1.6332381935964801</v>
      </c>
      <c r="C5361">
        <v>61149</v>
      </c>
      <c r="D5361" t="s">
        <v>6259</v>
      </c>
      <c r="E5361">
        <v>60351</v>
      </c>
      <c r="F5361" t="s">
        <v>1508</v>
      </c>
      <c r="G5361">
        <v>603</v>
      </c>
      <c r="H5361" t="s">
        <v>102</v>
      </c>
      <c r="I5361">
        <v>6</v>
      </c>
      <c r="J5361" t="s">
        <v>101</v>
      </c>
    </row>
    <row r="5362" spans="1:10" x14ac:dyDescent="0.25">
      <c r="A5362" t="s">
        <v>150</v>
      </c>
      <c r="B5362">
        <f>56540.2744172337*(1/100/100)</f>
        <v>5.65402744172337</v>
      </c>
      <c r="C5362">
        <v>61150</v>
      </c>
      <c r="D5362" t="s">
        <v>1508</v>
      </c>
      <c r="E5362">
        <v>60351</v>
      </c>
      <c r="F5362" t="s">
        <v>1508</v>
      </c>
      <c r="G5362">
        <v>603</v>
      </c>
      <c r="H5362" t="s">
        <v>102</v>
      </c>
      <c r="I5362">
        <v>6</v>
      </c>
      <c r="J5362" t="s">
        <v>101</v>
      </c>
    </row>
    <row r="5363" spans="1:10" x14ac:dyDescent="0.25">
      <c r="A5363" t="s">
        <v>150</v>
      </c>
      <c r="B5363">
        <f>21700.7446328845*(1/100/100)</f>
        <v>2.1700744632884499</v>
      </c>
      <c r="C5363">
        <v>61151</v>
      </c>
      <c r="D5363" t="s">
        <v>6191</v>
      </c>
      <c r="E5363">
        <v>60345</v>
      </c>
      <c r="F5363" t="s">
        <v>1502</v>
      </c>
      <c r="G5363">
        <v>603</v>
      </c>
      <c r="H5363" t="s">
        <v>102</v>
      </c>
      <c r="I5363">
        <v>6</v>
      </c>
      <c r="J5363" t="s">
        <v>101</v>
      </c>
    </row>
    <row r="5364" spans="1:10" x14ac:dyDescent="0.25">
      <c r="A5364" t="s">
        <v>150</v>
      </c>
      <c r="B5364">
        <f>32353.1671890162*(1/100/100)</f>
        <v>3.2353167189016201</v>
      </c>
      <c r="C5364">
        <v>61152</v>
      </c>
      <c r="D5364" t="s">
        <v>3464</v>
      </c>
      <c r="E5364">
        <v>60347</v>
      </c>
      <c r="F5364" t="s">
        <v>1504</v>
      </c>
      <c r="G5364">
        <v>603</v>
      </c>
      <c r="H5364" t="s">
        <v>102</v>
      </c>
      <c r="I5364">
        <v>6</v>
      </c>
      <c r="J5364" t="s">
        <v>101</v>
      </c>
    </row>
    <row r="5365" spans="1:10" x14ac:dyDescent="0.25">
      <c r="A5365" t="s">
        <v>150</v>
      </c>
      <c r="B5365">
        <f>53395.6258822255*(1/100/100)</f>
        <v>5.3395625882225497</v>
      </c>
      <c r="C5365">
        <v>61153</v>
      </c>
      <c r="D5365" t="s">
        <v>6215</v>
      </c>
      <c r="E5365">
        <v>60347</v>
      </c>
      <c r="F5365" t="s">
        <v>1504</v>
      </c>
      <c r="G5365">
        <v>603</v>
      </c>
      <c r="H5365" t="s">
        <v>102</v>
      </c>
      <c r="I5365">
        <v>6</v>
      </c>
      <c r="J5365" t="s">
        <v>101</v>
      </c>
    </row>
    <row r="5366" spans="1:10" x14ac:dyDescent="0.25">
      <c r="A5366" t="s">
        <v>150</v>
      </c>
      <c r="B5366">
        <f>18419.0650135927*(1/100/100)</f>
        <v>1.8419065013592699</v>
      </c>
      <c r="C5366">
        <v>61201</v>
      </c>
      <c r="D5366" t="s">
        <v>6162</v>
      </c>
      <c r="E5366">
        <v>60344</v>
      </c>
      <c r="F5366" t="s">
        <v>102</v>
      </c>
      <c r="G5366">
        <v>603</v>
      </c>
      <c r="H5366" t="s">
        <v>102</v>
      </c>
      <c r="I5366">
        <v>6</v>
      </c>
      <c r="J5366" t="s">
        <v>101</v>
      </c>
    </row>
    <row r="5367" spans="1:10" x14ac:dyDescent="0.25">
      <c r="A5367" t="s">
        <v>150</v>
      </c>
      <c r="B5367">
        <f>65762.6347758152*(1/100/100)</f>
        <v>6.5762634775815201</v>
      </c>
      <c r="C5367">
        <v>61202</v>
      </c>
      <c r="D5367" t="s">
        <v>6128</v>
      </c>
      <c r="E5367">
        <v>60318</v>
      </c>
      <c r="F5367" t="s">
        <v>1496</v>
      </c>
      <c r="G5367">
        <v>603</v>
      </c>
      <c r="H5367" t="s">
        <v>102</v>
      </c>
      <c r="I5367">
        <v>6</v>
      </c>
      <c r="J5367" t="s">
        <v>101</v>
      </c>
    </row>
    <row r="5368" spans="1:10" x14ac:dyDescent="0.25">
      <c r="A5368" t="s">
        <v>150</v>
      </c>
      <c r="B5368">
        <f>192391.502293523*(1/100/100)</f>
        <v>19.239150229352301</v>
      </c>
      <c r="C5368">
        <v>61203</v>
      </c>
      <c r="D5368" t="s">
        <v>6129</v>
      </c>
      <c r="E5368">
        <v>60318</v>
      </c>
      <c r="F5368" t="s">
        <v>1496</v>
      </c>
      <c r="G5368">
        <v>603</v>
      </c>
      <c r="H5368" t="s">
        <v>102</v>
      </c>
      <c r="I5368">
        <v>6</v>
      </c>
      <c r="J5368" t="s">
        <v>101</v>
      </c>
    </row>
    <row r="5369" spans="1:10" x14ac:dyDescent="0.25">
      <c r="A5369" t="s">
        <v>150</v>
      </c>
      <c r="B5369">
        <f>45303.1135973142*(1/100/100)</f>
        <v>4.53031135973142</v>
      </c>
      <c r="C5369">
        <v>61204</v>
      </c>
      <c r="D5369" t="s">
        <v>2792</v>
      </c>
      <c r="E5369">
        <v>60350</v>
      </c>
      <c r="F5369" t="s">
        <v>1507</v>
      </c>
      <c r="G5369">
        <v>603</v>
      </c>
      <c r="H5369" t="s">
        <v>102</v>
      </c>
      <c r="I5369">
        <v>6</v>
      </c>
      <c r="J5369" t="s">
        <v>101</v>
      </c>
    </row>
    <row r="5370" spans="1:10" x14ac:dyDescent="0.25">
      <c r="A5370" t="s">
        <v>150</v>
      </c>
      <c r="B5370">
        <f>26995.8570893856*(1/100/100)</f>
        <v>2.6995857089385602</v>
      </c>
      <c r="C5370">
        <v>61205</v>
      </c>
      <c r="D5370" t="s">
        <v>6163</v>
      </c>
      <c r="E5370">
        <v>60344</v>
      </c>
      <c r="F5370" t="s">
        <v>102</v>
      </c>
      <c r="G5370">
        <v>603</v>
      </c>
      <c r="H5370" t="s">
        <v>102</v>
      </c>
      <c r="I5370">
        <v>6</v>
      </c>
      <c r="J5370" t="s">
        <v>101</v>
      </c>
    </row>
    <row r="5371" spans="1:10" x14ac:dyDescent="0.25">
      <c r="A5371" t="s">
        <v>150</v>
      </c>
      <c r="B5371">
        <f>22723.888280931*(1/100/100)</f>
        <v>2.2723888280931002</v>
      </c>
      <c r="C5371">
        <v>61206</v>
      </c>
      <c r="D5371" t="s">
        <v>3112</v>
      </c>
      <c r="E5371">
        <v>60344</v>
      </c>
      <c r="F5371" t="s">
        <v>102</v>
      </c>
      <c r="G5371">
        <v>603</v>
      </c>
      <c r="H5371" t="s">
        <v>102</v>
      </c>
      <c r="I5371">
        <v>6</v>
      </c>
      <c r="J5371" t="s">
        <v>101</v>
      </c>
    </row>
    <row r="5372" spans="1:10" x14ac:dyDescent="0.25">
      <c r="A5372" t="s">
        <v>150</v>
      </c>
      <c r="B5372">
        <f>55783.4254663519*(1/100/100)</f>
        <v>5.5783425466351906</v>
      </c>
      <c r="C5372">
        <v>61207</v>
      </c>
      <c r="D5372" t="s">
        <v>6164</v>
      </c>
      <c r="E5372">
        <v>60344</v>
      </c>
      <c r="F5372" t="s">
        <v>102</v>
      </c>
      <c r="G5372">
        <v>603</v>
      </c>
      <c r="H5372" t="s">
        <v>102</v>
      </c>
      <c r="I5372">
        <v>6</v>
      </c>
      <c r="J5372" t="s">
        <v>101</v>
      </c>
    </row>
    <row r="5373" spans="1:10" x14ac:dyDescent="0.25">
      <c r="A5373" t="s">
        <v>150</v>
      </c>
      <c r="B5373">
        <f>25533.257107697*(1/100/100)</f>
        <v>2.5533257107697005</v>
      </c>
      <c r="C5373">
        <v>61208</v>
      </c>
      <c r="D5373" t="s">
        <v>6235</v>
      </c>
      <c r="E5373">
        <v>60350</v>
      </c>
      <c r="F5373" t="s">
        <v>1507</v>
      </c>
      <c r="G5373">
        <v>603</v>
      </c>
      <c r="H5373" t="s">
        <v>102</v>
      </c>
      <c r="I5373">
        <v>6</v>
      </c>
      <c r="J5373" t="s">
        <v>101</v>
      </c>
    </row>
    <row r="5374" spans="1:10" x14ac:dyDescent="0.25">
      <c r="A5374" t="s">
        <v>150</v>
      </c>
      <c r="B5374">
        <f>17207.0282260025*(1/100/100)</f>
        <v>1.7207028226002503</v>
      </c>
      <c r="C5374">
        <v>61209</v>
      </c>
      <c r="D5374" t="s">
        <v>6165</v>
      </c>
      <c r="E5374">
        <v>60344</v>
      </c>
      <c r="F5374" t="s">
        <v>102</v>
      </c>
      <c r="G5374">
        <v>603</v>
      </c>
      <c r="H5374" t="s">
        <v>102</v>
      </c>
      <c r="I5374">
        <v>6</v>
      </c>
      <c r="J5374" t="s">
        <v>101</v>
      </c>
    </row>
    <row r="5375" spans="1:10" x14ac:dyDescent="0.25">
      <c r="A5375" t="s">
        <v>150</v>
      </c>
      <c r="B5375">
        <f>33826.7327694241*(1/100/100)</f>
        <v>3.3826732769424104</v>
      </c>
      <c r="C5375">
        <v>61210</v>
      </c>
      <c r="D5375" t="s">
        <v>2348</v>
      </c>
      <c r="E5375">
        <v>60350</v>
      </c>
      <c r="F5375" t="s">
        <v>1507</v>
      </c>
      <c r="G5375">
        <v>603</v>
      </c>
      <c r="H5375" t="s">
        <v>102</v>
      </c>
      <c r="I5375">
        <v>6</v>
      </c>
      <c r="J5375" t="s">
        <v>101</v>
      </c>
    </row>
    <row r="5376" spans="1:10" x14ac:dyDescent="0.25">
      <c r="A5376" t="s">
        <v>150</v>
      </c>
      <c r="B5376">
        <f>27901.3229081351*(1/100/100)</f>
        <v>2.79013229081351</v>
      </c>
      <c r="C5376">
        <v>61211</v>
      </c>
      <c r="D5376" t="s">
        <v>6236</v>
      </c>
      <c r="E5376">
        <v>60350</v>
      </c>
      <c r="F5376" t="s">
        <v>1507</v>
      </c>
      <c r="G5376">
        <v>603</v>
      </c>
      <c r="H5376" t="s">
        <v>102</v>
      </c>
      <c r="I5376">
        <v>6</v>
      </c>
      <c r="J5376" t="s">
        <v>101</v>
      </c>
    </row>
    <row r="5377" spans="1:10" x14ac:dyDescent="0.25">
      <c r="A5377" t="s">
        <v>150</v>
      </c>
      <c r="B5377">
        <f>74056.6213966692*(1/100/100)</f>
        <v>7.4056621396669202</v>
      </c>
      <c r="C5377">
        <v>61212</v>
      </c>
      <c r="D5377" t="s">
        <v>6237</v>
      </c>
      <c r="E5377">
        <v>60350</v>
      </c>
      <c r="F5377" t="s">
        <v>1507</v>
      </c>
      <c r="G5377">
        <v>603</v>
      </c>
      <c r="H5377" t="s">
        <v>102</v>
      </c>
      <c r="I5377">
        <v>6</v>
      </c>
      <c r="J5377" t="s">
        <v>101</v>
      </c>
    </row>
    <row r="5378" spans="1:10" x14ac:dyDescent="0.25">
      <c r="A5378" t="s">
        <v>150</v>
      </c>
      <c r="B5378">
        <f>22581.3481692291*(1/100/100)</f>
        <v>2.2581348169229098</v>
      </c>
      <c r="C5378">
        <v>61213</v>
      </c>
      <c r="D5378" t="s">
        <v>6166</v>
      </c>
      <c r="E5378">
        <v>60344</v>
      </c>
      <c r="F5378" t="s">
        <v>102</v>
      </c>
      <c r="G5378">
        <v>603</v>
      </c>
      <c r="H5378" t="s">
        <v>102</v>
      </c>
      <c r="I5378">
        <v>6</v>
      </c>
      <c r="J5378" t="s">
        <v>101</v>
      </c>
    </row>
    <row r="5379" spans="1:10" x14ac:dyDescent="0.25">
      <c r="A5379" t="s">
        <v>150</v>
      </c>
      <c r="B5379">
        <f>117602.94244883*(1/100/100)</f>
        <v>11.760294244883001</v>
      </c>
      <c r="C5379">
        <v>61214</v>
      </c>
      <c r="D5379" t="s">
        <v>6216</v>
      </c>
      <c r="E5379">
        <v>60348</v>
      </c>
      <c r="F5379" t="s">
        <v>1505</v>
      </c>
      <c r="G5379">
        <v>603</v>
      </c>
      <c r="H5379" t="s">
        <v>102</v>
      </c>
      <c r="I5379">
        <v>6</v>
      </c>
      <c r="J5379" t="s">
        <v>101</v>
      </c>
    </row>
    <row r="5380" spans="1:10" x14ac:dyDescent="0.25">
      <c r="A5380" t="s">
        <v>150</v>
      </c>
      <c r="B5380">
        <f>12290.2582706294*(1/100/100)</f>
        <v>1.2290258270629399</v>
      </c>
      <c r="C5380">
        <v>61215</v>
      </c>
      <c r="D5380" t="s">
        <v>6217</v>
      </c>
      <c r="E5380">
        <v>60348</v>
      </c>
      <c r="F5380" t="s">
        <v>1505</v>
      </c>
      <c r="G5380">
        <v>603</v>
      </c>
      <c r="H5380" t="s">
        <v>102</v>
      </c>
      <c r="I5380">
        <v>6</v>
      </c>
      <c r="J5380" t="s">
        <v>101</v>
      </c>
    </row>
    <row r="5381" spans="1:10" x14ac:dyDescent="0.25">
      <c r="A5381" t="s">
        <v>150</v>
      </c>
      <c r="B5381">
        <f>49103.0078260011*(1/100/100)</f>
        <v>4.9103007826001104</v>
      </c>
      <c r="C5381">
        <v>61216</v>
      </c>
      <c r="D5381" t="s">
        <v>6218</v>
      </c>
      <c r="E5381">
        <v>60348</v>
      </c>
      <c r="F5381" t="s">
        <v>1505</v>
      </c>
      <c r="G5381">
        <v>603</v>
      </c>
      <c r="H5381" t="s">
        <v>102</v>
      </c>
      <c r="I5381">
        <v>6</v>
      </c>
      <c r="J5381" t="s">
        <v>101</v>
      </c>
    </row>
    <row r="5382" spans="1:10" x14ac:dyDescent="0.25">
      <c r="A5382" t="s">
        <v>150</v>
      </c>
      <c r="B5382">
        <f>38683.0607122339*(1/100/100)</f>
        <v>3.8683060712233899</v>
      </c>
      <c r="C5382">
        <v>61217</v>
      </c>
      <c r="D5382" t="s">
        <v>6238</v>
      </c>
      <c r="E5382">
        <v>60350</v>
      </c>
      <c r="F5382" t="s">
        <v>1507</v>
      </c>
      <c r="G5382">
        <v>603</v>
      </c>
      <c r="H5382" t="s">
        <v>102</v>
      </c>
      <c r="I5382">
        <v>6</v>
      </c>
      <c r="J5382" t="s">
        <v>101</v>
      </c>
    </row>
    <row r="5383" spans="1:10" x14ac:dyDescent="0.25">
      <c r="A5383" t="s">
        <v>150</v>
      </c>
      <c r="B5383">
        <f>18441.6103440135*(1/100/100)</f>
        <v>1.8441610344013502</v>
      </c>
      <c r="C5383">
        <v>61218</v>
      </c>
      <c r="D5383" t="s">
        <v>6167</v>
      </c>
      <c r="E5383">
        <v>60344</v>
      </c>
      <c r="F5383" t="s">
        <v>102</v>
      </c>
      <c r="G5383">
        <v>603</v>
      </c>
      <c r="H5383" t="s">
        <v>102</v>
      </c>
      <c r="I5383">
        <v>6</v>
      </c>
      <c r="J5383" t="s">
        <v>101</v>
      </c>
    </row>
    <row r="5384" spans="1:10" x14ac:dyDescent="0.25">
      <c r="A5384" t="s">
        <v>150</v>
      </c>
      <c r="B5384">
        <f>58318.1673447934*(1/100/100)</f>
        <v>5.8318167344793403</v>
      </c>
      <c r="C5384">
        <v>61219</v>
      </c>
      <c r="D5384" t="s">
        <v>6239</v>
      </c>
      <c r="E5384">
        <v>60350</v>
      </c>
      <c r="F5384" t="s">
        <v>1507</v>
      </c>
      <c r="G5384">
        <v>603</v>
      </c>
      <c r="H5384" t="s">
        <v>102</v>
      </c>
      <c r="I5384">
        <v>6</v>
      </c>
      <c r="J5384" t="s">
        <v>101</v>
      </c>
    </row>
    <row r="5385" spans="1:10" x14ac:dyDescent="0.25">
      <c r="A5385" t="s">
        <v>150</v>
      </c>
      <c r="B5385">
        <f>290468.677171612*(1/100/100)</f>
        <v>29.046867717161199</v>
      </c>
      <c r="C5385">
        <v>61220</v>
      </c>
      <c r="D5385" t="s">
        <v>1496</v>
      </c>
      <c r="E5385">
        <v>60318</v>
      </c>
      <c r="F5385" t="s">
        <v>1496</v>
      </c>
      <c r="G5385">
        <v>603</v>
      </c>
      <c r="H5385" t="s">
        <v>102</v>
      </c>
      <c r="I5385">
        <v>6</v>
      </c>
      <c r="J5385" t="s">
        <v>101</v>
      </c>
    </row>
    <row r="5386" spans="1:10" x14ac:dyDescent="0.25">
      <c r="A5386" t="s">
        <v>150</v>
      </c>
      <c r="B5386">
        <f>37323.5438511657*(1/100/100)</f>
        <v>3.7323543851165701</v>
      </c>
      <c r="C5386">
        <v>61221</v>
      </c>
      <c r="D5386" t="s">
        <v>6240</v>
      </c>
      <c r="E5386">
        <v>60350</v>
      </c>
      <c r="F5386" t="s">
        <v>1507</v>
      </c>
      <c r="G5386">
        <v>603</v>
      </c>
      <c r="H5386" t="s">
        <v>102</v>
      </c>
      <c r="I5386">
        <v>6</v>
      </c>
      <c r="J5386" t="s">
        <v>101</v>
      </c>
    </row>
    <row r="5387" spans="1:10" x14ac:dyDescent="0.25">
      <c r="A5387" t="s">
        <v>150</v>
      </c>
      <c r="B5387">
        <f>51742.3588204522*(1/100/100)</f>
        <v>5.1742358820452203</v>
      </c>
      <c r="C5387">
        <v>61222</v>
      </c>
      <c r="D5387" t="s">
        <v>6219</v>
      </c>
      <c r="E5387">
        <v>60348</v>
      </c>
      <c r="F5387" t="s">
        <v>1505</v>
      </c>
      <c r="G5387">
        <v>603</v>
      </c>
      <c r="H5387" t="s">
        <v>102</v>
      </c>
      <c r="I5387">
        <v>6</v>
      </c>
      <c r="J5387" t="s">
        <v>101</v>
      </c>
    </row>
    <row r="5388" spans="1:10" x14ac:dyDescent="0.25">
      <c r="A5388" t="s">
        <v>150</v>
      </c>
      <c r="B5388">
        <f>14561.9674226381*(1/100/100)</f>
        <v>1.45619674226381</v>
      </c>
      <c r="C5388">
        <v>61223</v>
      </c>
      <c r="D5388" t="s">
        <v>6220</v>
      </c>
      <c r="E5388">
        <v>60348</v>
      </c>
      <c r="F5388" t="s">
        <v>1505</v>
      </c>
      <c r="G5388">
        <v>603</v>
      </c>
      <c r="H5388" t="s">
        <v>102</v>
      </c>
      <c r="I5388">
        <v>6</v>
      </c>
      <c r="J5388" t="s">
        <v>101</v>
      </c>
    </row>
    <row r="5389" spans="1:10" x14ac:dyDescent="0.25">
      <c r="A5389" t="s">
        <v>150</v>
      </c>
      <c r="B5389">
        <f>46389.5696534812*(1/100/100)</f>
        <v>4.63895696534812</v>
      </c>
      <c r="C5389">
        <v>61224</v>
      </c>
      <c r="D5389" t="s">
        <v>6241</v>
      </c>
      <c r="E5389">
        <v>60350</v>
      </c>
      <c r="F5389" t="s">
        <v>1507</v>
      </c>
      <c r="G5389">
        <v>603</v>
      </c>
      <c r="H5389" t="s">
        <v>102</v>
      </c>
      <c r="I5389">
        <v>6</v>
      </c>
      <c r="J5389" t="s">
        <v>101</v>
      </c>
    </row>
    <row r="5390" spans="1:10" x14ac:dyDescent="0.25">
      <c r="A5390" t="s">
        <v>150</v>
      </c>
      <c r="B5390">
        <f>7979.62852637205*(1/100/100)</f>
        <v>0.79796285263720501</v>
      </c>
      <c r="C5390">
        <v>61225</v>
      </c>
      <c r="D5390" t="s">
        <v>2888</v>
      </c>
      <c r="E5390">
        <v>60344</v>
      </c>
      <c r="F5390" t="s">
        <v>102</v>
      </c>
      <c r="G5390">
        <v>603</v>
      </c>
      <c r="H5390" t="s">
        <v>102</v>
      </c>
      <c r="I5390">
        <v>6</v>
      </c>
      <c r="J5390" t="s">
        <v>101</v>
      </c>
    </row>
    <row r="5391" spans="1:10" x14ac:dyDescent="0.25">
      <c r="A5391" t="s">
        <v>150</v>
      </c>
      <c r="B5391">
        <f>9640.90282156171*(1/100/100)</f>
        <v>0.9640902821561711</v>
      </c>
      <c r="C5391">
        <v>61226</v>
      </c>
      <c r="D5391" t="s">
        <v>6168</v>
      </c>
      <c r="E5391">
        <v>60344</v>
      </c>
      <c r="F5391" t="s">
        <v>102</v>
      </c>
      <c r="G5391">
        <v>603</v>
      </c>
      <c r="H5391" t="s">
        <v>102</v>
      </c>
      <c r="I5391">
        <v>6</v>
      </c>
      <c r="J5391" t="s">
        <v>101</v>
      </c>
    </row>
    <row r="5392" spans="1:10" x14ac:dyDescent="0.25">
      <c r="A5392" t="s">
        <v>150</v>
      </c>
      <c r="B5392">
        <f>29792.5709865297*(1/100/100)</f>
        <v>2.9792570986529703</v>
      </c>
      <c r="C5392">
        <v>61227</v>
      </c>
      <c r="D5392" t="s">
        <v>280</v>
      </c>
      <c r="E5392">
        <v>60350</v>
      </c>
      <c r="F5392" t="s">
        <v>1507</v>
      </c>
      <c r="G5392">
        <v>603</v>
      </c>
      <c r="H5392" t="s">
        <v>102</v>
      </c>
      <c r="I5392">
        <v>6</v>
      </c>
      <c r="J5392" t="s">
        <v>101</v>
      </c>
    </row>
    <row r="5393" spans="1:10" x14ac:dyDescent="0.25">
      <c r="A5393" t="s">
        <v>150</v>
      </c>
      <c r="B5393">
        <f>15760.3003778172*(1/100/100)</f>
        <v>1.5760300377817202</v>
      </c>
      <c r="C5393">
        <v>61228</v>
      </c>
      <c r="D5393" t="s">
        <v>6242</v>
      </c>
      <c r="E5393">
        <v>60350</v>
      </c>
      <c r="F5393" t="s">
        <v>1507</v>
      </c>
      <c r="G5393">
        <v>603</v>
      </c>
      <c r="H5393" t="s">
        <v>102</v>
      </c>
      <c r="I5393">
        <v>6</v>
      </c>
      <c r="J5393" t="s">
        <v>101</v>
      </c>
    </row>
    <row r="5394" spans="1:10" x14ac:dyDescent="0.25">
      <c r="A5394" t="s">
        <v>150</v>
      </c>
      <c r="B5394">
        <f>38431.175775568*(1/100/100)</f>
        <v>3.8431175775568005</v>
      </c>
      <c r="C5394">
        <v>61229</v>
      </c>
      <c r="D5394" t="s">
        <v>6169</v>
      </c>
      <c r="E5394">
        <v>60344</v>
      </c>
      <c r="F5394" t="s">
        <v>102</v>
      </c>
      <c r="G5394">
        <v>603</v>
      </c>
      <c r="H5394" t="s">
        <v>102</v>
      </c>
      <c r="I5394">
        <v>6</v>
      </c>
      <c r="J5394" t="s">
        <v>101</v>
      </c>
    </row>
    <row r="5395" spans="1:10" x14ac:dyDescent="0.25">
      <c r="A5395" t="s">
        <v>150</v>
      </c>
      <c r="B5395">
        <f>53143.1722719724*(1/100/100)</f>
        <v>5.3143172271972405</v>
      </c>
      <c r="C5395">
        <v>61230</v>
      </c>
      <c r="D5395" t="s">
        <v>6135</v>
      </c>
      <c r="E5395">
        <v>60326</v>
      </c>
      <c r="F5395" t="s">
        <v>1499</v>
      </c>
      <c r="G5395">
        <v>603</v>
      </c>
      <c r="H5395" t="s">
        <v>102</v>
      </c>
      <c r="I5395">
        <v>6</v>
      </c>
      <c r="J5395" t="s">
        <v>101</v>
      </c>
    </row>
    <row r="5396" spans="1:10" x14ac:dyDescent="0.25">
      <c r="A5396" t="s">
        <v>150</v>
      </c>
      <c r="B5396">
        <f>128703.460499637*(1/100/100)</f>
        <v>12.8703460499637</v>
      </c>
      <c r="C5396">
        <v>61231</v>
      </c>
      <c r="D5396" t="s">
        <v>5146</v>
      </c>
      <c r="E5396">
        <v>60350</v>
      </c>
      <c r="F5396" t="s">
        <v>1507</v>
      </c>
      <c r="G5396">
        <v>603</v>
      </c>
      <c r="H5396" t="s">
        <v>102</v>
      </c>
      <c r="I5396">
        <v>6</v>
      </c>
      <c r="J5396" t="s">
        <v>101</v>
      </c>
    </row>
    <row r="5397" spans="1:10" x14ac:dyDescent="0.25">
      <c r="A5397" t="s">
        <v>150</v>
      </c>
      <c r="B5397">
        <f>58429.8548305144*(1/100/100)</f>
        <v>5.8429854830514403</v>
      </c>
      <c r="C5397">
        <v>61232</v>
      </c>
      <c r="D5397" t="s">
        <v>6221</v>
      </c>
      <c r="E5397">
        <v>60348</v>
      </c>
      <c r="F5397" t="s">
        <v>1505</v>
      </c>
      <c r="G5397">
        <v>603</v>
      </c>
      <c r="H5397" t="s">
        <v>102</v>
      </c>
      <c r="I5397">
        <v>6</v>
      </c>
      <c r="J5397" t="s">
        <v>101</v>
      </c>
    </row>
    <row r="5398" spans="1:10" x14ac:dyDescent="0.25">
      <c r="A5398" t="s">
        <v>150</v>
      </c>
      <c r="B5398">
        <f>57368.0344996725*(1/100/100)</f>
        <v>5.7368034499672502</v>
      </c>
      <c r="C5398">
        <v>61233</v>
      </c>
      <c r="D5398" t="s">
        <v>6243</v>
      </c>
      <c r="E5398">
        <v>60350</v>
      </c>
      <c r="F5398" t="s">
        <v>1507</v>
      </c>
      <c r="G5398">
        <v>603</v>
      </c>
      <c r="H5398" t="s">
        <v>102</v>
      </c>
      <c r="I5398">
        <v>6</v>
      </c>
      <c r="J5398" t="s">
        <v>101</v>
      </c>
    </row>
    <row r="5399" spans="1:10" x14ac:dyDescent="0.25">
      <c r="A5399" t="s">
        <v>150</v>
      </c>
      <c r="B5399">
        <f>61021.6609521343*(1/100/100)</f>
        <v>6.1021660952134305</v>
      </c>
      <c r="C5399">
        <v>61234</v>
      </c>
      <c r="D5399" t="s">
        <v>6244</v>
      </c>
      <c r="E5399">
        <v>60350</v>
      </c>
      <c r="F5399" t="s">
        <v>1507</v>
      </c>
      <c r="G5399">
        <v>603</v>
      </c>
      <c r="H5399" t="s">
        <v>102</v>
      </c>
      <c r="I5399">
        <v>6</v>
      </c>
      <c r="J5399" t="s">
        <v>101</v>
      </c>
    </row>
    <row r="5400" spans="1:10" x14ac:dyDescent="0.25">
      <c r="A5400" t="s">
        <v>150</v>
      </c>
      <c r="B5400">
        <f>30681.3769684205*(1/100/100)</f>
        <v>3.06813769684205</v>
      </c>
      <c r="C5400">
        <v>61235</v>
      </c>
      <c r="D5400" t="s">
        <v>6170</v>
      </c>
      <c r="E5400">
        <v>60344</v>
      </c>
      <c r="F5400" t="s">
        <v>102</v>
      </c>
      <c r="G5400">
        <v>603</v>
      </c>
      <c r="H5400" t="s">
        <v>102</v>
      </c>
      <c r="I5400">
        <v>6</v>
      </c>
      <c r="J5400" t="s">
        <v>101</v>
      </c>
    </row>
    <row r="5401" spans="1:10" x14ac:dyDescent="0.25">
      <c r="A5401" t="s">
        <v>150</v>
      </c>
      <c r="B5401">
        <f>88381.5559820845*(1/100/100)</f>
        <v>8.8381555982084503</v>
      </c>
      <c r="C5401">
        <v>61236</v>
      </c>
      <c r="D5401" t="s">
        <v>6136</v>
      </c>
      <c r="E5401">
        <v>60326</v>
      </c>
      <c r="F5401" t="s">
        <v>1499</v>
      </c>
      <c r="G5401">
        <v>603</v>
      </c>
      <c r="H5401" t="s">
        <v>102</v>
      </c>
      <c r="I5401">
        <v>6</v>
      </c>
      <c r="J5401" t="s">
        <v>101</v>
      </c>
    </row>
    <row r="5402" spans="1:10" x14ac:dyDescent="0.25">
      <c r="A5402" t="s">
        <v>150</v>
      </c>
      <c r="B5402">
        <f>82217.4724519869*(1/100/100)</f>
        <v>8.2217472451986904</v>
      </c>
      <c r="C5402">
        <v>61237</v>
      </c>
      <c r="D5402" t="s">
        <v>2358</v>
      </c>
      <c r="E5402">
        <v>60348</v>
      </c>
      <c r="F5402" t="s">
        <v>1505</v>
      </c>
      <c r="G5402">
        <v>603</v>
      </c>
      <c r="H5402" t="s">
        <v>102</v>
      </c>
      <c r="I5402">
        <v>6</v>
      </c>
      <c r="J5402" t="s">
        <v>101</v>
      </c>
    </row>
    <row r="5403" spans="1:10" x14ac:dyDescent="0.25">
      <c r="A5403" t="s">
        <v>150</v>
      </c>
      <c r="B5403">
        <f>68435.8108977381*(1/100/100)</f>
        <v>6.843581089773811</v>
      </c>
      <c r="C5403">
        <v>61238</v>
      </c>
      <c r="D5403" t="s">
        <v>6245</v>
      </c>
      <c r="E5403">
        <v>60350</v>
      </c>
      <c r="F5403" t="s">
        <v>1507</v>
      </c>
      <c r="G5403">
        <v>603</v>
      </c>
      <c r="H5403" t="s">
        <v>102</v>
      </c>
      <c r="I5403">
        <v>6</v>
      </c>
      <c r="J5403" t="s">
        <v>101</v>
      </c>
    </row>
    <row r="5404" spans="1:10" x14ac:dyDescent="0.25">
      <c r="A5404" t="s">
        <v>150</v>
      </c>
      <c r="B5404">
        <f>203163.807472457*(1/100/100)</f>
        <v>20.316380747245702</v>
      </c>
      <c r="C5404">
        <v>61239</v>
      </c>
      <c r="D5404" t="s">
        <v>1507</v>
      </c>
      <c r="E5404">
        <v>60350</v>
      </c>
      <c r="F5404" t="s">
        <v>1507</v>
      </c>
      <c r="G5404">
        <v>603</v>
      </c>
      <c r="H5404" t="s">
        <v>102</v>
      </c>
      <c r="I5404">
        <v>6</v>
      </c>
      <c r="J5404" t="s">
        <v>101</v>
      </c>
    </row>
    <row r="5405" spans="1:10" x14ac:dyDescent="0.25">
      <c r="A5405" t="s">
        <v>150</v>
      </c>
      <c r="B5405">
        <f>41369.3049853644*(1/100/100)</f>
        <v>4.1369304985364401</v>
      </c>
      <c r="C5405">
        <v>61240</v>
      </c>
      <c r="D5405" t="s">
        <v>6246</v>
      </c>
      <c r="E5405">
        <v>60350</v>
      </c>
      <c r="F5405" t="s">
        <v>1507</v>
      </c>
      <c r="G5405">
        <v>603</v>
      </c>
      <c r="H5405" t="s">
        <v>102</v>
      </c>
      <c r="I5405">
        <v>6</v>
      </c>
      <c r="J5405" t="s">
        <v>101</v>
      </c>
    </row>
    <row r="5406" spans="1:10" x14ac:dyDescent="0.25">
      <c r="A5406" t="s">
        <v>150</v>
      </c>
      <c r="B5406">
        <f>54111.6635535444*(1/100/100)</f>
        <v>5.4111663553544407</v>
      </c>
      <c r="C5406">
        <v>61241</v>
      </c>
      <c r="D5406" t="s">
        <v>6130</v>
      </c>
      <c r="E5406">
        <v>60318</v>
      </c>
      <c r="F5406" t="s">
        <v>1496</v>
      </c>
      <c r="G5406">
        <v>603</v>
      </c>
      <c r="H5406" t="s">
        <v>102</v>
      </c>
      <c r="I5406">
        <v>6</v>
      </c>
      <c r="J5406" t="s">
        <v>101</v>
      </c>
    </row>
    <row r="5407" spans="1:10" x14ac:dyDescent="0.25">
      <c r="A5407" t="s">
        <v>150</v>
      </c>
      <c r="B5407">
        <f>24632.4729830437*(1/100/100)</f>
        <v>2.4632472983043701</v>
      </c>
      <c r="C5407">
        <v>61242</v>
      </c>
      <c r="D5407" t="s">
        <v>6247</v>
      </c>
      <c r="E5407">
        <v>60350</v>
      </c>
      <c r="F5407" t="s">
        <v>1507</v>
      </c>
      <c r="G5407">
        <v>603</v>
      </c>
      <c r="H5407" t="s">
        <v>102</v>
      </c>
      <c r="I5407">
        <v>6</v>
      </c>
      <c r="J5407" t="s">
        <v>101</v>
      </c>
    </row>
    <row r="5408" spans="1:10" x14ac:dyDescent="0.25">
      <c r="A5408" t="s">
        <v>150</v>
      </c>
      <c r="B5408">
        <f>53901.8049009352*(1/100/100)</f>
        <v>5.3901804900935204</v>
      </c>
      <c r="C5408">
        <v>61243</v>
      </c>
      <c r="D5408" t="s">
        <v>6137</v>
      </c>
      <c r="E5408">
        <v>60326</v>
      </c>
      <c r="F5408" t="s">
        <v>1499</v>
      </c>
      <c r="G5408">
        <v>603</v>
      </c>
      <c r="H5408" t="s">
        <v>102</v>
      </c>
      <c r="I5408">
        <v>6</v>
      </c>
      <c r="J5408" t="s">
        <v>101</v>
      </c>
    </row>
    <row r="5409" spans="1:10" x14ac:dyDescent="0.25">
      <c r="A5409" t="s">
        <v>150</v>
      </c>
      <c r="B5409">
        <f>27016.4288586828*(1/100/100)</f>
        <v>2.7016428858682802</v>
      </c>
      <c r="C5409">
        <v>61244</v>
      </c>
      <c r="D5409" t="s">
        <v>6248</v>
      </c>
      <c r="E5409">
        <v>60350</v>
      </c>
      <c r="F5409" t="s">
        <v>1507</v>
      </c>
      <c r="G5409">
        <v>603</v>
      </c>
      <c r="H5409" t="s">
        <v>102</v>
      </c>
      <c r="I5409">
        <v>6</v>
      </c>
      <c r="J5409" t="s">
        <v>101</v>
      </c>
    </row>
    <row r="5410" spans="1:10" x14ac:dyDescent="0.25">
      <c r="A5410" t="s">
        <v>150</v>
      </c>
      <c r="B5410">
        <f>32353.3078515427*(1/100/100)</f>
        <v>3.2353307851542703</v>
      </c>
      <c r="C5410">
        <v>61245</v>
      </c>
      <c r="D5410" t="s">
        <v>6171</v>
      </c>
      <c r="E5410">
        <v>60344</v>
      </c>
      <c r="F5410" t="s">
        <v>102</v>
      </c>
      <c r="G5410">
        <v>603</v>
      </c>
      <c r="H5410" t="s">
        <v>102</v>
      </c>
      <c r="I5410">
        <v>6</v>
      </c>
      <c r="J5410" t="s">
        <v>101</v>
      </c>
    </row>
    <row r="5411" spans="1:10" x14ac:dyDescent="0.25">
      <c r="A5411" t="s">
        <v>150</v>
      </c>
      <c r="B5411">
        <f>40280.5614967199*(1/100/100)</f>
        <v>4.0280561496719898</v>
      </c>
      <c r="C5411">
        <v>61246</v>
      </c>
      <c r="D5411" t="s">
        <v>4515</v>
      </c>
      <c r="E5411">
        <v>60350</v>
      </c>
      <c r="F5411" t="s">
        <v>1507</v>
      </c>
      <c r="G5411">
        <v>603</v>
      </c>
      <c r="H5411" t="s">
        <v>102</v>
      </c>
      <c r="I5411">
        <v>6</v>
      </c>
      <c r="J5411" t="s">
        <v>101</v>
      </c>
    </row>
    <row r="5412" spans="1:10" x14ac:dyDescent="0.25">
      <c r="A5412" t="s">
        <v>150</v>
      </c>
      <c r="B5412">
        <f>94009.919228916*(1/100/100)</f>
        <v>9.4009919228916008</v>
      </c>
      <c r="C5412">
        <v>61247</v>
      </c>
      <c r="D5412" t="s">
        <v>4200</v>
      </c>
      <c r="E5412">
        <v>60350</v>
      </c>
      <c r="F5412" t="s">
        <v>1507</v>
      </c>
      <c r="G5412">
        <v>603</v>
      </c>
      <c r="H5412" t="s">
        <v>102</v>
      </c>
      <c r="I5412">
        <v>6</v>
      </c>
      <c r="J5412" t="s">
        <v>101</v>
      </c>
    </row>
    <row r="5413" spans="1:10" x14ac:dyDescent="0.25">
      <c r="A5413" t="s">
        <v>150</v>
      </c>
      <c r="B5413">
        <f>81246.8470810668*(1/100/100)</f>
        <v>8.1246847081066793</v>
      </c>
      <c r="C5413">
        <v>61249</v>
      </c>
      <c r="D5413" t="s">
        <v>6222</v>
      </c>
      <c r="E5413">
        <v>60348</v>
      </c>
      <c r="F5413" t="s">
        <v>1505</v>
      </c>
      <c r="G5413">
        <v>603</v>
      </c>
      <c r="H5413" t="s">
        <v>102</v>
      </c>
      <c r="I5413">
        <v>6</v>
      </c>
      <c r="J5413" t="s">
        <v>101</v>
      </c>
    </row>
    <row r="5414" spans="1:10" x14ac:dyDescent="0.25">
      <c r="A5414" t="s">
        <v>150</v>
      </c>
      <c r="B5414">
        <f>42578.8653192927*(1/100/100)</f>
        <v>4.2578865319292705</v>
      </c>
      <c r="C5414">
        <v>61250</v>
      </c>
      <c r="D5414" t="s">
        <v>6223</v>
      </c>
      <c r="E5414">
        <v>60348</v>
      </c>
      <c r="F5414" t="s">
        <v>1505</v>
      </c>
      <c r="G5414">
        <v>603</v>
      </c>
      <c r="H5414" t="s">
        <v>102</v>
      </c>
      <c r="I5414">
        <v>6</v>
      </c>
      <c r="J5414" t="s">
        <v>101</v>
      </c>
    </row>
    <row r="5415" spans="1:10" x14ac:dyDescent="0.25">
      <c r="A5415" t="s">
        <v>150</v>
      </c>
      <c r="B5415">
        <f>50410.7854850154*(1/100/100)</f>
        <v>5.0410785485015408</v>
      </c>
      <c r="C5415">
        <v>62001</v>
      </c>
      <c r="D5415" t="s">
        <v>3700</v>
      </c>
      <c r="E5415">
        <v>62387</v>
      </c>
      <c r="F5415" t="s">
        <v>1764</v>
      </c>
      <c r="G5415">
        <v>623</v>
      </c>
      <c r="H5415" t="s">
        <v>113</v>
      </c>
      <c r="I5415">
        <v>6</v>
      </c>
      <c r="J5415" t="s">
        <v>101</v>
      </c>
    </row>
    <row r="5416" spans="1:10" x14ac:dyDescent="0.25">
      <c r="A5416" t="s">
        <v>150</v>
      </c>
      <c r="B5416">
        <f>19329.7244779365*(1/100/100)</f>
        <v>1.9329724477936501</v>
      </c>
      <c r="C5416">
        <v>62002</v>
      </c>
      <c r="D5416" t="s">
        <v>7080</v>
      </c>
      <c r="E5416">
        <v>62378</v>
      </c>
      <c r="F5416" t="s">
        <v>1755</v>
      </c>
      <c r="G5416">
        <v>623</v>
      </c>
      <c r="H5416" t="s">
        <v>113</v>
      </c>
      <c r="I5416">
        <v>6</v>
      </c>
      <c r="J5416" t="s">
        <v>101</v>
      </c>
    </row>
    <row r="5417" spans="1:10" x14ac:dyDescent="0.25">
      <c r="A5417" t="s">
        <v>150</v>
      </c>
      <c r="B5417">
        <f>112887.668187508*(1/100/100)</f>
        <v>11.288766818750799</v>
      </c>
      <c r="C5417">
        <v>62003</v>
      </c>
      <c r="D5417" t="s">
        <v>7059</v>
      </c>
      <c r="E5417">
        <v>62375</v>
      </c>
      <c r="F5417" t="s">
        <v>1752</v>
      </c>
      <c r="G5417">
        <v>623</v>
      </c>
      <c r="H5417" t="s">
        <v>113</v>
      </c>
      <c r="I5417">
        <v>6</v>
      </c>
      <c r="J5417" t="s">
        <v>101</v>
      </c>
    </row>
    <row r="5418" spans="1:10" x14ac:dyDescent="0.25">
      <c r="A5418" t="s">
        <v>150</v>
      </c>
      <c r="B5418">
        <f>186542.129797403*(1/100/100)</f>
        <v>18.654212979740301</v>
      </c>
      <c r="C5418">
        <v>62004</v>
      </c>
      <c r="D5418" t="s">
        <v>1755</v>
      </c>
      <c r="E5418">
        <v>62378</v>
      </c>
      <c r="F5418" t="s">
        <v>1755</v>
      </c>
      <c r="G5418">
        <v>623</v>
      </c>
      <c r="H5418" t="s">
        <v>113</v>
      </c>
      <c r="I5418">
        <v>6</v>
      </c>
      <c r="J5418" t="s">
        <v>101</v>
      </c>
    </row>
    <row r="5419" spans="1:10" x14ac:dyDescent="0.25">
      <c r="A5419" t="s">
        <v>150</v>
      </c>
      <c r="B5419">
        <f>37624.0800404129*(1/100/100)</f>
        <v>3.7624080040412897</v>
      </c>
      <c r="C5419">
        <v>62005</v>
      </c>
      <c r="D5419" t="s">
        <v>7128</v>
      </c>
      <c r="E5419">
        <v>62387</v>
      </c>
      <c r="F5419" t="s">
        <v>1764</v>
      </c>
      <c r="G5419">
        <v>623</v>
      </c>
      <c r="H5419" t="s">
        <v>113</v>
      </c>
      <c r="I5419">
        <v>6</v>
      </c>
      <c r="J5419" t="s">
        <v>101</v>
      </c>
    </row>
    <row r="5420" spans="1:10" x14ac:dyDescent="0.25">
      <c r="A5420" t="s">
        <v>150</v>
      </c>
      <c r="B5420">
        <f>39819.5271325734*(1/100/100)</f>
        <v>3.98195271325734</v>
      </c>
      <c r="C5420">
        <v>62006</v>
      </c>
      <c r="D5420" t="s">
        <v>7129</v>
      </c>
      <c r="E5420">
        <v>62387</v>
      </c>
      <c r="F5420" t="s">
        <v>1764</v>
      </c>
      <c r="G5420">
        <v>623</v>
      </c>
      <c r="H5420" t="s">
        <v>113</v>
      </c>
      <c r="I5420">
        <v>6</v>
      </c>
      <c r="J5420" t="s">
        <v>101</v>
      </c>
    </row>
    <row r="5421" spans="1:10" x14ac:dyDescent="0.25">
      <c r="A5421" t="s">
        <v>150</v>
      </c>
      <c r="B5421">
        <f>38789.2347947135*(1/100/100)</f>
        <v>3.8789234794713501</v>
      </c>
      <c r="C5421">
        <v>62007</v>
      </c>
      <c r="D5421" t="s">
        <v>7042</v>
      </c>
      <c r="E5421">
        <v>62332</v>
      </c>
      <c r="F5421" t="s">
        <v>1747</v>
      </c>
      <c r="G5421">
        <v>623</v>
      </c>
      <c r="H5421" t="s">
        <v>113</v>
      </c>
      <c r="I5421">
        <v>6</v>
      </c>
      <c r="J5421" t="s">
        <v>101</v>
      </c>
    </row>
    <row r="5422" spans="1:10" x14ac:dyDescent="0.25">
      <c r="A5422" t="s">
        <v>150</v>
      </c>
      <c r="B5422">
        <f>30982.3169076377*(1/100/100)</f>
        <v>3.0982316907637704</v>
      </c>
      <c r="C5422">
        <v>62008</v>
      </c>
      <c r="D5422" t="s">
        <v>7081</v>
      </c>
      <c r="E5422">
        <v>62378</v>
      </c>
      <c r="F5422" t="s">
        <v>1755</v>
      </c>
      <c r="G5422">
        <v>623</v>
      </c>
      <c r="H5422" t="s">
        <v>113</v>
      </c>
      <c r="I5422">
        <v>6</v>
      </c>
      <c r="J5422" t="s">
        <v>101</v>
      </c>
    </row>
    <row r="5423" spans="1:10" x14ac:dyDescent="0.25">
      <c r="A5423" t="s">
        <v>150</v>
      </c>
      <c r="B5423">
        <f>27731.586157145*(1/100/100)</f>
        <v>2.7731586157145003</v>
      </c>
      <c r="C5423">
        <v>62009</v>
      </c>
      <c r="D5423" t="s">
        <v>3668</v>
      </c>
      <c r="E5423">
        <v>62332</v>
      </c>
      <c r="F5423" t="s">
        <v>1747</v>
      </c>
      <c r="G5423">
        <v>623</v>
      </c>
      <c r="H5423" t="s">
        <v>113</v>
      </c>
      <c r="I5423">
        <v>6</v>
      </c>
      <c r="J5423" t="s">
        <v>101</v>
      </c>
    </row>
    <row r="5424" spans="1:10" x14ac:dyDescent="0.25">
      <c r="A5424" t="s">
        <v>150</v>
      </c>
      <c r="B5424">
        <f>127468.4897241*(1/100/100)</f>
        <v>12.746848972410001</v>
      </c>
      <c r="C5424">
        <v>62010</v>
      </c>
      <c r="D5424" t="s">
        <v>7082</v>
      </c>
      <c r="E5424">
        <v>62378</v>
      </c>
      <c r="F5424" t="s">
        <v>1755</v>
      </c>
      <c r="G5424">
        <v>623</v>
      </c>
      <c r="H5424" t="s">
        <v>113</v>
      </c>
      <c r="I5424">
        <v>6</v>
      </c>
      <c r="J5424" t="s">
        <v>101</v>
      </c>
    </row>
    <row r="5425" spans="1:10" x14ac:dyDescent="0.25">
      <c r="A5425" t="s">
        <v>150</v>
      </c>
      <c r="B5425">
        <f>21069.7983846464*(1/100/100)</f>
        <v>2.1069798384646403</v>
      </c>
      <c r="C5425">
        <v>62011</v>
      </c>
      <c r="D5425" t="s">
        <v>7130</v>
      </c>
      <c r="E5425">
        <v>62387</v>
      </c>
      <c r="F5425" t="s">
        <v>1764</v>
      </c>
      <c r="G5425">
        <v>623</v>
      </c>
      <c r="H5425" t="s">
        <v>113</v>
      </c>
      <c r="I5425">
        <v>6</v>
      </c>
      <c r="J5425" t="s">
        <v>101</v>
      </c>
    </row>
    <row r="5426" spans="1:10" x14ac:dyDescent="0.25">
      <c r="A5426" t="s">
        <v>150</v>
      </c>
      <c r="B5426">
        <f>77705.1466560082*(1/100/100)</f>
        <v>7.770514665600821</v>
      </c>
      <c r="C5426">
        <v>62012</v>
      </c>
      <c r="D5426" t="s">
        <v>7083</v>
      </c>
      <c r="E5426">
        <v>62378</v>
      </c>
      <c r="F5426" t="s">
        <v>1755</v>
      </c>
      <c r="G5426">
        <v>623</v>
      </c>
      <c r="H5426" t="s">
        <v>113</v>
      </c>
      <c r="I5426">
        <v>6</v>
      </c>
      <c r="J5426" t="s">
        <v>101</v>
      </c>
    </row>
    <row r="5427" spans="1:10" x14ac:dyDescent="0.25">
      <c r="A5427" t="s">
        <v>150</v>
      </c>
      <c r="B5427">
        <f>92127.9356482282*(1/100/100)</f>
        <v>9.212793564822821</v>
      </c>
      <c r="C5427">
        <v>62013</v>
      </c>
      <c r="D5427" t="s">
        <v>6977</v>
      </c>
      <c r="E5427">
        <v>62378</v>
      </c>
      <c r="F5427" t="s">
        <v>1755</v>
      </c>
      <c r="G5427">
        <v>623</v>
      </c>
      <c r="H5427" t="s">
        <v>113</v>
      </c>
      <c r="I5427">
        <v>6</v>
      </c>
      <c r="J5427" t="s">
        <v>101</v>
      </c>
    </row>
    <row r="5428" spans="1:10" x14ac:dyDescent="0.25">
      <c r="A5428" t="s">
        <v>150</v>
      </c>
      <c r="B5428">
        <f>69732.4487518772*(1/100/100)</f>
        <v>6.9732448751877198</v>
      </c>
      <c r="C5428">
        <v>62014</v>
      </c>
      <c r="D5428" t="s">
        <v>7131</v>
      </c>
      <c r="E5428">
        <v>62387</v>
      </c>
      <c r="F5428" t="s">
        <v>1764</v>
      </c>
      <c r="G5428">
        <v>623</v>
      </c>
      <c r="H5428" t="s">
        <v>113</v>
      </c>
      <c r="I5428">
        <v>6</v>
      </c>
      <c r="J5428" t="s">
        <v>101</v>
      </c>
    </row>
    <row r="5429" spans="1:10" x14ac:dyDescent="0.25">
      <c r="A5429" t="s">
        <v>150</v>
      </c>
      <c r="B5429">
        <f>112086.319700933*(1/100/100)</f>
        <v>11.2086319700933</v>
      </c>
      <c r="C5429">
        <v>62015</v>
      </c>
      <c r="D5429" t="s">
        <v>7084</v>
      </c>
      <c r="E5429">
        <v>62378</v>
      </c>
      <c r="F5429" t="s">
        <v>1755</v>
      </c>
      <c r="G5429">
        <v>623</v>
      </c>
      <c r="H5429" t="s">
        <v>113</v>
      </c>
      <c r="I5429">
        <v>6</v>
      </c>
      <c r="J5429" t="s">
        <v>101</v>
      </c>
    </row>
    <row r="5430" spans="1:10" x14ac:dyDescent="0.25">
      <c r="A5430" t="s">
        <v>150</v>
      </c>
      <c r="B5430">
        <f>69554.1631613311*(1/100/100)</f>
        <v>6.9554163161331104</v>
      </c>
      <c r="C5430">
        <v>62016</v>
      </c>
      <c r="D5430" t="s">
        <v>1747</v>
      </c>
      <c r="E5430">
        <v>62332</v>
      </c>
      <c r="F5430" t="s">
        <v>1747</v>
      </c>
      <c r="G5430">
        <v>623</v>
      </c>
      <c r="H5430" t="s">
        <v>113</v>
      </c>
      <c r="I5430">
        <v>6</v>
      </c>
      <c r="J5430" t="s">
        <v>101</v>
      </c>
    </row>
    <row r="5431" spans="1:10" x14ac:dyDescent="0.25">
      <c r="A5431" t="s">
        <v>150</v>
      </c>
      <c r="B5431">
        <f>17316.1775584732*(1/100/100)</f>
        <v>1.73161775584732</v>
      </c>
      <c r="C5431">
        <v>62017</v>
      </c>
      <c r="D5431" t="s">
        <v>7132</v>
      </c>
      <c r="E5431">
        <v>62387</v>
      </c>
      <c r="F5431" t="s">
        <v>1764</v>
      </c>
      <c r="G5431">
        <v>623</v>
      </c>
      <c r="H5431" t="s">
        <v>113</v>
      </c>
      <c r="I5431">
        <v>6</v>
      </c>
      <c r="J5431" t="s">
        <v>101</v>
      </c>
    </row>
    <row r="5432" spans="1:10" x14ac:dyDescent="0.25">
      <c r="A5432" t="s">
        <v>150</v>
      </c>
      <c r="B5432">
        <f>39028.5035111015*(1/100/100)</f>
        <v>3.9028503511101502</v>
      </c>
      <c r="C5432">
        <v>62018</v>
      </c>
      <c r="D5432" t="s">
        <v>7043</v>
      </c>
      <c r="E5432">
        <v>62332</v>
      </c>
      <c r="F5432" t="s">
        <v>1747</v>
      </c>
      <c r="G5432">
        <v>623</v>
      </c>
      <c r="H5432" t="s">
        <v>113</v>
      </c>
      <c r="I5432">
        <v>6</v>
      </c>
      <c r="J5432" t="s">
        <v>101</v>
      </c>
    </row>
    <row r="5433" spans="1:10" x14ac:dyDescent="0.25">
      <c r="A5433" t="s">
        <v>150</v>
      </c>
      <c r="B5433">
        <f>66213.3054053231*(1/100/100)</f>
        <v>6.6213305405323108</v>
      </c>
      <c r="C5433">
        <v>62019</v>
      </c>
      <c r="D5433" t="s">
        <v>7057</v>
      </c>
      <c r="E5433">
        <v>62372</v>
      </c>
      <c r="F5433" t="s">
        <v>1751</v>
      </c>
      <c r="G5433">
        <v>623</v>
      </c>
      <c r="H5433" t="s">
        <v>113</v>
      </c>
      <c r="I5433">
        <v>6</v>
      </c>
      <c r="J5433" t="s">
        <v>101</v>
      </c>
    </row>
    <row r="5434" spans="1:10" x14ac:dyDescent="0.25">
      <c r="A5434" t="s">
        <v>150</v>
      </c>
      <c r="B5434">
        <f>24334.5466554625*(1/100/100)</f>
        <v>2.4334546655462503</v>
      </c>
      <c r="C5434">
        <v>62020</v>
      </c>
      <c r="D5434" t="s">
        <v>7044</v>
      </c>
      <c r="E5434">
        <v>62332</v>
      </c>
      <c r="F5434" t="s">
        <v>1747</v>
      </c>
      <c r="G5434">
        <v>623</v>
      </c>
      <c r="H5434" t="s">
        <v>113</v>
      </c>
      <c r="I5434">
        <v>6</v>
      </c>
      <c r="J5434" t="s">
        <v>101</v>
      </c>
    </row>
    <row r="5435" spans="1:10" x14ac:dyDescent="0.25">
      <c r="A5435" t="s">
        <v>150</v>
      </c>
      <c r="B5435">
        <f>38081.8353325772*(1/100/100)</f>
        <v>3.8081835332577199</v>
      </c>
      <c r="C5435">
        <v>62021</v>
      </c>
      <c r="D5435" t="s">
        <v>7045</v>
      </c>
      <c r="E5435">
        <v>62332</v>
      </c>
      <c r="F5435" t="s">
        <v>1747</v>
      </c>
      <c r="G5435">
        <v>623</v>
      </c>
      <c r="H5435" t="s">
        <v>113</v>
      </c>
      <c r="I5435">
        <v>6</v>
      </c>
      <c r="J5435" t="s">
        <v>101</v>
      </c>
    </row>
    <row r="5436" spans="1:10" x14ac:dyDescent="0.25">
      <c r="A5436" t="s">
        <v>150</v>
      </c>
      <c r="B5436">
        <f>45788.24722138*(1/100/100)</f>
        <v>4.5788247221380001</v>
      </c>
      <c r="C5436">
        <v>62022</v>
      </c>
      <c r="D5436" t="s">
        <v>7058</v>
      </c>
      <c r="E5436">
        <v>62372</v>
      </c>
      <c r="F5436" t="s">
        <v>1751</v>
      </c>
      <c r="G5436">
        <v>623</v>
      </c>
      <c r="H5436" t="s">
        <v>113</v>
      </c>
      <c r="I5436">
        <v>6</v>
      </c>
      <c r="J5436" t="s">
        <v>101</v>
      </c>
    </row>
    <row r="5437" spans="1:10" x14ac:dyDescent="0.25">
      <c r="A5437" t="s">
        <v>150</v>
      </c>
      <c r="B5437">
        <f>25815.4730836325*(1/100/100)</f>
        <v>2.5815473083632501</v>
      </c>
      <c r="C5437">
        <v>62023</v>
      </c>
      <c r="D5437" t="s">
        <v>7085</v>
      </c>
      <c r="E5437">
        <v>62378</v>
      </c>
      <c r="F5437" t="s">
        <v>1755</v>
      </c>
      <c r="G5437">
        <v>623</v>
      </c>
      <c r="H5437" t="s">
        <v>113</v>
      </c>
      <c r="I5437">
        <v>6</v>
      </c>
      <c r="J5437" t="s">
        <v>101</v>
      </c>
    </row>
    <row r="5438" spans="1:10" x14ac:dyDescent="0.25">
      <c r="A5438" t="s">
        <v>150</v>
      </c>
      <c r="B5438">
        <f>100516.424888182*(1/100/100)</f>
        <v>10.051642488818199</v>
      </c>
      <c r="C5438">
        <v>62024</v>
      </c>
      <c r="D5438" t="s">
        <v>7086</v>
      </c>
      <c r="E5438">
        <v>62378</v>
      </c>
      <c r="F5438" t="s">
        <v>1755</v>
      </c>
      <c r="G5438">
        <v>623</v>
      </c>
      <c r="H5438" t="s">
        <v>113</v>
      </c>
      <c r="I5438">
        <v>6</v>
      </c>
      <c r="J5438" t="s">
        <v>101</v>
      </c>
    </row>
    <row r="5439" spans="1:10" x14ac:dyDescent="0.25">
      <c r="A5439" t="s">
        <v>150</v>
      </c>
      <c r="B5439">
        <f>43593.265443533*(1/100/100)</f>
        <v>4.3593265443532996</v>
      </c>
      <c r="C5439">
        <v>62025</v>
      </c>
      <c r="D5439" t="s">
        <v>7087</v>
      </c>
      <c r="E5439">
        <v>62378</v>
      </c>
      <c r="F5439" t="s">
        <v>1755</v>
      </c>
      <c r="G5439">
        <v>623</v>
      </c>
      <c r="H5439" t="s">
        <v>113</v>
      </c>
      <c r="I5439">
        <v>6</v>
      </c>
      <c r="J5439" t="s">
        <v>101</v>
      </c>
    </row>
    <row r="5440" spans="1:10" x14ac:dyDescent="0.25">
      <c r="A5440" t="s">
        <v>150</v>
      </c>
      <c r="B5440">
        <f>47539.7670537346*(1/100/100)</f>
        <v>4.7539767053734598</v>
      </c>
      <c r="C5440">
        <v>62026</v>
      </c>
      <c r="D5440" t="s">
        <v>4600</v>
      </c>
      <c r="E5440">
        <v>62378</v>
      </c>
      <c r="F5440" t="s">
        <v>1755</v>
      </c>
      <c r="G5440">
        <v>623</v>
      </c>
      <c r="H5440" t="s">
        <v>113</v>
      </c>
      <c r="I5440">
        <v>6</v>
      </c>
      <c r="J5440" t="s">
        <v>101</v>
      </c>
    </row>
    <row r="5441" spans="1:10" x14ac:dyDescent="0.25">
      <c r="A5441" t="s">
        <v>150</v>
      </c>
      <c r="B5441">
        <f>21204.9052221325*(1/100/100)</f>
        <v>2.1204905222132502</v>
      </c>
      <c r="C5441">
        <v>62027</v>
      </c>
      <c r="D5441" t="s">
        <v>6461</v>
      </c>
      <c r="E5441">
        <v>62332</v>
      </c>
      <c r="F5441" t="s">
        <v>1747</v>
      </c>
      <c r="G5441">
        <v>623</v>
      </c>
      <c r="H5441" t="s">
        <v>113</v>
      </c>
      <c r="I5441">
        <v>6</v>
      </c>
      <c r="J5441" t="s">
        <v>101</v>
      </c>
    </row>
    <row r="5442" spans="1:10" x14ac:dyDescent="0.25">
      <c r="A5442" t="s">
        <v>150</v>
      </c>
      <c r="B5442">
        <f>59043.7067066478*(1/100/100)</f>
        <v>5.9043706706647798</v>
      </c>
      <c r="C5442">
        <v>62028</v>
      </c>
      <c r="D5442" t="s">
        <v>7133</v>
      </c>
      <c r="E5442">
        <v>62387</v>
      </c>
      <c r="F5442" t="s">
        <v>1764</v>
      </c>
      <c r="G5442">
        <v>623</v>
      </c>
      <c r="H5442" t="s">
        <v>113</v>
      </c>
      <c r="I5442">
        <v>6</v>
      </c>
      <c r="J5442" t="s">
        <v>101</v>
      </c>
    </row>
    <row r="5443" spans="1:10" x14ac:dyDescent="0.25">
      <c r="A5443" t="s">
        <v>150</v>
      </c>
      <c r="B5443">
        <f>14246.4763716982*(1/100/100)</f>
        <v>1.42464763716982</v>
      </c>
      <c r="C5443">
        <v>62029</v>
      </c>
      <c r="D5443" t="s">
        <v>7134</v>
      </c>
      <c r="E5443">
        <v>62387</v>
      </c>
      <c r="F5443" t="s">
        <v>1764</v>
      </c>
      <c r="G5443">
        <v>623</v>
      </c>
      <c r="H5443" t="s">
        <v>113</v>
      </c>
      <c r="I5443">
        <v>6</v>
      </c>
      <c r="J5443" t="s">
        <v>101</v>
      </c>
    </row>
    <row r="5444" spans="1:10" x14ac:dyDescent="0.25">
      <c r="A5444" t="s">
        <v>150</v>
      </c>
      <c r="B5444">
        <f>56492.0614285923*(1/100/100)</f>
        <v>5.6492061428592306</v>
      </c>
      <c r="C5444">
        <v>62030</v>
      </c>
      <c r="D5444" t="s">
        <v>7088</v>
      </c>
      <c r="E5444">
        <v>62378</v>
      </c>
      <c r="F5444" t="s">
        <v>1755</v>
      </c>
      <c r="G5444">
        <v>623</v>
      </c>
      <c r="H5444" t="s">
        <v>113</v>
      </c>
      <c r="I5444">
        <v>6</v>
      </c>
      <c r="J5444" t="s">
        <v>101</v>
      </c>
    </row>
    <row r="5445" spans="1:10" x14ac:dyDescent="0.25">
      <c r="A5445" t="s">
        <v>150</v>
      </c>
      <c r="B5445">
        <f>65058.434247005*(1/100/100)</f>
        <v>6.505843424700501</v>
      </c>
      <c r="C5445">
        <v>62031</v>
      </c>
      <c r="D5445" t="s">
        <v>4878</v>
      </c>
      <c r="E5445">
        <v>62378</v>
      </c>
      <c r="F5445" t="s">
        <v>1755</v>
      </c>
      <c r="G5445">
        <v>623</v>
      </c>
      <c r="H5445" t="s">
        <v>113</v>
      </c>
      <c r="I5445">
        <v>6</v>
      </c>
      <c r="J5445" t="s">
        <v>101</v>
      </c>
    </row>
    <row r="5446" spans="1:10" x14ac:dyDescent="0.25">
      <c r="A5446" t="s">
        <v>150</v>
      </c>
      <c r="B5446">
        <f>29653.194288777*(1/100/100)</f>
        <v>2.9653194288777001</v>
      </c>
      <c r="C5446">
        <v>62032</v>
      </c>
      <c r="D5446" t="s">
        <v>3737</v>
      </c>
      <c r="E5446">
        <v>62378</v>
      </c>
      <c r="F5446" t="s">
        <v>1755</v>
      </c>
      <c r="G5446">
        <v>623</v>
      </c>
      <c r="H5446" t="s">
        <v>113</v>
      </c>
      <c r="I5446">
        <v>6</v>
      </c>
      <c r="J5446" t="s">
        <v>101</v>
      </c>
    </row>
    <row r="5447" spans="1:10" x14ac:dyDescent="0.25">
      <c r="A5447" t="s">
        <v>150</v>
      </c>
      <c r="B5447">
        <f>82232.7045103485*(1/100/100)</f>
        <v>8.2232704510348498</v>
      </c>
      <c r="C5447">
        <v>62033</v>
      </c>
      <c r="D5447" t="s">
        <v>1751</v>
      </c>
      <c r="E5447">
        <v>62372</v>
      </c>
      <c r="F5447" t="s">
        <v>1751</v>
      </c>
      <c r="G5447">
        <v>623</v>
      </c>
      <c r="H5447" t="s">
        <v>113</v>
      </c>
      <c r="I5447">
        <v>6</v>
      </c>
      <c r="J5447" t="s">
        <v>101</v>
      </c>
    </row>
    <row r="5448" spans="1:10" x14ac:dyDescent="0.25">
      <c r="A5448" t="s">
        <v>150</v>
      </c>
      <c r="B5448">
        <f>47324.5594579371*(1/100/100)</f>
        <v>4.7324559457937108</v>
      </c>
      <c r="C5448">
        <v>62034</v>
      </c>
      <c r="D5448" t="s">
        <v>7135</v>
      </c>
      <c r="E5448">
        <v>62387</v>
      </c>
      <c r="F5448" t="s">
        <v>1764</v>
      </c>
      <c r="G5448">
        <v>623</v>
      </c>
      <c r="H5448" t="s">
        <v>113</v>
      </c>
      <c r="I5448">
        <v>6</v>
      </c>
      <c r="J5448" t="s">
        <v>101</v>
      </c>
    </row>
    <row r="5449" spans="1:10" x14ac:dyDescent="0.25">
      <c r="A5449" t="s">
        <v>150</v>
      </c>
      <c r="B5449">
        <f>69588.5095164757*(1/100/100)</f>
        <v>6.9588509516475696</v>
      </c>
      <c r="C5449">
        <v>62035</v>
      </c>
      <c r="D5449" t="s">
        <v>2771</v>
      </c>
      <c r="E5449">
        <v>62378</v>
      </c>
      <c r="F5449" t="s">
        <v>1755</v>
      </c>
      <c r="G5449">
        <v>623</v>
      </c>
      <c r="H5449" t="s">
        <v>113</v>
      </c>
      <c r="I5449">
        <v>6</v>
      </c>
      <c r="J5449" t="s">
        <v>101</v>
      </c>
    </row>
    <row r="5450" spans="1:10" x14ac:dyDescent="0.25">
      <c r="A5450" t="s">
        <v>150</v>
      </c>
      <c r="B5450">
        <f>67838.7436367385*(1/100/100)</f>
        <v>6.7838743636738501</v>
      </c>
      <c r="C5450">
        <v>62101</v>
      </c>
      <c r="D5450" t="s">
        <v>7120</v>
      </c>
      <c r="E5450">
        <v>62386</v>
      </c>
      <c r="F5450" t="s">
        <v>1763</v>
      </c>
      <c r="G5450">
        <v>623</v>
      </c>
      <c r="H5450" t="s">
        <v>113</v>
      </c>
      <c r="I5450">
        <v>6</v>
      </c>
      <c r="J5450" t="s">
        <v>101</v>
      </c>
    </row>
    <row r="5451" spans="1:10" x14ac:dyDescent="0.25">
      <c r="A5451" t="s">
        <v>150</v>
      </c>
      <c r="B5451">
        <f>125192.95753743*(1/100/100)</f>
        <v>12.519295753743002</v>
      </c>
      <c r="C5451">
        <v>62102</v>
      </c>
      <c r="D5451" t="s">
        <v>6893</v>
      </c>
      <c r="E5451">
        <v>62379</v>
      </c>
      <c r="F5451" t="s">
        <v>1756</v>
      </c>
      <c r="G5451">
        <v>623</v>
      </c>
      <c r="H5451" t="s">
        <v>113</v>
      </c>
      <c r="I5451">
        <v>6</v>
      </c>
      <c r="J5451" t="s">
        <v>101</v>
      </c>
    </row>
    <row r="5452" spans="1:10" x14ac:dyDescent="0.25">
      <c r="A5452" t="s">
        <v>150</v>
      </c>
      <c r="B5452">
        <f>119792.847700282*(1/100/100)</f>
        <v>11.979284770028201</v>
      </c>
      <c r="C5452">
        <v>62103</v>
      </c>
      <c r="D5452" t="s">
        <v>7113</v>
      </c>
      <c r="E5452">
        <v>62384</v>
      </c>
      <c r="F5452" t="s">
        <v>1761</v>
      </c>
      <c r="G5452">
        <v>623</v>
      </c>
      <c r="H5452" t="s">
        <v>113</v>
      </c>
      <c r="I5452">
        <v>6</v>
      </c>
      <c r="J5452" t="s">
        <v>101</v>
      </c>
    </row>
    <row r="5453" spans="1:10" x14ac:dyDescent="0.25">
      <c r="A5453" t="s">
        <v>150</v>
      </c>
      <c r="B5453">
        <f>176957.206951139*(1/100/100)</f>
        <v>17.695720695113902</v>
      </c>
      <c r="C5453">
        <v>62104</v>
      </c>
      <c r="D5453" t="s">
        <v>1752</v>
      </c>
      <c r="E5453">
        <v>62375</v>
      </c>
      <c r="F5453" t="s">
        <v>1752</v>
      </c>
      <c r="G5453">
        <v>623</v>
      </c>
      <c r="H5453" t="s">
        <v>113</v>
      </c>
      <c r="I5453">
        <v>6</v>
      </c>
      <c r="J5453" t="s">
        <v>101</v>
      </c>
    </row>
    <row r="5454" spans="1:10" x14ac:dyDescent="0.25">
      <c r="A5454" t="s">
        <v>150</v>
      </c>
      <c r="B5454">
        <f>71749.6978254623*(1/100/100)</f>
        <v>7.1749697825462295</v>
      </c>
      <c r="C5454">
        <v>62106</v>
      </c>
      <c r="D5454" t="s">
        <v>4923</v>
      </c>
      <c r="E5454">
        <v>62386</v>
      </c>
      <c r="F5454" t="s">
        <v>1763</v>
      </c>
      <c r="G5454">
        <v>623</v>
      </c>
      <c r="H5454" t="s">
        <v>113</v>
      </c>
      <c r="I5454">
        <v>6</v>
      </c>
      <c r="J5454" t="s">
        <v>101</v>
      </c>
    </row>
    <row r="5455" spans="1:10" x14ac:dyDescent="0.25">
      <c r="A5455" t="s">
        <v>150</v>
      </c>
      <c r="B5455">
        <f>40438.4285603963*(1/100/100)</f>
        <v>4.04384285603963</v>
      </c>
      <c r="C5455">
        <v>62107</v>
      </c>
      <c r="D5455" t="s">
        <v>7143</v>
      </c>
      <c r="E5455">
        <v>62390</v>
      </c>
      <c r="F5455" t="s">
        <v>1767</v>
      </c>
      <c r="G5455">
        <v>623</v>
      </c>
      <c r="H5455" t="s">
        <v>113</v>
      </c>
      <c r="I5455">
        <v>6</v>
      </c>
      <c r="J5455" t="s">
        <v>101</v>
      </c>
    </row>
    <row r="5456" spans="1:10" x14ac:dyDescent="0.25">
      <c r="A5456" t="s">
        <v>150</v>
      </c>
      <c r="B5456">
        <f>38999.9757504548*(1/100/100)</f>
        <v>3.8999975750454805</v>
      </c>
      <c r="C5456">
        <v>62108</v>
      </c>
      <c r="D5456" t="s">
        <v>1711</v>
      </c>
      <c r="E5456">
        <v>62380</v>
      </c>
      <c r="F5456" t="s">
        <v>1757</v>
      </c>
      <c r="G5456">
        <v>623</v>
      </c>
      <c r="H5456" t="s">
        <v>113</v>
      </c>
      <c r="I5456">
        <v>6</v>
      </c>
      <c r="J5456" t="s">
        <v>101</v>
      </c>
    </row>
    <row r="5457" spans="1:10" x14ac:dyDescent="0.25">
      <c r="A5457" t="s">
        <v>150</v>
      </c>
      <c r="B5457">
        <f>93101.9427019974*(1/100/100)</f>
        <v>9.3101942701997391</v>
      </c>
      <c r="C5457">
        <v>62109</v>
      </c>
      <c r="D5457" t="s">
        <v>6309</v>
      </c>
      <c r="E5457">
        <v>62311</v>
      </c>
      <c r="F5457" t="s">
        <v>1743</v>
      </c>
      <c r="G5457">
        <v>623</v>
      </c>
      <c r="H5457" t="s">
        <v>113</v>
      </c>
      <c r="I5457">
        <v>6</v>
      </c>
      <c r="J5457" t="s">
        <v>101</v>
      </c>
    </row>
    <row r="5458" spans="1:10" x14ac:dyDescent="0.25">
      <c r="A5458" t="s">
        <v>150</v>
      </c>
      <c r="B5458">
        <f>70987.2702027053*(1/100/100)</f>
        <v>7.0987270202705304</v>
      </c>
      <c r="C5458">
        <v>62110</v>
      </c>
      <c r="D5458" t="s">
        <v>7028</v>
      </c>
      <c r="E5458">
        <v>62314</v>
      </c>
      <c r="F5458" t="s">
        <v>1744</v>
      </c>
      <c r="G5458">
        <v>623</v>
      </c>
      <c r="H5458" t="s">
        <v>113</v>
      </c>
      <c r="I5458">
        <v>6</v>
      </c>
      <c r="J5458" t="s">
        <v>101</v>
      </c>
    </row>
    <row r="5459" spans="1:10" x14ac:dyDescent="0.25">
      <c r="A5459" t="s">
        <v>150</v>
      </c>
      <c r="B5459">
        <f>510794.17546839*(1/100/100)</f>
        <v>51.079417546839004</v>
      </c>
      <c r="C5459">
        <v>62111</v>
      </c>
      <c r="D5459" t="s">
        <v>1756</v>
      </c>
      <c r="E5459">
        <v>62379</v>
      </c>
      <c r="F5459" t="s">
        <v>1756</v>
      </c>
      <c r="G5459">
        <v>623</v>
      </c>
      <c r="H5459" t="s">
        <v>113</v>
      </c>
      <c r="I5459">
        <v>6</v>
      </c>
      <c r="J5459" t="s">
        <v>101</v>
      </c>
    </row>
    <row r="5460" spans="1:10" x14ac:dyDescent="0.25">
      <c r="A5460" t="s">
        <v>150</v>
      </c>
      <c r="B5460">
        <f>38688.9040714367*(1/100/100)</f>
        <v>3.8688904071436703</v>
      </c>
      <c r="C5460">
        <v>62112</v>
      </c>
      <c r="D5460" t="s">
        <v>7093</v>
      </c>
      <c r="E5460">
        <v>62380</v>
      </c>
      <c r="F5460" t="s">
        <v>1757</v>
      </c>
      <c r="G5460">
        <v>623</v>
      </c>
      <c r="H5460" t="s">
        <v>113</v>
      </c>
      <c r="I5460">
        <v>6</v>
      </c>
      <c r="J5460" t="s">
        <v>101</v>
      </c>
    </row>
    <row r="5461" spans="1:10" x14ac:dyDescent="0.25">
      <c r="A5461" t="s">
        <v>150</v>
      </c>
      <c r="B5461">
        <f>95790.2096777486*(1/100/100)</f>
        <v>9.579020967774861</v>
      </c>
      <c r="C5461">
        <v>62113</v>
      </c>
      <c r="D5461" t="s">
        <v>7106</v>
      </c>
      <c r="E5461">
        <v>62382</v>
      </c>
      <c r="F5461" t="s">
        <v>1759</v>
      </c>
      <c r="G5461">
        <v>623</v>
      </c>
      <c r="H5461" t="s">
        <v>113</v>
      </c>
      <c r="I5461">
        <v>6</v>
      </c>
      <c r="J5461" t="s">
        <v>101</v>
      </c>
    </row>
    <row r="5462" spans="1:10" x14ac:dyDescent="0.25">
      <c r="A5462" t="s">
        <v>150</v>
      </c>
      <c r="B5462">
        <f>111242.029190601*(1/100/100)</f>
        <v>11.1242029190601</v>
      </c>
      <c r="C5462">
        <v>62114</v>
      </c>
      <c r="D5462" t="s">
        <v>7060</v>
      </c>
      <c r="E5462">
        <v>62375</v>
      </c>
      <c r="F5462" t="s">
        <v>1752</v>
      </c>
      <c r="G5462">
        <v>623</v>
      </c>
      <c r="H5462" t="s">
        <v>113</v>
      </c>
      <c r="I5462">
        <v>6</v>
      </c>
      <c r="J5462" t="s">
        <v>101</v>
      </c>
    </row>
    <row r="5463" spans="1:10" x14ac:dyDescent="0.25">
      <c r="A5463" t="s">
        <v>150</v>
      </c>
      <c r="B5463">
        <f>190888.63160619*(1/100/100)</f>
        <v>19.088863160619002</v>
      </c>
      <c r="C5463">
        <v>62115</v>
      </c>
      <c r="D5463" t="s">
        <v>1757</v>
      </c>
      <c r="E5463">
        <v>62380</v>
      </c>
      <c r="F5463" t="s">
        <v>1757</v>
      </c>
      <c r="G5463">
        <v>623</v>
      </c>
      <c r="H5463" t="s">
        <v>113</v>
      </c>
      <c r="I5463">
        <v>6</v>
      </c>
      <c r="J5463" t="s">
        <v>101</v>
      </c>
    </row>
    <row r="5464" spans="1:10" x14ac:dyDescent="0.25">
      <c r="A5464" t="s">
        <v>150</v>
      </c>
      <c r="B5464">
        <f>150894.494627464*(1/100/100)</f>
        <v>15.089449462746401</v>
      </c>
      <c r="C5464">
        <v>62116</v>
      </c>
      <c r="D5464" t="s">
        <v>7089</v>
      </c>
      <c r="E5464">
        <v>62379</v>
      </c>
      <c r="F5464" t="s">
        <v>1756</v>
      </c>
      <c r="G5464">
        <v>623</v>
      </c>
      <c r="H5464" t="s">
        <v>113</v>
      </c>
      <c r="I5464">
        <v>6</v>
      </c>
      <c r="J5464" t="s">
        <v>101</v>
      </c>
    </row>
    <row r="5465" spans="1:10" x14ac:dyDescent="0.25">
      <c r="A5465" t="s">
        <v>150</v>
      </c>
      <c r="B5465">
        <f>107136.049700452*(1/100/100)</f>
        <v>10.7136049700452</v>
      </c>
      <c r="C5465">
        <v>62117</v>
      </c>
      <c r="D5465" t="s">
        <v>7090</v>
      </c>
      <c r="E5465">
        <v>62379</v>
      </c>
      <c r="F5465" t="s">
        <v>1756</v>
      </c>
      <c r="G5465">
        <v>623</v>
      </c>
      <c r="H5465" t="s">
        <v>113</v>
      </c>
      <c r="I5465">
        <v>6</v>
      </c>
      <c r="J5465" t="s">
        <v>101</v>
      </c>
    </row>
    <row r="5466" spans="1:10" x14ac:dyDescent="0.25">
      <c r="A5466" t="s">
        <v>150</v>
      </c>
      <c r="B5466">
        <f>78197.9450021764*(1/100/100)</f>
        <v>7.8197945002176406</v>
      </c>
      <c r="C5466">
        <v>62118</v>
      </c>
      <c r="D5466" t="s">
        <v>7094</v>
      </c>
      <c r="E5466">
        <v>62380</v>
      </c>
      <c r="F5466" t="s">
        <v>1757</v>
      </c>
      <c r="G5466">
        <v>623</v>
      </c>
      <c r="H5466" t="s">
        <v>113</v>
      </c>
      <c r="I5466">
        <v>6</v>
      </c>
      <c r="J5466" t="s">
        <v>101</v>
      </c>
    </row>
    <row r="5467" spans="1:10" x14ac:dyDescent="0.25">
      <c r="A5467" t="s">
        <v>150</v>
      </c>
      <c r="B5467">
        <f>12766.5759937505*(1/100/100)</f>
        <v>1.2766575993750502</v>
      </c>
      <c r="C5467">
        <v>62119</v>
      </c>
      <c r="D5467" t="s">
        <v>7121</v>
      </c>
      <c r="E5467">
        <v>62386</v>
      </c>
      <c r="F5467" t="s">
        <v>1763</v>
      </c>
      <c r="G5467">
        <v>623</v>
      </c>
      <c r="H5467" t="s">
        <v>113</v>
      </c>
      <c r="I5467">
        <v>6</v>
      </c>
      <c r="J5467" t="s">
        <v>101</v>
      </c>
    </row>
    <row r="5468" spans="1:10" x14ac:dyDescent="0.25">
      <c r="A5468" t="s">
        <v>150</v>
      </c>
      <c r="B5468">
        <f>28408.060419631*(1/100/100)</f>
        <v>2.8408060419631003</v>
      </c>
      <c r="C5468">
        <v>62120</v>
      </c>
      <c r="D5468" t="s">
        <v>7144</v>
      </c>
      <c r="E5468">
        <v>62390</v>
      </c>
      <c r="F5468" t="s">
        <v>1767</v>
      </c>
      <c r="G5468">
        <v>623</v>
      </c>
      <c r="H5468" t="s">
        <v>113</v>
      </c>
      <c r="I5468">
        <v>6</v>
      </c>
      <c r="J5468" t="s">
        <v>101</v>
      </c>
    </row>
    <row r="5469" spans="1:10" x14ac:dyDescent="0.25">
      <c r="A5469" t="s">
        <v>150</v>
      </c>
      <c r="B5469">
        <f>29613.9795460383*(1/100/100)</f>
        <v>2.96139795460383</v>
      </c>
      <c r="C5469">
        <v>62121</v>
      </c>
      <c r="D5469" t="s">
        <v>469</v>
      </c>
      <c r="E5469">
        <v>62375</v>
      </c>
      <c r="F5469" t="s">
        <v>1752</v>
      </c>
      <c r="G5469">
        <v>623</v>
      </c>
      <c r="H5469" t="s">
        <v>113</v>
      </c>
      <c r="I5469">
        <v>6</v>
      </c>
      <c r="J5469" t="s">
        <v>101</v>
      </c>
    </row>
    <row r="5470" spans="1:10" x14ac:dyDescent="0.25">
      <c r="A5470" t="s">
        <v>150</v>
      </c>
      <c r="B5470">
        <f>28009.0189408334*(1/100/100)</f>
        <v>2.8009018940833403</v>
      </c>
      <c r="C5470">
        <v>62122</v>
      </c>
      <c r="D5470" t="s">
        <v>7095</v>
      </c>
      <c r="E5470">
        <v>62380</v>
      </c>
      <c r="F5470" t="s">
        <v>1757</v>
      </c>
      <c r="G5470">
        <v>623</v>
      </c>
      <c r="H5470" t="s">
        <v>113</v>
      </c>
      <c r="I5470">
        <v>6</v>
      </c>
      <c r="J5470" t="s">
        <v>101</v>
      </c>
    </row>
    <row r="5471" spans="1:10" x14ac:dyDescent="0.25">
      <c r="A5471" t="s">
        <v>150</v>
      </c>
      <c r="B5471">
        <f>13294.2856050981*(1/100/100)</f>
        <v>1.3294285605098102</v>
      </c>
      <c r="C5471">
        <v>62123</v>
      </c>
      <c r="D5471" t="s">
        <v>6277</v>
      </c>
      <c r="E5471">
        <v>62375</v>
      </c>
      <c r="F5471" t="s">
        <v>1752</v>
      </c>
      <c r="G5471">
        <v>623</v>
      </c>
      <c r="H5471" t="s">
        <v>113</v>
      </c>
      <c r="I5471">
        <v>6</v>
      </c>
      <c r="J5471" t="s">
        <v>101</v>
      </c>
    </row>
    <row r="5472" spans="1:10" x14ac:dyDescent="0.25">
      <c r="A5472" t="s">
        <v>150</v>
      </c>
      <c r="B5472">
        <f>42174.6524236593*(1/100/100)</f>
        <v>4.2174652423659307</v>
      </c>
      <c r="C5472">
        <v>62124</v>
      </c>
      <c r="D5472" t="s">
        <v>7027</v>
      </c>
      <c r="E5472">
        <v>62311</v>
      </c>
      <c r="F5472" t="s">
        <v>1743</v>
      </c>
      <c r="G5472">
        <v>623</v>
      </c>
      <c r="H5472" t="s">
        <v>113</v>
      </c>
      <c r="I5472">
        <v>6</v>
      </c>
      <c r="J5472" t="s">
        <v>101</v>
      </c>
    </row>
    <row r="5473" spans="1:10" x14ac:dyDescent="0.25">
      <c r="A5473" t="s">
        <v>150</v>
      </c>
      <c r="B5473">
        <f>15544.7932954582*(1/100/100)</f>
        <v>1.5544793295458199</v>
      </c>
      <c r="C5473">
        <v>62125</v>
      </c>
      <c r="D5473" t="s">
        <v>7145</v>
      </c>
      <c r="E5473">
        <v>62390</v>
      </c>
      <c r="F5473" t="s">
        <v>1767</v>
      </c>
      <c r="G5473">
        <v>623</v>
      </c>
      <c r="H5473" t="s">
        <v>113</v>
      </c>
      <c r="I5473">
        <v>6</v>
      </c>
      <c r="J5473" t="s">
        <v>101</v>
      </c>
    </row>
    <row r="5474" spans="1:10" x14ac:dyDescent="0.25">
      <c r="A5474" t="s">
        <v>150</v>
      </c>
      <c r="B5474">
        <f>188113.83469947*(1/100/100)</f>
        <v>18.811383469947</v>
      </c>
      <c r="C5474">
        <v>62126</v>
      </c>
      <c r="D5474" t="s">
        <v>1759</v>
      </c>
      <c r="E5474">
        <v>62382</v>
      </c>
      <c r="F5474" t="s">
        <v>1759</v>
      </c>
      <c r="G5474">
        <v>623</v>
      </c>
      <c r="H5474" t="s">
        <v>113</v>
      </c>
      <c r="I5474">
        <v>6</v>
      </c>
      <c r="J5474" t="s">
        <v>101</v>
      </c>
    </row>
    <row r="5475" spans="1:10" x14ac:dyDescent="0.25">
      <c r="A5475" t="s">
        <v>150</v>
      </c>
      <c r="B5475">
        <f>29218.7282291322*(1/100/100)</f>
        <v>2.9218728229132203</v>
      </c>
      <c r="C5475">
        <v>62127</v>
      </c>
      <c r="D5475" t="s">
        <v>7114</v>
      </c>
      <c r="E5475">
        <v>62384</v>
      </c>
      <c r="F5475" t="s">
        <v>1761</v>
      </c>
      <c r="G5475">
        <v>623</v>
      </c>
      <c r="H5475" t="s">
        <v>113</v>
      </c>
      <c r="I5475">
        <v>6</v>
      </c>
      <c r="J5475" t="s">
        <v>101</v>
      </c>
    </row>
    <row r="5476" spans="1:10" x14ac:dyDescent="0.25">
      <c r="A5476" t="s">
        <v>150</v>
      </c>
      <c r="B5476">
        <f>180118.189811245*(1/100/100)</f>
        <v>18.011818981124502</v>
      </c>
      <c r="C5476">
        <v>62128</v>
      </c>
      <c r="D5476" t="s">
        <v>3018</v>
      </c>
      <c r="E5476">
        <v>62386</v>
      </c>
      <c r="F5476" t="s">
        <v>1763</v>
      </c>
      <c r="G5476">
        <v>623</v>
      </c>
      <c r="H5476" t="s">
        <v>113</v>
      </c>
      <c r="I5476">
        <v>6</v>
      </c>
      <c r="J5476" t="s">
        <v>101</v>
      </c>
    </row>
    <row r="5477" spans="1:10" x14ac:dyDescent="0.25">
      <c r="A5477" t="s">
        <v>150</v>
      </c>
      <c r="B5477">
        <f>74976.0981258507*(1/100/100)</f>
        <v>7.4976098125850701</v>
      </c>
      <c r="C5477">
        <v>62129</v>
      </c>
      <c r="D5477" t="s">
        <v>7122</v>
      </c>
      <c r="E5477">
        <v>62386</v>
      </c>
      <c r="F5477" t="s">
        <v>1763</v>
      </c>
      <c r="G5477">
        <v>623</v>
      </c>
      <c r="H5477" t="s">
        <v>113</v>
      </c>
      <c r="I5477">
        <v>6</v>
      </c>
      <c r="J5477" t="s">
        <v>101</v>
      </c>
    </row>
    <row r="5478" spans="1:10" x14ac:dyDescent="0.25">
      <c r="A5478" t="s">
        <v>150</v>
      </c>
      <c r="B5478">
        <f>51133.6763367677*(1/100/100)</f>
        <v>5.1133676336767699</v>
      </c>
      <c r="C5478">
        <v>62130</v>
      </c>
      <c r="D5478" t="s">
        <v>7146</v>
      </c>
      <c r="E5478">
        <v>62390</v>
      </c>
      <c r="F5478" t="s">
        <v>1767</v>
      </c>
      <c r="G5478">
        <v>623</v>
      </c>
      <c r="H5478" t="s">
        <v>113</v>
      </c>
      <c r="I5478">
        <v>6</v>
      </c>
      <c r="J5478" t="s">
        <v>101</v>
      </c>
    </row>
    <row r="5479" spans="1:10" x14ac:dyDescent="0.25">
      <c r="A5479" t="s">
        <v>150</v>
      </c>
      <c r="B5479">
        <f>75659.5039558915*(1/100/100)</f>
        <v>7.5659503955891507</v>
      </c>
      <c r="C5479">
        <v>62131</v>
      </c>
      <c r="D5479" t="s">
        <v>6978</v>
      </c>
      <c r="E5479">
        <v>62379</v>
      </c>
      <c r="F5479" t="s">
        <v>1756</v>
      </c>
      <c r="G5479">
        <v>623</v>
      </c>
      <c r="H5479" t="s">
        <v>113</v>
      </c>
      <c r="I5479">
        <v>6</v>
      </c>
      <c r="J5479" t="s">
        <v>101</v>
      </c>
    </row>
    <row r="5480" spans="1:10" x14ac:dyDescent="0.25">
      <c r="A5480" t="s">
        <v>150</v>
      </c>
      <c r="B5480">
        <f>56163.7216393334*(1/100/100)</f>
        <v>5.6163721639333408</v>
      </c>
      <c r="C5480">
        <v>62132</v>
      </c>
      <c r="D5480" t="s">
        <v>7123</v>
      </c>
      <c r="E5480">
        <v>62386</v>
      </c>
      <c r="F5480" t="s">
        <v>1763</v>
      </c>
      <c r="G5480">
        <v>623</v>
      </c>
      <c r="H5480" t="s">
        <v>113</v>
      </c>
      <c r="I5480">
        <v>6</v>
      </c>
      <c r="J5480" t="s">
        <v>101</v>
      </c>
    </row>
    <row r="5481" spans="1:10" x14ac:dyDescent="0.25">
      <c r="A5481" t="s">
        <v>150</v>
      </c>
      <c r="B5481">
        <f>108637.037668128*(1/100/100)</f>
        <v>10.863703766812801</v>
      </c>
      <c r="C5481">
        <v>62133</v>
      </c>
      <c r="D5481" t="s">
        <v>7124</v>
      </c>
      <c r="E5481">
        <v>62386</v>
      </c>
      <c r="F5481" t="s">
        <v>1763</v>
      </c>
      <c r="G5481">
        <v>623</v>
      </c>
      <c r="H5481" t="s">
        <v>113</v>
      </c>
      <c r="I5481">
        <v>6</v>
      </c>
      <c r="J5481" t="s">
        <v>101</v>
      </c>
    </row>
    <row r="5482" spans="1:10" x14ac:dyDescent="0.25">
      <c r="A5482" t="s">
        <v>150</v>
      </c>
      <c r="B5482">
        <f>60508.5538190645*(1/100/100)</f>
        <v>6.0508553819064508</v>
      </c>
      <c r="C5482">
        <v>62134</v>
      </c>
      <c r="D5482" t="s">
        <v>7096</v>
      </c>
      <c r="E5482">
        <v>62380</v>
      </c>
      <c r="F5482" t="s">
        <v>1757</v>
      </c>
      <c r="G5482">
        <v>623</v>
      </c>
      <c r="H5482" t="s">
        <v>113</v>
      </c>
      <c r="I5482">
        <v>6</v>
      </c>
      <c r="J5482" t="s">
        <v>101</v>
      </c>
    </row>
    <row r="5483" spans="1:10" x14ac:dyDescent="0.25">
      <c r="A5483" t="s">
        <v>150</v>
      </c>
      <c r="B5483">
        <f>74739.3313068036*(1/100/100)</f>
        <v>7.4739331306803596</v>
      </c>
      <c r="C5483">
        <v>62135</v>
      </c>
      <c r="D5483" t="s">
        <v>4086</v>
      </c>
      <c r="E5483">
        <v>62375</v>
      </c>
      <c r="F5483" t="s">
        <v>1752</v>
      </c>
      <c r="G5483">
        <v>623</v>
      </c>
      <c r="H5483" t="s">
        <v>113</v>
      </c>
      <c r="I5483">
        <v>6</v>
      </c>
      <c r="J5483" t="s">
        <v>101</v>
      </c>
    </row>
    <row r="5484" spans="1:10" x14ac:dyDescent="0.25">
      <c r="A5484" t="s">
        <v>150</v>
      </c>
      <c r="B5484">
        <f>96175.8519652444*(1/100/100)</f>
        <v>9.6175851965244394</v>
      </c>
      <c r="C5484">
        <v>62136</v>
      </c>
      <c r="D5484" t="s">
        <v>7029</v>
      </c>
      <c r="E5484">
        <v>62314</v>
      </c>
      <c r="F5484" t="s">
        <v>1744</v>
      </c>
      <c r="G5484">
        <v>623</v>
      </c>
      <c r="H5484" t="s">
        <v>113</v>
      </c>
      <c r="I5484">
        <v>6</v>
      </c>
      <c r="J5484" t="s">
        <v>101</v>
      </c>
    </row>
    <row r="5485" spans="1:10" x14ac:dyDescent="0.25">
      <c r="A5485" t="s">
        <v>150</v>
      </c>
      <c r="B5485">
        <f>246770.279446901*(1/100/100)</f>
        <v>24.677027944690099</v>
      </c>
      <c r="C5485">
        <v>62137</v>
      </c>
      <c r="D5485" t="s">
        <v>399</v>
      </c>
      <c r="E5485">
        <v>62379</v>
      </c>
      <c r="F5485" t="s">
        <v>1756</v>
      </c>
      <c r="G5485">
        <v>623</v>
      </c>
      <c r="H5485" t="s">
        <v>113</v>
      </c>
      <c r="I5485">
        <v>6</v>
      </c>
      <c r="J5485" t="s">
        <v>101</v>
      </c>
    </row>
    <row r="5486" spans="1:10" x14ac:dyDescent="0.25">
      <c r="A5486" t="s">
        <v>150</v>
      </c>
      <c r="B5486">
        <f>56751.3509818223*(1/100/100)</f>
        <v>5.6751350981822304</v>
      </c>
      <c r="C5486">
        <v>62138</v>
      </c>
      <c r="D5486" t="s">
        <v>950</v>
      </c>
      <c r="E5486">
        <v>62390</v>
      </c>
      <c r="F5486" t="s">
        <v>1767</v>
      </c>
      <c r="G5486">
        <v>623</v>
      </c>
      <c r="H5486" t="s">
        <v>113</v>
      </c>
      <c r="I5486">
        <v>6</v>
      </c>
      <c r="J5486" t="s">
        <v>101</v>
      </c>
    </row>
    <row r="5487" spans="1:10" x14ac:dyDescent="0.25">
      <c r="A5487" t="s">
        <v>150</v>
      </c>
      <c r="B5487">
        <f>25067.8632155732*(1/100/100)</f>
        <v>2.5067863215573203</v>
      </c>
      <c r="C5487">
        <v>62139</v>
      </c>
      <c r="D5487" t="s">
        <v>7125</v>
      </c>
      <c r="E5487">
        <v>62386</v>
      </c>
      <c r="F5487" t="s">
        <v>1763</v>
      </c>
      <c r="G5487">
        <v>623</v>
      </c>
      <c r="H5487" t="s">
        <v>113</v>
      </c>
      <c r="I5487">
        <v>6</v>
      </c>
      <c r="J5487" t="s">
        <v>101</v>
      </c>
    </row>
    <row r="5488" spans="1:10" x14ac:dyDescent="0.25">
      <c r="A5488" t="s">
        <v>150</v>
      </c>
      <c r="B5488">
        <f>78596.0697102142*(1/100/100)</f>
        <v>7.85960697102142</v>
      </c>
      <c r="C5488">
        <v>62140</v>
      </c>
      <c r="D5488" t="s">
        <v>2269</v>
      </c>
      <c r="E5488">
        <v>62382</v>
      </c>
      <c r="F5488" t="s">
        <v>1759</v>
      </c>
      <c r="G5488">
        <v>623</v>
      </c>
      <c r="H5488" t="s">
        <v>113</v>
      </c>
      <c r="I5488">
        <v>6</v>
      </c>
      <c r="J5488" t="s">
        <v>101</v>
      </c>
    </row>
    <row r="5489" spans="1:10" x14ac:dyDescent="0.25">
      <c r="A5489" t="s">
        <v>150</v>
      </c>
      <c r="B5489">
        <f>81106.1280362341*(1/100/100)</f>
        <v>8.1106128036234111</v>
      </c>
      <c r="C5489">
        <v>62141</v>
      </c>
      <c r="D5489" t="s">
        <v>7097</v>
      </c>
      <c r="E5489">
        <v>62380</v>
      </c>
      <c r="F5489" t="s">
        <v>1757</v>
      </c>
      <c r="G5489">
        <v>623</v>
      </c>
      <c r="H5489" t="s">
        <v>113</v>
      </c>
      <c r="I5489">
        <v>6</v>
      </c>
      <c r="J5489" t="s">
        <v>101</v>
      </c>
    </row>
    <row r="5490" spans="1:10" x14ac:dyDescent="0.25">
      <c r="A5490" t="s">
        <v>150</v>
      </c>
      <c r="B5490">
        <f>28509.3517785945*(1/100/100)</f>
        <v>2.8509351778594501</v>
      </c>
      <c r="C5490">
        <v>62142</v>
      </c>
      <c r="D5490" t="s">
        <v>7107</v>
      </c>
      <c r="E5490">
        <v>62382</v>
      </c>
      <c r="F5490" t="s">
        <v>1759</v>
      </c>
      <c r="G5490">
        <v>623</v>
      </c>
      <c r="H5490" t="s">
        <v>113</v>
      </c>
      <c r="I5490">
        <v>6</v>
      </c>
      <c r="J5490" t="s">
        <v>101</v>
      </c>
    </row>
    <row r="5491" spans="1:10" x14ac:dyDescent="0.25">
      <c r="A5491" t="s">
        <v>150</v>
      </c>
      <c r="B5491">
        <f>128061.01809233*(1/100/100)</f>
        <v>12.806101809233001</v>
      </c>
      <c r="C5491">
        <v>62143</v>
      </c>
      <c r="D5491" t="s">
        <v>7091</v>
      </c>
      <c r="E5491">
        <v>62379</v>
      </c>
      <c r="F5491" t="s">
        <v>1756</v>
      </c>
      <c r="G5491">
        <v>623</v>
      </c>
      <c r="H5491" t="s">
        <v>113</v>
      </c>
      <c r="I5491">
        <v>6</v>
      </c>
      <c r="J5491" t="s">
        <v>101</v>
      </c>
    </row>
    <row r="5492" spans="1:10" x14ac:dyDescent="0.25">
      <c r="A5492" t="s">
        <v>150</v>
      </c>
      <c r="B5492">
        <f>104471.471408166*(1/100/100)</f>
        <v>10.4471471408166</v>
      </c>
      <c r="C5492">
        <v>62144</v>
      </c>
      <c r="D5492" t="s">
        <v>1761</v>
      </c>
      <c r="E5492">
        <v>62384</v>
      </c>
      <c r="F5492" t="s">
        <v>1761</v>
      </c>
      <c r="G5492">
        <v>623</v>
      </c>
      <c r="H5492" t="s">
        <v>113</v>
      </c>
      <c r="I5492">
        <v>6</v>
      </c>
      <c r="J5492" t="s">
        <v>101</v>
      </c>
    </row>
    <row r="5493" spans="1:10" x14ac:dyDescent="0.25">
      <c r="A5493" t="s">
        <v>150</v>
      </c>
      <c r="B5493">
        <f>69818.8212389474*(1/100/100)</f>
        <v>6.9818821238947413</v>
      </c>
      <c r="C5493">
        <v>62145</v>
      </c>
      <c r="D5493" t="s">
        <v>7115</v>
      </c>
      <c r="E5493">
        <v>62384</v>
      </c>
      <c r="F5493" t="s">
        <v>1761</v>
      </c>
      <c r="G5493">
        <v>623</v>
      </c>
      <c r="H5493" t="s">
        <v>113</v>
      </c>
      <c r="I5493">
        <v>6</v>
      </c>
      <c r="J5493" t="s">
        <v>101</v>
      </c>
    </row>
    <row r="5494" spans="1:10" x14ac:dyDescent="0.25">
      <c r="A5494" t="s">
        <v>150</v>
      </c>
      <c r="B5494">
        <f>93106.1354697466*(1/100/100)</f>
        <v>9.3106135469746611</v>
      </c>
      <c r="C5494">
        <v>62146</v>
      </c>
      <c r="D5494" t="s">
        <v>4440</v>
      </c>
      <c r="E5494">
        <v>62380</v>
      </c>
      <c r="F5494" t="s">
        <v>1757</v>
      </c>
      <c r="G5494">
        <v>623</v>
      </c>
      <c r="H5494" t="s">
        <v>113</v>
      </c>
      <c r="I5494">
        <v>6</v>
      </c>
      <c r="J5494" t="s">
        <v>101</v>
      </c>
    </row>
    <row r="5495" spans="1:10" x14ac:dyDescent="0.25">
      <c r="A5495" t="s">
        <v>150</v>
      </c>
      <c r="B5495">
        <f>76517.6738306635*(1/100/100)</f>
        <v>7.6517673830663497</v>
      </c>
      <c r="C5495">
        <v>62147</v>
      </c>
      <c r="D5495" t="s">
        <v>7092</v>
      </c>
      <c r="E5495">
        <v>62379</v>
      </c>
      <c r="F5495" t="s">
        <v>1756</v>
      </c>
      <c r="G5495">
        <v>623</v>
      </c>
      <c r="H5495" t="s">
        <v>113</v>
      </c>
      <c r="I5495">
        <v>6</v>
      </c>
      <c r="J5495" t="s">
        <v>101</v>
      </c>
    </row>
    <row r="5496" spans="1:10" x14ac:dyDescent="0.25">
      <c r="A5496" t="s">
        <v>150</v>
      </c>
      <c r="B5496">
        <f>32452.89140314*(1/100/100)</f>
        <v>3.2452891403140005</v>
      </c>
      <c r="C5496">
        <v>62148</v>
      </c>
      <c r="D5496" t="s">
        <v>7000</v>
      </c>
      <c r="E5496">
        <v>62382</v>
      </c>
      <c r="F5496" t="s">
        <v>1759</v>
      </c>
      <c r="G5496">
        <v>623</v>
      </c>
      <c r="H5496" t="s">
        <v>113</v>
      </c>
      <c r="I5496">
        <v>6</v>
      </c>
      <c r="J5496" t="s">
        <v>101</v>
      </c>
    </row>
    <row r="5497" spans="1:10" x14ac:dyDescent="0.25">
      <c r="A5497" t="s">
        <v>150</v>
      </c>
      <c r="B5497">
        <f>126634.759743793*(1/100/100)</f>
        <v>12.663475974379301</v>
      </c>
      <c r="C5497">
        <v>62149</v>
      </c>
      <c r="D5497" t="s">
        <v>7098</v>
      </c>
      <c r="E5497">
        <v>62380</v>
      </c>
      <c r="F5497" t="s">
        <v>1757</v>
      </c>
      <c r="G5497">
        <v>623</v>
      </c>
      <c r="H5497" t="s">
        <v>113</v>
      </c>
      <c r="I5497">
        <v>6</v>
      </c>
      <c r="J5497" t="s">
        <v>101</v>
      </c>
    </row>
    <row r="5498" spans="1:10" x14ac:dyDescent="0.25">
      <c r="A5498" t="s">
        <v>150</v>
      </c>
      <c r="B5498">
        <f>94798.2106832729*(1/100/100)</f>
        <v>9.4798210683272917</v>
      </c>
      <c r="C5498">
        <v>62151</v>
      </c>
      <c r="D5498" t="s">
        <v>1763</v>
      </c>
      <c r="E5498">
        <v>62386</v>
      </c>
      <c r="F5498" t="s">
        <v>1763</v>
      </c>
      <c r="G5498">
        <v>623</v>
      </c>
      <c r="H5498" t="s">
        <v>113</v>
      </c>
      <c r="I5498">
        <v>6</v>
      </c>
      <c r="J5498" t="s">
        <v>101</v>
      </c>
    </row>
    <row r="5499" spans="1:10" x14ac:dyDescent="0.25">
      <c r="A5499" t="s">
        <v>150</v>
      </c>
      <c r="B5499">
        <f>64839.3197876172*(1/100/100)</f>
        <v>6.4839319787617198</v>
      </c>
      <c r="C5499">
        <v>62152</v>
      </c>
      <c r="D5499" t="s">
        <v>3990</v>
      </c>
      <c r="E5499">
        <v>62311</v>
      </c>
      <c r="F5499" t="s">
        <v>1743</v>
      </c>
      <c r="G5499">
        <v>623</v>
      </c>
      <c r="H5499" t="s">
        <v>113</v>
      </c>
      <c r="I5499">
        <v>6</v>
      </c>
      <c r="J5499" t="s">
        <v>101</v>
      </c>
    </row>
    <row r="5500" spans="1:10" x14ac:dyDescent="0.25">
      <c r="A5500" t="s">
        <v>150</v>
      </c>
      <c r="B5500">
        <f>100107.333488137*(1/100/100)</f>
        <v>10.0107333488137</v>
      </c>
      <c r="C5500">
        <v>62153</v>
      </c>
      <c r="D5500" t="s">
        <v>7116</v>
      </c>
      <c r="E5500">
        <v>62384</v>
      </c>
      <c r="F5500" t="s">
        <v>1761</v>
      </c>
      <c r="G5500">
        <v>623</v>
      </c>
      <c r="H5500" t="s">
        <v>113</v>
      </c>
      <c r="I5500">
        <v>6</v>
      </c>
      <c r="J5500" t="s">
        <v>101</v>
      </c>
    </row>
    <row r="5501" spans="1:10" x14ac:dyDescent="0.25">
      <c r="A5501" t="s">
        <v>150</v>
      </c>
      <c r="B5501">
        <f>36273.1392090031*(1/100/100)</f>
        <v>3.6273139209003102</v>
      </c>
      <c r="C5501">
        <v>62154</v>
      </c>
      <c r="D5501" t="s">
        <v>7126</v>
      </c>
      <c r="E5501">
        <v>62386</v>
      </c>
      <c r="F5501" t="s">
        <v>1763</v>
      </c>
      <c r="G5501">
        <v>623</v>
      </c>
      <c r="H5501" t="s">
        <v>113</v>
      </c>
      <c r="I5501">
        <v>6</v>
      </c>
      <c r="J5501" t="s">
        <v>101</v>
      </c>
    </row>
    <row r="5502" spans="1:10" x14ac:dyDescent="0.25">
      <c r="A5502" t="s">
        <v>150</v>
      </c>
      <c r="B5502">
        <f>44637.5028530294*(1/100/100)</f>
        <v>4.4637502853029405</v>
      </c>
      <c r="C5502">
        <v>62155</v>
      </c>
      <c r="D5502" t="s">
        <v>7127</v>
      </c>
      <c r="E5502">
        <v>62386</v>
      </c>
      <c r="F5502" t="s">
        <v>1763</v>
      </c>
      <c r="G5502">
        <v>623</v>
      </c>
      <c r="H5502" t="s">
        <v>113</v>
      </c>
      <c r="I5502">
        <v>6</v>
      </c>
      <c r="J5502" t="s">
        <v>101</v>
      </c>
    </row>
    <row r="5503" spans="1:10" x14ac:dyDescent="0.25">
      <c r="A5503" t="s">
        <v>150</v>
      </c>
      <c r="B5503">
        <f>32626.6816585677*(1/100/100)</f>
        <v>3.2626681658567702</v>
      </c>
      <c r="C5503">
        <v>62156</v>
      </c>
      <c r="D5503" t="s">
        <v>7147</v>
      </c>
      <c r="E5503">
        <v>62390</v>
      </c>
      <c r="F5503" t="s">
        <v>1767</v>
      </c>
      <c r="G5503">
        <v>623</v>
      </c>
      <c r="H5503" t="s">
        <v>113</v>
      </c>
      <c r="I5503">
        <v>6</v>
      </c>
      <c r="J5503" t="s">
        <v>101</v>
      </c>
    </row>
    <row r="5504" spans="1:10" x14ac:dyDescent="0.25">
      <c r="A5504" t="s">
        <v>150</v>
      </c>
      <c r="B5504">
        <f>131624.757512974*(1/100/100)</f>
        <v>13.1624757512974</v>
      </c>
      <c r="C5504">
        <v>62157</v>
      </c>
      <c r="D5504" t="s">
        <v>7108</v>
      </c>
      <c r="E5504">
        <v>62382</v>
      </c>
      <c r="F5504" t="s">
        <v>1759</v>
      </c>
      <c r="G5504">
        <v>623</v>
      </c>
      <c r="H5504" t="s">
        <v>113</v>
      </c>
      <c r="I5504">
        <v>6</v>
      </c>
      <c r="J5504" t="s">
        <v>101</v>
      </c>
    </row>
    <row r="5505" spans="1:10" x14ac:dyDescent="0.25">
      <c r="A5505" t="s">
        <v>150</v>
      </c>
      <c r="B5505">
        <f>19553.5986525921*(1/100/100)</f>
        <v>1.9553598652592101</v>
      </c>
      <c r="C5505">
        <v>62158</v>
      </c>
      <c r="D5505" t="s">
        <v>5865</v>
      </c>
      <c r="E5505">
        <v>62390</v>
      </c>
      <c r="F5505" t="s">
        <v>1767</v>
      </c>
      <c r="G5505">
        <v>623</v>
      </c>
      <c r="H5505" t="s">
        <v>113</v>
      </c>
      <c r="I5505">
        <v>6</v>
      </c>
      <c r="J5505" t="s">
        <v>101</v>
      </c>
    </row>
    <row r="5506" spans="1:10" x14ac:dyDescent="0.25">
      <c r="A5506" t="s">
        <v>150</v>
      </c>
      <c r="B5506">
        <f>21685.594589694*(1/100/100)</f>
        <v>2.1685594589693999</v>
      </c>
      <c r="C5506">
        <v>62159</v>
      </c>
      <c r="D5506" t="s">
        <v>7109</v>
      </c>
      <c r="E5506">
        <v>62382</v>
      </c>
      <c r="F5506" t="s">
        <v>1759</v>
      </c>
      <c r="G5506">
        <v>623</v>
      </c>
      <c r="H5506" t="s">
        <v>113</v>
      </c>
      <c r="I5506">
        <v>6</v>
      </c>
      <c r="J5506" t="s">
        <v>101</v>
      </c>
    </row>
    <row r="5507" spans="1:10" x14ac:dyDescent="0.25">
      <c r="A5507" t="s">
        <v>150</v>
      </c>
      <c r="B5507">
        <f>89591.0421327587*(1/100/100)</f>
        <v>8.9591042132758698</v>
      </c>
      <c r="C5507">
        <v>62160</v>
      </c>
      <c r="D5507" t="s">
        <v>3161</v>
      </c>
      <c r="E5507">
        <v>62375</v>
      </c>
      <c r="F5507" t="s">
        <v>1752</v>
      </c>
      <c r="G5507">
        <v>623</v>
      </c>
      <c r="H5507" t="s">
        <v>113</v>
      </c>
      <c r="I5507">
        <v>6</v>
      </c>
      <c r="J5507" t="s">
        <v>101</v>
      </c>
    </row>
    <row r="5508" spans="1:10" x14ac:dyDescent="0.25">
      <c r="A5508" t="s">
        <v>150</v>
      </c>
      <c r="B5508">
        <f>34639.6514148481*(1/100/100)</f>
        <v>3.4639651414848101</v>
      </c>
      <c r="C5508">
        <v>62161</v>
      </c>
      <c r="D5508" t="s">
        <v>7061</v>
      </c>
      <c r="E5508">
        <v>62375</v>
      </c>
      <c r="F5508" t="s">
        <v>1752</v>
      </c>
      <c r="G5508">
        <v>623</v>
      </c>
      <c r="H5508" t="s">
        <v>113</v>
      </c>
      <c r="I5508">
        <v>6</v>
      </c>
      <c r="J5508" t="s">
        <v>101</v>
      </c>
    </row>
    <row r="5509" spans="1:10" x14ac:dyDescent="0.25">
      <c r="A5509" t="s">
        <v>150</v>
      </c>
      <c r="B5509">
        <f>105503.600117674*(1/100/100)</f>
        <v>10.550360011767401</v>
      </c>
      <c r="C5509">
        <v>62163</v>
      </c>
      <c r="D5509" t="s">
        <v>2867</v>
      </c>
      <c r="E5509">
        <v>62379</v>
      </c>
      <c r="F5509" t="s">
        <v>1756</v>
      </c>
      <c r="G5509">
        <v>623</v>
      </c>
      <c r="H5509" t="s">
        <v>113</v>
      </c>
      <c r="I5509">
        <v>6</v>
      </c>
      <c r="J5509" t="s">
        <v>101</v>
      </c>
    </row>
    <row r="5510" spans="1:10" x14ac:dyDescent="0.25">
      <c r="A5510" t="s">
        <v>150</v>
      </c>
      <c r="B5510">
        <f>23638.3956282697*(1/100/100)</f>
        <v>2.3638395628269699</v>
      </c>
      <c r="C5510">
        <v>62164</v>
      </c>
      <c r="D5510" t="s">
        <v>3410</v>
      </c>
      <c r="E5510">
        <v>62375</v>
      </c>
      <c r="F5510" t="s">
        <v>1752</v>
      </c>
      <c r="G5510">
        <v>623</v>
      </c>
      <c r="H5510" t="s">
        <v>113</v>
      </c>
      <c r="I5510">
        <v>6</v>
      </c>
      <c r="J5510" t="s">
        <v>101</v>
      </c>
    </row>
    <row r="5511" spans="1:10" x14ac:dyDescent="0.25">
      <c r="A5511" t="s">
        <v>150</v>
      </c>
      <c r="B5511">
        <f>89669.0702360236*(1/100/100)</f>
        <v>8.96690702360236</v>
      </c>
      <c r="C5511">
        <v>62165</v>
      </c>
      <c r="D5511" t="s">
        <v>2954</v>
      </c>
      <c r="E5511">
        <v>62382</v>
      </c>
      <c r="F5511" t="s">
        <v>1759</v>
      </c>
      <c r="G5511">
        <v>623</v>
      </c>
      <c r="H5511" t="s">
        <v>113</v>
      </c>
      <c r="I5511">
        <v>6</v>
      </c>
      <c r="J5511" t="s">
        <v>101</v>
      </c>
    </row>
    <row r="5512" spans="1:10" x14ac:dyDescent="0.25">
      <c r="A5512" t="s">
        <v>150</v>
      </c>
      <c r="B5512">
        <f>67594.5651581058*(1/100/100)</f>
        <v>6.759456515810581</v>
      </c>
      <c r="C5512">
        <v>62166</v>
      </c>
      <c r="D5512" t="s">
        <v>7117</v>
      </c>
      <c r="E5512">
        <v>62384</v>
      </c>
      <c r="F5512" t="s">
        <v>1761</v>
      </c>
      <c r="G5512">
        <v>623</v>
      </c>
      <c r="H5512" t="s">
        <v>113</v>
      </c>
      <c r="I5512">
        <v>6</v>
      </c>
      <c r="J5512" t="s">
        <v>101</v>
      </c>
    </row>
    <row r="5513" spans="1:10" x14ac:dyDescent="0.25">
      <c r="A5513" t="s">
        <v>150</v>
      </c>
      <c r="B5513">
        <f>66156.3018116087*(1/100/100)</f>
        <v>6.6156301811608706</v>
      </c>
      <c r="C5513">
        <v>62167</v>
      </c>
      <c r="D5513" t="s">
        <v>7099</v>
      </c>
      <c r="E5513">
        <v>62380</v>
      </c>
      <c r="F5513" t="s">
        <v>1757</v>
      </c>
      <c r="G5513">
        <v>623</v>
      </c>
      <c r="H5513" t="s">
        <v>113</v>
      </c>
      <c r="I5513">
        <v>6</v>
      </c>
      <c r="J5513" t="s">
        <v>101</v>
      </c>
    </row>
    <row r="5514" spans="1:10" x14ac:dyDescent="0.25">
      <c r="A5514" t="s">
        <v>150</v>
      </c>
      <c r="B5514">
        <f>103817.206405982*(1/100/100)</f>
        <v>10.3817206405982</v>
      </c>
      <c r="C5514">
        <v>62201</v>
      </c>
      <c r="D5514" t="s">
        <v>6987</v>
      </c>
      <c r="E5514">
        <v>62267</v>
      </c>
      <c r="F5514" t="s">
        <v>1731</v>
      </c>
      <c r="G5514">
        <v>622</v>
      </c>
      <c r="H5514" t="s">
        <v>112</v>
      </c>
      <c r="I5514">
        <v>6</v>
      </c>
      <c r="J5514" t="s">
        <v>101</v>
      </c>
    </row>
    <row r="5515" spans="1:10" x14ac:dyDescent="0.25">
      <c r="A5515" t="s">
        <v>150</v>
      </c>
      <c r="B5515">
        <f>49763.6252329812*(1/100/100)</f>
        <v>4.9763625232981203</v>
      </c>
      <c r="C5515">
        <v>62202</v>
      </c>
      <c r="D5515" t="s">
        <v>6889</v>
      </c>
      <c r="E5515">
        <v>62252</v>
      </c>
      <c r="F5515" t="s">
        <v>1725</v>
      </c>
      <c r="G5515">
        <v>622</v>
      </c>
      <c r="H5515" t="s">
        <v>112</v>
      </c>
      <c r="I5515">
        <v>6</v>
      </c>
      <c r="J5515" t="s">
        <v>101</v>
      </c>
    </row>
    <row r="5516" spans="1:10" x14ac:dyDescent="0.25">
      <c r="A5516" t="s">
        <v>150</v>
      </c>
      <c r="B5516">
        <f>53088.4710088907*(1/100/100)</f>
        <v>5.3088471008890705</v>
      </c>
      <c r="C5516">
        <v>62203</v>
      </c>
      <c r="D5516" t="s">
        <v>5804</v>
      </c>
      <c r="E5516">
        <v>62202</v>
      </c>
      <c r="F5516" t="s">
        <v>1708</v>
      </c>
      <c r="G5516">
        <v>622</v>
      </c>
      <c r="H5516" t="s">
        <v>112</v>
      </c>
      <c r="I5516">
        <v>6</v>
      </c>
      <c r="J5516" t="s">
        <v>101</v>
      </c>
    </row>
    <row r="5517" spans="1:10" x14ac:dyDescent="0.25">
      <c r="A5517" t="s">
        <v>150</v>
      </c>
      <c r="B5517">
        <f>100679.897276238*(1/100/100)</f>
        <v>10.0679897276238</v>
      </c>
      <c r="C5517">
        <v>62204</v>
      </c>
      <c r="D5517" t="s">
        <v>4932</v>
      </c>
      <c r="E5517">
        <v>62202</v>
      </c>
      <c r="F5517" t="s">
        <v>1708</v>
      </c>
      <c r="G5517">
        <v>622</v>
      </c>
      <c r="H5517" t="s">
        <v>112</v>
      </c>
      <c r="I5517">
        <v>6</v>
      </c>
      <c r="J5517" t="s">
        <v>101</v>
      </c>
    </row>
    <row r="5518" spans="1:10" x14ac:dyDescent="0.25">
      <c r="A5518" t="s">
        <v>150</v>
      </c>
      <c r="B5518">
        <f>20566.5627571005*(1/100/100)</f>
        <v>2.0566562757100502</v>
      </c>
      <c r="C5518">
        <v>62205</v>
      </c>
      <c r="D5518" t="s">
        <v>3507</v>
      </c>
      <c r="E5518">
        <v>62271</v>
      </c>
      <c r="F5518" t="s">
        <v>1735</v>
      </c>
      <c r="G5518">
        <v>622</v>
      </c>
      <c r="H5518" t="s">
        <v>112</v>
      </c>
      <c r="I5518">
        <v>6</v>
      </c>
      <c r="J5518" t="s">
        <v>101</v>
      </c>
    </row>
    <row r="5519" spans="1:10" x14ac:dyDescent="0.25">
      <c r="A5519" t="s">
        <v>150</v>
      </c>
      <c r="B5519">
        <f>152822.011533176*(1/100/100)</f>
        <v>15.282201153317601</v>
      </c>
      <c r="C5519">
        <v>62206</v>
      </c>
      <c r="D5519" t="s">
        <v>1710</v>
      </c>
      <c r="E5519">
        <v>62206</v>
      </c>
      <c r="F5519" t="s">
        <v>1710</v>
      </c>
      <c r="G5519">
        <v>622</v>
      </c>
      <c r="H5519" t="s">
        <v>112</v>
      </c>
      <c r="I5519">
        <v>6</v>
      </c>
      <c r="J5519" t="s">
        <v>101</v>
      </c>
    </row>
    <row r="5520" spans="1:10" x14ac:dyDescent="0.25">
      <c r="A5520" t="s">
        <v>150</v>
      </c>
      <c r="B5520">
        <f>11489.713594394*(1/100/100)</f>
        <v>1.1489713594394</v>
      </c>
      <c r="C5520">
        <v>62207</v>
      </c>
      <c r="D5520" t="s">
        <v>5478</v>
      </c>
      <c r="E5520">
        <v>62271</v>
      </c>
      <c r="F5520" t="s">
        <v>1735</v>
      </c>
      <c r="G5520">
        <v>622</v>
      </c>
      <c r="H5520" t="s">
        <v>112</v>
      </c>
      <c r="I5520">
        <v>6</v>
      </c>
      <c r="J5520" t="s">
        <v>101</v>
      </c>
    </row>
    <row r="5521" spans="1:10" x14ac:dyDescent="0.25">
      <c r="A5521" t="s">
        <v>150</v>
      </c>
      <c r="B5521">
        <f>60576.755550829*(1/100/100)</f>
        <v>6.0576755550829002</v>
      </c>
      <c r="C5521">
        <v>62208</v>
      </c>
      <c r="D5521" t="s">
        <v>3389</v>
      </c>
      <c r="E5521">
        <v>62273</v>
      </c>
      <c r="F5521" t="s">
        <v>7006</v>
      </c>
      <c r="G5521">
        <v>622</v>
      </c>
      <c r="H5521" t="s">
        <v>112</v>
      </c>
      <c r="I5521">
        <v>6</v>
      </c>
      <c r="J5521" t="s">
        <v>101</v>
      </c>
    </row>
    <row r="5522" spans="1:10" x14ac:dyDescent="0.25">
      <c r="A5522" t="s">
        <v>150</v>
      </c>
      <c r="B5522">
        <f>20655.3717751524*(1/100/100)</f>
        <v>2.0655371775152398</v>
      </c>
      <c r="C5522">
        <v>62209</v>
      </c>
      <c r="D5522" t="s">
        <v>2229</v>
      </c>
      <c r="E5522">
        <v>62271</v>
      </c>
      <c r="F5522" t="s">
        <v>1735</v>
      </c>
      <c r="G5522">
        <v>622</v>
      </c>
      <c r="H5522" t="s">
        <v>112</v>
      </c>
      <c r="I5522">
        <v>6</v>
      </c>
      <c r="J5522" t="s">
        <v>101</v>
      </c>
    </row>
    <row r="5523" spans="1:10" x14ac:dyDescent="0.25">
      <c r="A5523" t="s">
        <v>150</v>
      </c>
      <c r="B5523">
        <f>16160.9147975939*(1/100/100)</f>
        <v>1.6160914797593899</v>
      </c>
      <c r="C5523">
        <v>62210</v>
      </c>
      <c r="D5523" t="s">
        <v>1711</v>
      </c>
      <c r="E5523">
        <v>62267</v>
      </c>
      <c r="F5523" t="s">
        <v>1731</v>
      </c>
      <c r="G5523">
        <v>622</v>
      </c>
      <c r="H5523" t="s">
        <v>112</v>
      </c>
      <c r="I5523">
        <v>6</v>
      </c>
      <c r="J5523" t="s">
        <v>101</v>
      </c>
    </row>
    <row r="5524" spans="1:10" x14ac:dyDescent="0.25">
      <c r="A5524" t="s">
        <v>150</v>
      </c>
      <c r="B5524">
        <f>15872.5738263568*(1/100/100)</f>
        <v>1.5872573826356802</v>
      </c>
      <c r="C5524">
        <v>62211</v>
      </c>
      <c r="D5524" t="s">
        <v>3258</v>
      </c>
      <c r="E5524">
        <v>62271</v>
      </c>
      <c r="F5524" t="s">
        <v>1735</v>
      </c>
      <c r="G5524">
        <v>622</v>
      </c>
      <c r="H5524" t="s">
        <v>112</v>
      </c>
      <c r="I5524">
        <v>6</v>
      </c>
      <c r="J5524" t="s">
        <v>101</v>
      </c>
    </row>
    <row r="5525" spans="1:10" x14ac:dyDescent="0.25">
      <c r="A5525" t="s">
        <v>150</v>
      </c>
      <c r="B5525">
        <f>715943.200593186*(1/100/100)</f>
        <v>71.594320059318605</v>
      </c>
      <c r="C5525">
        <v>62212</v>
      </c>
      <c r="D5525" t="s">
        <v>1731</v>
      </c>
      <c r="E5525">
        <v>62267</v>
      </c>
      <c r="F5525" t="s">
        <v>1731</v>
      </c>
      <c r="G5525">
        <v>622</v>
      </c>
      <c r="H5525" t="s">
        <v>112</v>
      </c>
      <c r="I5525">
        <v>6</v>
      </c>
      <c r="J5525" t="s">
        <v>101</v>
      </c>
    </row>
    <row r="5526" spans="1:10" x14ac:dyDescent="0.25">
      <c r="A5526" t="s">
        <v>150</v>
      </c>
      <c r="B5526">
        <f>27962.1406492763*(1/100/100)</f>
        <v>2.7962140649276304</v>
      </c>
      <c r="C5526">
        <v>62213</v>
      </c>
      <c r="D5526" t="s">
        <v>7007</v>
      </c>
      <c r="E5526">
        <v>62273</v>
      </c>
      <c r="F5526" t="s">
        <v>7006</v>
      </c>
      <c r="G5526">
        <v>622</v>
      </c>
      <c r="H5526" t="s">
        <v>112</v>
      </c>
      <c r="I5526">
        <v>6</v>
      </c>
      <c r="J5526" t="s">
        <v>101</v>
      </c>
    </row>
    <row r="5527" spans="1:10" x14ac:dyDescent="0.25">
      <c r="A5527" t="s">
        <v>150</v>
      </c>
      <c r="B5527">
        <f>73350.5967723627*(1/100/100)</f>
        <v>7.3350596772362699</v>
      </c>
      <c r="C5527">
        <v>62214</v>
      </c>
      <c r="D5527" t="s">
        <v>6937</v>
      </c>
      <c r="E5527">
        <v>62216</v>
      </c>
      <c r="F5527" t="s">
        <v>1714</v>
      </c>
      <c r="G5527">
        <v>622</v>
      </c>
      <c r="H5527" t="s">
        <v>112</v>
      </c>
      <c r="I5527">
        <v>6</v>
      </c>
      <c r="J5527" t="s">
        <v>101</v>
      </c>
    </row>
    <row r="5528" spans="1:10" x14ac:dyDescent="0.25">
      <c r="A5528" t="s">
        <v>150</v>
      </c>
      <c r="B5528">
        <f>92096.5393655658*(1/100/100)</f>
        <v>9.209653936556581</v>
      </c>
      <c r="C5528">
        <v>62215</v>
      </c>
      <c r="D5528" t="s">
        <v>1714</v>
      </c>
      <c r="E5528">
        <v>62216</v>
      </c>
      <c r="F5528" t="s">
        <v>1714</v>
      </c>
      <c r="G5528">
        <v>622</v>
      </c>
      <c r="H5528" t="s">
        <v>112</v>
      </c>
      <c r="I5528">
        <v>6</v>
      </c>
      <c r="J5528" t="s">
        <v>101</v>
      </c>
    </row>
    <row r="5529" spans="1:10" x14ac:dyDescent="0.25">
      <c r="A5529" t="s">
        <v>150</v>
      </c>
      <c r="B5529">
        <f>118231.913857545*(1/100/100)</f>
        <v>11.823191385754502</v>
      </c>
      <c r="C5529">
        <v>62216</v>
      </c>
      <c r="D5529" t="s">
        <v>1733</v>
      </c>
      <c r="E5529">
        <v>62269</v>
      </c>
      <c r="F5529" t="s">
        <v>1733</v>
      </c>
      <c r="G5529">
        <v>622</v>
      </c>
      <c r="H5529" t="s">
        <v>112</v>
      </c>
      <c r="I5529">
        <v>6</v>
      </c>
      <c r="J5529" t="s">
        <v>101</v>
      </c>
    </row>
    <row r="5530" spans="1:10" x14ac:dyDescent="0.25">
      <c r="A5530" t="s">
        <v>150</v>
      </c>
      <c r="B5530">
        <f>77203.8591703279*(1/100/100)</f>
        <v>7.7203859170327895</v>
      </c>
      <c r="C5530">
        <v>62217</v>
      </c>
      <c r="D5530" t="s">
        <v>6996</v>
      </c>
      <c r="E5530">
        <v>62269</v>
      </c>
      <c r="F5530" t="s">
        <v>1733</v>
      </c>
      <c r="G5530">
        <v>622</v>
      </c>
      <c r="H5530" t="s">
        <v>112</v>
      </c>
      <c r="I5530">
        <v>6</v>
      </c>
      <c r="J5530" t="s">
        <v>101</v>
      </c>
    </row>
    <row r="5531" spans="1:10" x14ac:dyDescent="0.25">
      <c r="A5531" t="s">
        <v>150</v>
      </c>
      <c r="B5531">
        <f>55740.6859821546*(1/100/100)</f>
        <v>5.5740685982154607</v>
      </c>
      <c r="C5531">
        <v>62218</v>
      </c>
      <c r="D5531" t="s">
        <v>699</v>
      </c>
      <c r="E5531">
        <v>62269</v>
      </c>
      <c r="F5531" t="s">
        <v>1733</v>
      </c>
      <c r="G5531">
        <v>622</v>
      </c>
      <c r="H5531" t="s">
        <v>112</v>
      </c>
      <c r="I5531">
        <v>6</v>
      </c>
      <c r="J5531" t="s">
        <v>101</v>
      </c>
    </row>
    <row r="5532" spans="1:10" x14ac:dyDescent="0.25">
      <c r="A5532" t="s">
        <v>150</v>
      </c>
      <c r="B5532">
        <f>35705.6389075673*(1/100/100)</f>
        <v>3.5705638907567301</v>
      </c>
      <c r="C5532">
        <v>62219</v>
      </c>
      <c r="D5532" t="s">
        <v>1734</v>
      </c>
      <c r="E5532">
        <v>62267</v>
      </c>
      <c r="F5532" t="s">
        <v>1731</v>
      </c>
      <c r="G5532">
        <v>622</v>
      </c>
      <c r="H5532" t="s">
        <v>112</v>
      </c>
      <c r="I5532">
        <v>6</v>
      </c>
      <c r="J5532" t="s">
        <v>101</v>
      </c>
    </row>
    <row r="5533" spans="1:10" x14ac:dyDescent="0.25">
      <c r="A5533" t="s">
        <v>150</v>
      </c>
      <c r="B5533">
        <f>26923.4156214114*(1/100/100)</f>
        <v>2.6923415621411402</v>
      </c>
      <c r="C5533">
        <v>62220</v>
      </c>
      <c r="D5533" t="s">
        <v>6997</v>
      </c>
      <c r="E5533">
        <v>62269</v>
      </c>
      <c r="F5533" t="s">
        <v>1733</v>
      </c>
      <c r="G5533">
        <v>622</v>
      </c>
      <c r="H5533" t="s">
        <v>112</v>
      </c>
      <c r="I5533">
        <v>6</v>
      </c>
      <c r="J5533" t="s">
        <v>101</v>
      </c>
    </row>
    <row r="5534" spans="1:10" x14ac:dyDescent="0.25">
      <c r="A5534" t="s">
        <v>150</v>
      </c>
      <c r="B5534">
        <f>54740.5307128579*(1/100/100)</f>
        <v>5.4740530712857902</v>
      </c>
      <c r="C5534">
        <v>62221</v>
      </c>
      <c r="D5534" t="s">
        <v>7001</v>
      </c>
      <c r="E5534">
        <v>62271</v>
      </c>
      <c r="F5534" t="s">
        <v>1735</v>
      </c>
      <c r="G5534">
        <v>622</v>
      </c>
      <c r="H5534" t="s">
        <v>112</v>
      </c>
      <c r="I5534">
        <v>6</v>
      </c>
      <c r="J5534" t="s">
        <v>101</v>
      </c>
    </row>
    <row r="5535" spans="1:10" x14ac:dyDescent="0.25">
      <c r="A5535" t="s">
        <v>150</v>
      </c>
      <c r="B5535">
        <f>125185.561593164*(1/100/100)</f>
        <v>12.5185561593164</v>
      </c>
      <c r="C5535">
        <v>62222</v>
      </c>
      <c r="D5535" t="s">
        <v>1735</v>
      </c>
      <c r="E5535">
        <v>62271</v>
      </c>
      <c r="F5535" t="s">
        <v>1735</v>
      </c>
      <c r="G5535">
        <v>622</v>
      </c>
      <c r="H5535" t="s">
        <v>112</v>
      </c>
      <c r="I5535">
        <v>6</v>
      </c>
      <c r="J5535" t="s">
        <v>101</v>
      </c>
    </row>
    <row r="5536" spans="1:10" x14ac:dyDescent="0.25">
      <c r="A5536" t="s">
        <v>150</v>
      </c>
      <c r="B5536">
        <f>23978.933483093*(1/100/100)</f>
        <v>2.3978933483092999</v>
      </c>
      <c r="C5536">
        <v>62223</v>
      </c>
      <c r="D5536" t="s">
        <v>6275</v>
      </c>
      <c r="E5536">
        <v>62271</v>
      </c>
      <c r="F5536" t="s">
        <v>1735</v>
      </c>
      <c r="G5536">
        <v>622</v>
      </c>
      <c r="H5536" t="s">
        <v>112</v>
      </c>
      <c r="I5536">
        <v>6</v>
      </c>
      <c r="J5536" t="s">
        <v>101</v>
      </c>
    </row>
    <row r="5537" spans="1:10" x14ac:dyDescent="0.25">
      <c r="A5537" t="s">
        <v>150</v>
      </c>
      <c r="B5537">
        <f>39873.5997815551*(1/100/100)</f>
        <v>3.9873599781555105</v>
      </c>
      <c r="C5537">
        <v>62224</v>
      </c>
      <c r="D5537" t="s">
        <v>7002</v>
      </c>
      <c r="E5537">
        <v>62271</v>
      </c>
      <c r="F5537" t="s">
        <v>1735</v>
      </c>
      <c r="G5537">
        <v>622</v>
      </c>
      <c r="H5537" t="s">
        <v>112</v>
      </c>
      <c r="I5537">
        <v>6</v>
      </c>
      <c r="J5537" t="s">
        <v>101</v>
      </c>
    </row>
    <row r="5538" spans="1:10" x14ac:dyDescent="0.25">
      <c r="A5538" t="s">
        <v>150</v>
      </c>
      <c r="B5538">
        <f>64621.0976159536*(1/100/100)</f>
        <v>6.46210976159536</v>
      </c>
      <c r="C5538">
        <v>62225</v>
      </c>
      <c r="D5538" t="s">
        <v>6921</v>
      </c>
      <c r="E5538">
        <v>62202</v>
      </c>
      <c r="F5538" t="s">
        <v>1708</v>
      </c>
      <c r="G5538">
        <v>622</v>
      </c>
      <c r="H5538" t="s">
        <v>112</v>
      </c>
      <c r="I5538">
        <v>6</v>
      </c>
      <c r="J5538" t="s">
        <v>101</v>
      </c>
    </row>
    <row r="5539" spans="1:10" x14ac:dyDescent="0.25">
      <c r="A5539" t="s">
        <v>150</v>
      </c>
      <c r="B5539">
        <f>12579.340325479*(1/100/100)</f>
        <v>1.2579340325479</v>
      </c>
      <c r="C5539">
        <v>62226</v>
      </c>
      <c r="D5539" t="s">
        <v>6968</v>
      </c>
      <c r="E5539">
        <v>62252</v>
      </c>
      <c r="F5539" t="s">
        <v>1725</v>
      </c>
      <c r="G5539">
        <v>622</v>
      </c>
      <c r="H5539" t="s">
        <v>112</v>
      </c>
      <c r="I5539">
        <v>6</v>
      </c>
      <c r="J5539" t="s">
        <v>101</v>
      </c>
    </row>
    <row r="5540" spans="1:10" x14ac:dyDescent="0.25">
      <c r="A5540" t="s">
        <v>150</v>
      </c>
      <c r="B5540">
        <f>69692.4923104839*(1/100/100)</f>
        <v>6.9692492310483898</v>
      </c>
      <c r="C5540">
        <v>62227</v>
      </c>
      <c r="D5540" t="s">
        <v>5745</v>
      </c>
      <c r="E5540">
        <v>62216</v>
      </c>
      <c r="F5540" t="s">
        <v>1714</v>
      </c>
      <c r="G5540">
        <v>622</v>
      </c>
      <c r="H5540" t="s">
        <v>112</v>
      </c>
      <c r="I5540">
        <v>6</v>
      </c>
      <c r="J5540" t="s">
        <v>101</v>
      </c>
    </row>
    <row r="5541" spans="1:10" x14ac:dyDescent="0.25">
      <c r="A5541" t="s">
        <v>150</v>
      </c>
      <c r="B5541">
        <f>19912.8382698829*(1/100/100)</f>
        <v>1.9912838269882902</v>
      </c>
      <c r="C5541">
        <v>62228</v>
      </c>
      <c r="D5541" t="s">
        <v>5240</v>
      </c>
      <c r="E5541">
        <v>62271</v>
      </c>
      <c r="F5541" t="s">
        <v>1735</v>
      </c>
      <c r="G5541">
        <v>622</v>
      </c>
      <c r="H5541" t="s">
        <v>112</v>
      </c>
      <c r="I5541">
        <v>6</v>
      </c>
      <c r="J5541" t="s">
        <v>101</v>
      </c>
    </row>
    <row r="5542" spans="1:10" x14ac:dyDescent="0.25">
      <c r="A5542" t="s">
        <v>150</v>
      </c>
      <c r="B5542">
        <f>63687.1605875499*(1/100/100)</f>
        <v>6.3687160587549903</v>
      </c>
      <c r="C5542">
        <v>62229</v>
      </c>
      <c r="D5542" t="s">
        <v>6922</v>
      </c>
      <c r="E5542">
        <v>62202</v>
      </c>
      <c r="F5542" t="s">
        <v>1708</v>
      </c>
      <c r="G5542">
        <v>622</v>
      </c>
      <c r="H5542" t="s">
        <v>112</v>
      </c>
      <c r="I5542">
        <v>6</v>
      </c>
      <c r="J5542" t="s">
        <v>101</v>
      </c>
    </row>
    <row r="5543" spans="1:10" x14ac:dyDescent="0.25">
      <c r="A5543" t="s">
        <v>150</v>
      </c>
      <c r="B5543">
        <f>19470.2061648021*(1/100/100)</f>
        <v>1.9470206164802102</v>
      </c>
      <c r="C5543">
        <v>62230</v>
      </c>
      <c r="D5543" t="s">
        <v>6923</v>
      </c>
      <c r="E5543">
        <v>62202</v>
      </c>
      <c r="F5543" t="s">
        <v>1708</v>
      </c>
      <c r="G5543">
        <v>622</v>
      </c>
      <c r="H5543" t="s">
        <v>112</v>
      </c>
      <c r="I5543">
        <v>6</v>
      </c>
      <c r="J5543" t="s">
        <v>101</v>
      </c>
    </row>
    <row r="5544" spans="1:10" x14ac:dyDescent="0.25">
      <c r="A5544" t="s">
        <v>150</v>
      </c>
      <c r="B5544">
        <f>139379.244764203*(1/100/100)</f>
        <v>13.937924476420301</v>
      </c>
      <c r="C5544">
        <v>62231</v>
      </c>
      <c r="D5544" t="s">
        <v>2255</v>
      </c>
      <c r="E5544">
        <v>62273</v>
      </c>
      <c r="F5544" t="s">
        <v>7006</v>
      </c>
      <c r="G5544">
        <v>622</v>
      </c>
      <c r="H5544" t="s">
        <v>112</v>
      </c>
      <c r="I5544">
        <v>6</v>
      </c>
      <c r="J5544" t="s">
        <v>101</v>
      </c>
    </row>
    <row r="5545" spans="1:10" x14ac:dyDescent="0.25">
      <c r="A5545" t="s">
        <v>150</v>
      </c>
      <c r="B5545">
        <f>37474.7466991977*(1/100/100)</f>
        <v>3.7474746699197699</v>
      </c>
      <c r="C5545">
        <v>62232</v>
      </c>
      <c r="D5545" t="s">
        <v>6998</v>
      </c>
      <c r="E5545">
        <v>62269</v>
      </c>
      <c r="F5545" t="s">
        <v>1733</v>
      </c>
      <c r="G5545">
        <v>622</v>
      </c>
      <c r="H5545" t="s">
        <v>112</v>
      </c>
      <c r="I5545">
        <v>6</v>
      </c>
      <c r="J5545" t="s">
        <v>101</v>
      </c>
    </row>
    <row r="5546" spans="1:10" x14ac:dyDescent="0.25">
      <c r="A5546" t="s">
        <v>150</v>
      </c>
      <c r="B5546">
        <f>15662.6639912383*(1/100/100)</f>
        <v>1.5662663991238301</v>
      </c>
      <c r="C5546">
        <v>62233</v>
      </c>
      <c r="D5546" t="s">
        <v>7003</v>
      </c>
      <c r="E5546">
        <v>62271</v>
      </c>
      <c r="F5546" t="s">
        <v>1735</v>
      </c>
      <c r="G5546">
        <v>622</v>
      </c>
      <c r="H5546" t="s">
        <v>112</v>
      </c>
      <c r="I5546">
        <v>6</v>
      </c>
      <c r="J5546" t="s">
        <v>101</v>
      </c>
    </row>
    <row r="5547" spans="1:10" x14ac:dyDescent="0.25">
      <c r="A5547" t="s">
        <v>150</v>
      </c>
      <c r="B5547">
        <f>81146.814946971*(1/100/100)</f>
        <v>8.1146814946971002</v>
      </c>
      <c r="C5547">
        <v>62234</v>
      </c>
      <c r="D5547" t="s">
        <v>6337</v>
      </c>
      <c r="E5547">
        <v>62271</v>
      </c>
      <c r="F5547" t="s">
        <v>1735</v>
      </c>
      <c r="G5547">
        <v>622</v>
      </c>
      <c r="H5547" t="s">
        <v>112</v>
      </c>
      <c r="I5547">
        <v>6</v>
      </c>
      <c r="J5547" t="s">
        <v>101</v>
      </c>
    </row>
    <row r="5548" spans="1:10" x14ac:dyDescent="0.25">
      <c r="A5548" t="s">
        <v>150</v>
      </c>
      <c r="B5548">
        <f>17870.7372917182*(1/100/100)</f>
        <v>1.7870737291718202</v>
      </c>
      <c r="C5548">
        <v>62235</v>
      </c>
      <c r="D5548" t="s">
        <v>4580</v>
      </c>
      <c r="E5548">
        <v>62271</v>
      </c>
      <c r="F5548" t="s">
        <v>1735</v>
      </c>
      <c r="G5548">
        <v>622</v>
      </c>
      <c r="H5548" t="s">
        <v>112</v>
      </c>
      <c r="I5548">
        <v>6</v>
      </c>
      <c r="J5548" t="s">
        <v>101</v>
      </c>
    </row>
    <row r="5549" spans="1:10" x14ac:dyDescent="0.25">
      <c r="A5549" t="s">
        <v>150</v>
      </c>
      <c r="B5549">
        <f>145369.750670474*(1/100/100)</f>
        <v>14.536975067047401</v>
      </c>
      <c r="C5549">
        <v>62236</v>
      </c>
      <c r="D5549" t="s">
        <v>280</v>
      </c>
      <c r="E5549">
        <v>62271</v>
      </c>
      <c r="F5549" t="s">
        <v>1735</v>
      </c>
      <c r="G5549">
        <v>622</v>
      </c>
      <c r="H5549" t="s">
        <v>112</v>
      </c>
      <c r="I5549">
        <v>6</v>
      </c>
      <c r="J5549" t="s">
        <v>101</v>
      </c>
    </row>
    <row r="5550" spans="1:10" x14ac:dyDescent="0.25">
      <c r="A5550" t="s">
        <v>150</v>
      </c>
      <c r="B5550">
        <f>30905.2319862497*(1/100/100)</f>
        <v>3.0905231986249699</v>
      </c>
      <c r="C5550">
        <v>62237</v>
      </c>
      <c r="D5550" t="s">
        <v>6999</v>
      </c>
      <c r="E5550">
        <v>62269</v>
      </c>
      <c r="F5550" t="s">
        <v>1733</v>
      </c>
      <c r="G5550">
        <v>622</v>
      </c>
      <c r="H5550" t="s">
        <v>112</v>
      </c>
      <c r="I5550">
        <v>6</v>
      </c>
      <c r="J5550" t="s">
        <v>101</v>
      </c>
    </row>
    <row r="5551" spans="1:10" x14ac:dyDescent="0.25">
      <c r="A5551" t="s">
        <v>150</v>
      </c>
      <c r="B5551">
        <f>53446.1914289496*(1/100/100)</f>
        <v>5.3446191428949597</v>
      </c>
      <c r="C5551">
        <v>62238</v>
      </c>
      <c r="D5551" t="s">
        <v>7000</v>
      </c>
      <c r="E5551">
        <v>62269</v>
      </c>
      <c r="F5551" t="s">
        <v>1733</v>
      </c>
      <c r="G5551">
        <v>622</v>
      </c>
      <c r="H5551" t="s">
        <v>112</v>
      </c>
      <c r="I5551">
        <v>6</v>
      </c>
      <c r="J5551" t="s">
        <v>101</v>
      </c>
    </row>
    <row r="5552" spans="1:10" x14ac:dyDescent="0.25">
      <c r="A5552" t="s">
        <v>150</v>
      </c>
      <c r="B5552">
        <f>35100.9564880364*(1/100/100)</f>
        <v>3.5100956488036399</v>
      </c>
      <c r="C5552">
        <v>62239</v>
      </c>
      <c r="D5552" t="s">
        <v>7004</v>
      </c>
      <c r="E5552">
        <v>62271</v>
      </c>
      <c r="F5552" t="s">
        <v>1735</v>
      </c>
      <c r="G5552">
        <v>622</v>
      </c>
      <c r="H5552" t="s">
        <v>112</v>
      </c>
      <c r="I5552">
        <v>6</v>
      </c>
      <c r="J5552" t="s">
        <v>101</v>
      </c>
    </row>
    <row r="5553" spans="1:10" x14ac:dyDescent="0.25">
      <c r="A5553" t="s">
        <v>150</v>
      </c>
      <c r="B5553">
        <f>51270.5330528445*(1/100/100)</f>
        <v>5.1270533052844502</v>
      </c>
      <c r="C5553">
        <v>62240</v>
      </c>
      <c r="D5553" t="s">
        <v>2633</v>
      </c>
      <c r="E5553">
        <v>62269</v>
      </c>
      <c r="F5553" t="s">
        <v>1733</v>
      </c>
      <c r="G5553">
        <v>622</v>
      </c>
      <c r="H5553" t="s">
        <v>112</v>
      </c>
      <c r="I5553">
        <v>6</v>
      </c>
      <c r="J5553" t="s">
        <v>101</v>
      </c>
    </row>
    <row r="5554" spans="1:10" x14ac:dyDescent="0.25">
      <c r="A5554" t="s">
        <v>150</v>
      </c>
      <c r="B5554">
        <f>38651.3906412354*(1/100/100)</f>
        <v>3.8651390641235399</v>
      </c>
      <c r="C5554">
        <v>62241</v>
      </c>
      <c r="D5554" t="s">
        <v>6988</v>
      </c>
      <c r="E5554">
        <v>62267</v>
      </c>
      <c r="F5554" t="s">
        <v>1731</v>
      </c>
      <c r="G5554">
        <v>622</v>
      </c>
      <c r="H5554" t="s">
        <v>112</v>
      </c>
      <c r="I5554">
        <v>6</v>
      </c>
      <c r="J5554" t="s">
        <v>101</v>
      </c>
    </row>
    <row r="5555" spans="1:10" x14ac:dyDescent="0.25">
      <c r="A5555" t="s">
        <v>150</v>
      </c>
      <c r="B5555">
        <f>27614.8323016315*(1/100/100)</f>
        <v>2.76148323016315</v>
      </c>
      <c r="C5555">
        <v>62242</v>
      </c>
      <c r="D5555" t="s">
        <v>6969</v>
      </c>
      <c r="E5555">
        <v>62252</v>
      </c>
      <c r="F5555" t="s">
        <v>1725</v>
      </c>
      <c r="G5555">
        <v>622</v>
      </c>
      <c r="H5555" t="s">
        <v>112</v>
      </c>
      <c r="I5555">
        <v>6</v>
      </c>
      <c r="J5555" t="s">
        <v>101</v>
      </c>
    </row>
    <row r="5556" spans="1:10" x14ac:dyDescent="0.25">
      <c r="A5556" t="s">
        <v>150</v>
      </c>
      <c r="B5556">
        <f>71976.7113939228*(1/100/100)</f>
        <v>7.1976711393922805</v>
      </c>
      <c r="C5556">
        <v>62243</v>
      </c>
      <c r="D5556" t="s">
        <v>1725</v>
      </c>
      <c r="E5556">
        <v>62252</v>
      </c>
      <c r="F5556" t="s">
        <v>1725</v>
      </c>
      <c r="G5556">
        <v>622</v>
      </c>
      <c r="H5556" t="s">
        <v>112</v>
      </c>
      <c r="I5556">
        <v>6</v>
      </c>
      <c r="J5556" t="s">
        <v>101</v>
      </c>
    </row>
    <row r="5557" spans="1:10" x14ac:dyDescent="0.25">
      <c r="A5557" t="s">
        <v>150</v>
      </c>
      <c r="B5557">
        <f>26031.9217830952*(1/100/100)</f>
        <v>2.60319217830952</v>
      </c>
      <c r="C5557">
        <v>62244</v>
      </c>
      <c r="D5557" t="s">
        <v>6989</v>
      </c>
      <c r="E5557">
        <v>62267</v>
      </c>
      <c r="F5557" t="s">
        <v>1731</v>
      </c>
      <c r="G5557">
        <v>622</v>
      </c>
      <c r="H5557" t="s">
        <v>112</v>
      </c>
      <c r="I5557">
        <v>6</v>
      </c>
      <c r="J5557" t="s">
        <v>101</v>
      </c>
    </row>
    <row r="5558" spans="1:10" x14ac:dyDescent="0.25">
      <c r="A5558" t="s">
        <v>150</v>
      </c>
      <c r="B5558">
        <f>61854.0059801725*(1/100/100)</f>
        <v>6.1854005980172504</v>
      </c>
      <c r="C5558">
        <v>62245</v>
      </c>
      <c r="D5558" t="s">
        <v>6990</v>
      </c>
      <c r="E5558">
        <v>62267</v>
      </c>
      <c r="F5558" t="s">
        <v>1731</v>
      </c>
      <c r="G5558">
        <v>622</v>
      </c>
      <c r="H5558" t="s">
        <v>112</v>
      </c>
      <c r="I5558">
        <v>6</v>
      </c>
      <c r="J5558" t="s">
        <v>101</v>
      </c>
    </row>
    <row r="5559" spans="1:10" x14ac:dyDescent="0.25">
      <c r="A5559" t="s">
        <v>150</v>
      </c>
      <c r="B5559">
        <f>73154.1390526741*(1/100/100)</f>
        <v>7.3154139052674108</v>
      </c>
      <c r="C5559">
        <v>62246</v>
      </c>
      <c r="D5559" t="s">
        <v>2316</v>
      </c>
      <c r="E5559">
        <v>62273</v>
      </c>
      <c r="F5559" t="s">
        <v>7006</v>
      </c>
      <c r="G5559">
        <v>622</v>
      </c>
      <c r="H5559" t="s">
        <v>112</v>
      </c>
      <c r="I5559">
        <v>6</v>
      </c>
      <c r="J5559" t="s">
        <v>101</v>
      </c>
    </row>
    <row r="5560" spans="1:10" x14ac:dyDescent="0.25">
      <c r="A5560" t="s">
        <v>150</v>
      </c>
      <c r="B5560">
        <f>32388.6660000194*(1/100/100)</f>
        <v>3.2388666000019399</v>
      </c>
      <c r="C5560">
        <v>62247</v>
      </c>
      <c r="D5560" t="s">
        <v>4637</v>
      </c>
      <c r="E5560">
        <v>62252</v>
      </c>
      <c r="F5560" t="s">
        <v>1725</v>
      </c>
      <c r="G5560">
        <v>622</v>
      </c>
      <c r="H5560" t="s">
        <v>112</v>
      </c>
      <c r="I5560">
        <v>6</v>
      </c>
      <c r="J5560" t="s">
        <v>101</v>
      </c>
    </row>
    <row r="5561" spans="1:10" x14ac:dyDescent="0.25">
      <c r="A5561" t="s">
        <v>150</v>
      </c>
      <c r="B5561">
        <f>86057.7133882245*(1/100/100)</f>
        <v>8.6057713388224499</v>
      </c>
      <c r="C5561">
        <v>62248</v>
      </c>
      <c r="D5561" t="s">
        <v>6991</v>
      </c>
      <c r="E5561">
        <v>62267</v>
      </c>
      <c r="F5561" t="s">
        <v>1731</v>
      </c>
      <c r="G5561">
        <v>622</v>
      </c>
      <c r="H5561" t="s">
        <v>112</v>
      </c>
      <c r="I5561">
        <v>6</v>
      </c>
      <c r="J5561" t="s">
        <v>101</v>
      </c>
    </row>
    <row r="5562" spans="1:10" x14ac:dyDescent="0.25">
      <c r="A5562" t="s">
        <v>150</v>
      </c>
      <c r="B5562">
        <f>45621.6818447018*(1/100/100)</f>
        <v>4.5621681844701802</v>
      </c>
      <c r="C5562">
        <v>62249</v>
      </c>
      <c r="D5562" t="s">
        <v>6949</v>
      </c>
      <c r="E5562">
        <v>62232</v>
      </c>
      <c r="F5562" t="s">
        <v>1718</v>
      </c>
      <c r="G5562">
        <v>622</v>
      </c>
      <c r="H5562" t="s">
        <v>112</v>
      </c>
      <c r="I5562">
        <v>6</v>
      </c>
      <c r="J5562" t="s">
        <v>101</v>
      </c>
    </row>
    <row r="5563" spans="1:10" x14ac:dyDescent="0.25">
      <c r="A5563" t="s">
        <v>150</v>
      </c>
      <c r="B5563">
        <f>14400.2384574153*(1/100/100)</f>
        <v>1.4400238457415302</v>
      </c>
      <c r="C5563">
        <v>62250</v>
      </c>
      <c r="D5563" t="s">
        <v>6129</v>
      </c>
      <c r="E5563">
        <v>62232</v>
      </c>
      <c r="F5563" t="s">
        <v>1718</v>
      </c>
      <c r="G5563">
        <v>622</v>
      </c>
      <c r="H5563" t="s">
        <v>112</v>
      </c>
      <c r="I5563">
        <v>6</v>
      </c>
      <c r="J5563" t="s">
        <v>101</v>
      </c>
    </row>
    <row r="5564" spans="1:10" x14ac:dyDescent="0.25">
      <c r="A5564" t="s">
        <v>150</v>
      </c>
      <c r="B5564">
        <f>96475.3892870042*(1/100/100)</f>
        <v>9.6475389287004205</v>
      </c>
      <c r="C5564">
        <v>62251</v>
      </c>
      <c r="D5564" t="s">
        <v>3061</v>
      </c>
      <c r="E5564">
        <v>62232</v>
      </c>
      <c r="F5564" t="s">
        <v>1718</v>
      </c>
      <c r="G5564">
        <v>622</v>
      </c>
      <c r="H5564" t="s">
        <v>112</v>
      </c>
      <c r="I5564">
        <v>6</v>
      </c>
      <c r="J5564" t="s">
        <v>101</v>
      </c>
    </row>
    <row r="5565" spans="1:10" x14ac:dyDescent="0.25">
      <c r="A5565" t="s">
        <v>150</v>
      </c>
      <c r="B5565">
        <f>42932.9320649208*(1/100/100)</f>
        <v>4.2932932064920806</v>
      </c>
      <c r="C5565">
        <v>62252</v>
      </c>
      <c r="D5565" t="s">
        <v>3696</v>
      </c>
      <c r="E5565">
        <v>62232</v>
      </c>
      <c r="F5565" t="s">
        <v>1718</v>
      </c>
      <c r="G5565">
        <v>622</v>
      </c>
      <c r="H5565" t="s">
        <v>112</v>
      </c>
      <c r="I5565">
        <v>6</v>
      </c>
      <c r="J5565" t="s">
        <v>101</v>
      </c>
    </row>
    <row r="5566" spans="1:10" x14ac:dyDescent="0.25">
      <c r="A5566" t="s">
        <v>150</v>
      </c>
      <c r="B5566">
        <f>59813.8698196126*(1/100/100)</f>
        <v>5.9813869819612604</v>
      </c>
      <c r="C5566">
        <v>62301</v>
      </c>
      <c r="D5566" t="s">
        <v>2270</v>
      </c>
      <c r="E5566">
        <v>62389</v>
      </c>
      <c r="F5566" t="s">
        <v>1766</v>
      </c>
      <c r="G5566">
        <v>623</v>
      </c>
      <c r="H5566" t="s">
        <v>113</v>
      </c>
      <c r="I5566">
        <v>6</v>
      </c>
      <c r="J5566" t="s">
        <v>101</v>
      </c>
    </row>
    <row r="5567" spans="1:10" x14ac:dyDescent="0.25">
      <c r="A5567" t="s">
        <v>150</v>
      </c>
      <c r="B5567">
        <f>44802.1908143101*(1/100/100)</f>
        <v>4.4802190814310103</v>
      </c>
      <c r="C5567">
        <v>62302</v>
      </c>
      <c r="D5567" t="s">
        <v>7100</v>
      </c>
      <c r="E5567">
        <v>62380</v>
      </c>
      <c r="F5567" t="s">
        <v>1757</v>
      </c>
      <c r="G5567">
        <v>623</v>
      </c>
      <c r="H5567" t="s">
        <v>113</v>
      </c>
      <c r="I5567">
        <v>6</v>
      </c>
      <c r="J5567" t="s">
        <v>101</v>
      </c>
    </row>
    <row r="5568" spans="1:10" x14ac:dyDescent="0.25">
      <c r="A5568" t="s">
        <v>150</v>
      </c>
      <c r="B5568">
        <f>100219.929459929*(1/100/100)</f>
        <v>10.021992945992901</v>
      </c>
      <c r="C5568">
        <v>62303</v>
      </c>
      <c r="D5568" t="s">
        <v>254</v>
      </c>
      <c r="E5568">
        <v>62380</v>
      </c>
      <c r="F5568" t="s">
        <v>1757</v>
      </c>
      <c r="G5568">
        <v>623</v>
      </c>
      <c r="H5568" t="s">
        <v>113</v>
      </c>
      <c r="I5568">
        <v>6</v>
      </c>
      <c r="J5568" t="s">
        <v>101</v>
      </c>
    </row>
    <row r="5569" spans="1:10" x14ac:dyDescent="0.25">
      <c r="A5569" t="s">
        <v>150</v>
      </c>
      <c r="B5569">
        <f>56000.0176432722*(1/100/100)</f>
        <v>5.60000176432722</v>
      </c>
      <c r="C5569">
        <v>62304</v>
      </c>
      <c r="D5569" t="s">
        <v>7118</v>
      </c>
      <c r="E5569">
        <v>62385</v>
      </c>
      <c r="F5569" t="s">
        <v>1762</v>
      </c>
      <c r="G5569">
        <v>623</v>
      </c>
      <c r="H5569" t="s">
        <v>113</v>
      </c>
      <c r="I5569">
        <v>6</v>
      </c>
      <c r="J5569" t="s">
        <v>101</v>
      </c>
    </row>
    <row r="5570" spans="1:10" x14ac:dyDescent="0.25">
      <c r="A5570" t="s">
        <v>150</v>
      </c>
      <c r="B5570">
        <f>84199.3301222607*(1/100/100)</f>
        <v>8.4199330122260694</v>
      </c>
      <c r="C5570">
        <v>62305</v>
      </c>
      <c r="D5570" t="s">
        <v>7119</v>
      </c>
      <c r="E5570">
        <v>62385</v>
      </c>
      <c r="F5570" t="s">
        <v>1762</v>
      </c>
      <c r="G5570">
        <v>623</v>
      </c>
      <c r="H5570" t="s">
        <v>113</v>
      </c>
      <c r="I5570">
        <v>6</v>
      </c>
      <c r="J5570" t="s">
        <v>101</v>
      </c>
    </row>
    <row r="5571" spans="1:10" x14ac:dyDescent="0.25">
      <c r="A5571" t="s">
        <v>150</v>
      </c>
      <c r="B5571">
        <f>38660.6475388779*(1/100/100)</f>
        <v>3.8660647538877901</v>
      </c>
      <c r="C5571">
        <v>62306</v>
      </c>
      <c r="D5571" t="s">
        <v>7140</v>
      </c>
      <c r="E5571">
        <v>62389</v>
      </c>
      <c r="F5571" t="s">
        <v>1766</v>
      </c>
      <c r="G5571">
        <v>623</v>
      </c>
      <c r="H5571" t="s">
        <v>113</v>
      </c>
      <c r="I5571">
        <v>6</v>
      </c>
      <c r="J5571" t="s">
        <v>101</v>
      </c>
    </row>
    <row r="5572" spans="1:10" x14ac:dyDescent="0.25">
      <c r="A5572" t="s">
        <v>150</v>
      </c>
      <c r="B5572">
        <f>50469.5793859976*(1/100/100)</f>
        <v>5.0469579385997596</v>
      </c>
      <c r="C5572">
        <v>62307</v>
      </c>
      <c r="D5572" t="s">
        <v>2542</v>
      </c>
      <c r="E5572">
        <v>62330</v>
      </c>
      <c r="F5572" t="s">
        <v>1746</v>
      </c>
      <c r="G5572">
        <v>623</v>
      </c>
      <c r="H5572" t="s">
        <v>113</v>
      </c>
      <c r="I5572">
        <v>6</v>
      </c>
      <c r="J5572" t="s">
        <v>101</v>
      </c>
    </row>
    <row r="5573" spans="1:10" x14ac:dyDescent="0.25">
      <c r="A5573" t="s">
        <v>150</v>
      </c>
      <c r="B5573">
        <f>13153.6716349407*(1/100/100)</f>
        <v>1.31536716349407</v>
      </c>
      <c r="C5573">
        <v>62308</v>
      </c>
      <c r="D5573" t="s">
        <v>7038</v>
      </c>
      <c r="E5573">
        <v>62330</v>
      </c>
      <c r="F5573" t="s">
        <v>1746</v>
      </c>
      <c r="G5573">
        <v>623</v>
      </c>
      <c r="H5573" t="s">
        <v>113</v>
      </c>
      <c r="I5573">
        <v>6</v>
      </c>
      <c r="J5573" t="s">
        <v>101</v>
      </c>
    </row>
    <row r="5574" spans="1:10" x14ac:dyDescent="0.25">
      <c r="A5574" t="s">
        <v>150</v>
      </c>
      <c r="B5574">
        <f>39617.2269625714*(1/100/100)</f>
        <v>3.9617226962571404</v>
      </c>
      <c r="C5574">
        <v>62309</v>
      </c>
      <c r="D5574" t="s">
        <v>1746</v>
      </c>
      <c r="E5574">
        <v>62330</v>
      </c>
      <c r="F5574" t="s">
        <v>1746</v>
      </c>
      <c r="G5574">
        <v>623</v>
      </c>
      <c r="H5574" t="s">
        <v>113</v>
      </c>
      <c r="I5574">
        <v>6</v>
      </c>
      <c r="J5574" t="s">
        <v>101</v>
      </c>
    </row>
    <row r="5575" spans="1:10" x14ac:dyDescent="0.25">
      <c r="A5575" t="s">
        <v>150</v>
      </c>
      <c r="B5575">
        <f>17510.2341704558*(1/100/100)</f>
        <v>1.7510234170455798</v>
      </c>
      <c r="C5575">
        <v>62310</v>
      </c>
      <c r="D5575" t="s">
        <v>7039</v>
      </c>
      <c r="E5575">
        <v>62330</v>
      </c>
      <c r="F5575" t="s">
        <v>1746</v>
      </c>
      <c r="G5575">
        <v>623</v>
      </c>
      <c r="H5575" t="s">
        <v>113</v>
      </c>
      <c r="I5575">
        <v>6</v>
      </c>
      <c r="J5575" t="s">
        <v>101</v>
      </c>
    </row>
    <row r="5576" spans="1:10" x14ac:dyDescent="0.25">
      <c r="A5576" t="s">
        <v>150</v>
      </c>
      <c r="B5576">
        <f>175177.544404496*(1/100/100)</f>
        <v>17.5177544404496</v>
      </c>
      <c r="C5576">
        <v>62311</v>
      </c>
      <c r="D5576" t="s">
        <v>7103</v>
      </c>
      <c r="E5576">
        <v>62381</v>
      </c>
      <c r="F5576" t="s">
        <v>1758</v>
      </c>
      <c r="G5576">
        <v>623</v>
      </c>
      <c r="H5576" t="s">
        <v>113</v>
      </c>
      <c r="I5576">
        <v>6</v>
      </c>
      <c r="J5576" t="s">
        <v>101</v>
      </c>
    </row>
    <row r="5577" spans="1:10" x14ac:dyDescent="0.25">
      <c r="A5577" t="s">
        <v>150</v>
      </c>
      <c r="B5577">
        <f>70595.6565371426*(1/100/100)</f>
        <v>7.0595656537142597</v>
      </c>
      <c r="C5577">
        <v>62312</v>
      </c>
      <c r="D5577" t="s">
        <v>2999</v>
      </c>
      <c r="E5577">
        <v>62389</v>
      </c>
      <c r="F5577" t="s">
        <v>1766</v>
      </c>
      <c r="G5577">
        <v>623</v>
      </c>
      <c r="H5577" t="s">
        <v>113</v>
      </c>
      <c r="I5577">
        <v>6</v>
      </c>
      <c r="J5577" t="s">
        <v>101</v>
      </c>
    </row>
    <row r="5578" spans="1:10" x14ac:dyDescent="0.25">
      <c r="A5578" t="s">
        <v>150</v>
      </c>
      <c r="B5578">
        <f>33692.1888543106*(1/100/100)</f>
        <v>3.3692188854310605</v>
      </c>
      <c r="C5578">
        <v>62313</v>
      </c>
      <c r="D5578" t="s">
        <v>945</v>
      </c>
      <c r="E5578">
        <v>62389</v>
      </c>
      <c r="F5578" t="s">
        <v>1766</v>
      </c>
      <c r="G5578">
        <v>623</v>
      </c>
      <c r="H5578" t="s">
        <v>113</v>
      </c>
      <c r="I5578">
        <v>6</v>
      </c>
      <c r="J5578" t="s">
        <v>101</v>
      </c>
    </row>
    <row r="5579" spans="1:10" x14ac:dyDescent="0.25">
      <c r="A5579" t="s">
        <v>150</v>
      </c>
      <c r="B5579">
        <f>27544.2834062157*(1/100/100)</f>
        <v>2.7544283406215704</v>
      </c>
      <c r="C5579">
        <v>62314</v>
      </c>
      <c r="D5579" t="s">
        <v>7040</v>
      </c>
      <c r="E5579">
        <v>62330</v>
      </c>
      <c r="F5579" t="s">
        <v>1746</v>
      </c>
      <c r="G5579">
        <v>623</v>
      </c>
      <c r="H5579" t="s">
        <v>113</v>
      </c>
      <c r="I5579">
        <v>6</v>
      </c>
      <c r="J5579" t="s">
        <v>101</v>
      </c>
    </row>
    <row r="5580" spans="1:10" x14ac:dyDescent="0.25">
      <c r="A5580" t="s">
        <v>150</v>
      </c>
      <c r="B5580">
        <f>54506.0313254568*(1/100/100)</f>
        <v>5.4506031325456803</v>
      </c>
      <c r="C5580">
        <v>62315</v>
      </c>
      <c r="D5580" t="s">
        <v>6445</v>
      </c>
      <c r="E5580">
        <v>61057</v>
      </c>
      <c r="F5580" t="s">
        <v>1568</v>
      </c>
      <c r="G5580">
        <v>610</v>
      </c>
      <c r="H5580" t="s">
        <v>104</v>
      </c>
      <c r="I5580">
        <v>6</v>
      </c>
      <c r="J5580" t="s">
        <v>101</v>
      </c>
    </row>
    <row r="5581" spans="1:10" x14ac:dyDescent="0.25">
      <c r="A5581" t="s">
        <v>150</v>
      </c>
      <c r="B5581">
        <f>58474.2034213153*(1/100/100)</f>
        <v>5.8474203421315307</v>
      </c>
      <c r="C5581">
        <v>62316</v>
      </c>
      <c r="D5581" t="s">
        <v>6446</v>
      </c>
      <c r="E5581">
        <v>61057</v>
      </c>
      <c r="F5581" t="s">
        <v>1568</v>
      </c>
      <c r="G5581">
        <v>610</v>
      </c>
      <c r="H5581" t="s">
        <v>104</v>
      </c>
      <c r="I5581">
        <v>6</v>
      </c>
      <c r="J5581" t="s">
        <v>101</v>
      </c>
    </row>
    <row r="5582" spans="1:10" x14ac:dyDescent="0.25">
      <c r="A5582" t="s">
        <v>150</v>
      </c>
      <c r="B5582">
        <f>123609.700598189*(1/100/100)</f>
        <v>12.3609700598189</v>
      </c>
      <c r="C5582">
        <v>62317</v>
      </c>
      <c r="D5582" t="s">
        <v>6340</v>
      </c>
      <c r="E5582">
        <v>60668</v>
      </c>
      <c r="F5582" t="s">
        <v>1542</v>
      </c>
      <c r="G5582">
        <v>606</v>
      </c>
      <c r="H5582" t="s">
        <v>103</v>
      </c>
      <c r="I5582">
        <v>6</v>
      </c>
      <c r="J5582" t="s">
        <v>101</v>
      </c>
    </row>
    <row r="5583" spans="1:10" x14ac:dyDescent="0.25">
      <c r="A5583" t="s">
        <v>150</v>
      </c>
      <c r="B5583">
        <f>170775.411077369*(1/100/100)</f>
        <v>17.077541107736902</v>
      </c>
      <c r="C5583">
        <v>62318</v>
      </c>
      <c r="D5583" t="s">
        <v>6676</v>
      </c>
      <c r="E5583">
        <v>62385</v>
      </c>
      <c r="F5583" t="s">
        <v>1762</v>
      </c>
      <c r="G5583">
        <v>623</v>
      </c>
      <c r="H5583" t="s">
        <v>113</v>
      </c>
      <c r="I5583">
        <v>6</v>
      </c>
      <c r="J5583" t="s">
        <v>101</v>
      </c>
    </row>
    <row r="5584" spans="1:10" x14ac:dyDescent="0.25">
      <c r="A5584" t="s">
        <v>150</v>
      </c>
      <c r="B5584">
        <f>51547.4050891421*(1/100/100)</f>
        <v>5.1547405089142098</v>
      </c>
      <c r="C5584">
        <v>62319</v>
      </c>
      <c r="D5584" t="s">
        <v>2239</v>
      </c>
      <c r="E5584">
        <v>62385</v>
      </c>
      <c r="F5584" t="s">
        <v>1762</v>
      </c>
      <c r="G5584">
        <v>623</v>
      </c>
      <c r="H5584" t="s">
        <v>113</v>
      </c>
      <c r="I5584">
        <v>6</v>
      </c>
      <c r="J5584" t="s">
        <v>101</v>
      </c>
    </row>
    <row r="5585" spans="1:10" x14ac:dyDescent="0.25">
      <c r="A5585" t="s">
        <v>150</v>
      </c>
      <c r="B5585">
        <f>320893.897274358*(1/100/100)</f>
        <v>32.089389727435801</v>
      </c>
      <c r="C5585">
        <v>62320</v>
      </c>
      <c r="D5585" t="s">
        <v>7141</v>
      </c>
      <c r="E5585">
        <v>62389</v>
      </c>
      <c r="F5585" t="s">
        <v>1766</v>
      </c>
      <c r="G5585">
        <v>623</v>
      </c>
      <c r="H5585" t="s">
        <v>113</v>
      </c>
      <c r="I5585">
        <v>6</v>
      </c>
      <c r="J5585" t="s">
        <v>101</v>
      </c>
    </row>
    <row r="5586" spans="1:10" x14ac:dyDescent="0.25">
      <c r="A5586" t="s">
        <v>150</v>
      </c>
      <c r="B5586">
        <f>45747.7315591034*(1/100/100)</f>
        <v>4.5747731559103402</v>
      </c>
      <c r="C5586">
        <v>62321</v>
      </c>
      <c r="D5586" t="s">
        <v>3927</v>
      </c>
      <c r="E5586">
        <v>61057</v>
      </c>
      <c r="F5586" t="s">
        <v>1568</v>
      </c>
      <c r="G5586">
        <v>610</v>
      </c>
      <c r="H5586" t="s">
        <v>104</v>
      </c>
      <c r="I5586">
        <v>6</v>
      </c>
      <c r="J5586" t="s">
        <v>101</v>
      </c>
    </row>
    <row r="5587" spans="1:10" x14ac:dyDescent="0.25">
      <c r="A5587" t="s">
        <v>150</v>
      </c>
      <c r="B5587">
        <f>38972.1324618838*(1/100/100)</f>
        <v>3.8972132461883797</v>
      </c>
      <c r="C5587">
        <v>62322</v>
      </c>
      <c r="D5587" t="s">
        <v>7142</v>
      </c>
      <c r="E5587">
        <v>62389</v>
      </c>
      <c r="F5587" t="s">
        <v>1766</v>
      </c>
      <c r="G5587">
        <v>623</v>
      </c>
      <c r="H5587" t="s">
        <v>113</v>
      </c>
      <c r="I5587">
        <v>6</v>
      </c>
      <c r="J5587" t="s">
        <v>101</v>
      </c>
    </row>
    <row r="5588" spans="1:10" x14ac:dyDescent="0.25">
      <c r="A5588" t="s">
        <v>150</v>
      </c>
      <c r="B5588">
        <f>28084.9458943918*(1/100/100)</f>
        <v>2.8084945894391802</v>
      </c>
      <c r="C5588">
        <v>62323</v>
      </c>
      <c r="D5588" t="s">
        <v>6738</v>
      </c>
      <c r="E5588">
        <v>62330</v>
      </c>
      <c r="F5588" t="s">
        <v>1746</v>
      </c>
      <c r="G5588">
        <v>623</v>
      </c>
      <c r="H5588" t="s">
        <v>113</v>
      </c>
      <c r="I5588">
        <v>6</v>
      </c>
      <c r="J5588" t="s">
        <v>101</v>
      </c>
    </row>
    <row r="5589" spans="1:10" x14ac:dyDescent="0.25">
      <c r="A5589" t="s">
        <v>150</v>
      </c>
      <c r="B5589">
        <f>95239.4983402228*(1/100/100)</f>
        <v>9.5239498340222806</v>
      </c>
      <c r="C5589">
        <v>62324</v>
      </c>
      <c r="D5589" t="s">
        <v>7101</v>
      </c>
      <c r="E5589">
        <v>62380</v>
      </c>
      <c r="F5589" t="s">
        <v>1757</v>
      </c>
      <c r="G5589">
        <v>623</v>
      </c>
      <c r="H5589" t="s">
        <v>113</v>
      </c>
      <c r="I5589">
        <v>6</v>
      </c>
      <c r="J5589" t="s">
        <v>101</v>
      </c>
    </row>
    <row r="5590" spans="1:10" x14ac:dyDescent="0.25">
      <c r="A5590" t="s">
        <v>150</v>
      </c>
      <c r="B5590">
        <f>29183.5603508226*(1/100/100)</f>
        <v>2.9183560350822604</v>
      </c>
      <c r="C5590">
        <v>62325</v>
      </c>
      <c r="D5590" t="s">
        <v>6447</v>
      </c>
      <c r="E5590">
        <v>61057</v>
      </c>
      <c r="F5590" t="s">
        <v>1568</v>
      </c>
      <c r="G5590">
        <v>610</v>
      </c>
      <c r="H5590" t="s">
        <v>104</v>
      </c>
      <c r="I5590">
        <v>6</v>
      </c>
      <c r="J5590" t="s">
        <v>101</v>
      </c>
    </row>
    <row r="5591" spans="1:10" x14ac:dyDescent="0.25">
      <c r="A5591" t="s">
        <v>150</v>
      </c>
      <c r="B5591">
        <f>58969.3616600255*(1/100/100)</f>
        <v>5.8969361660025497</v>
      </c>
      <c r="C5591">
        <v>62326</v>
      </c>
      <c r="D5591" t="s">
        <v>7041</v>
      </c>
      <c r="E5591">
        <v>62330</v>
      </c>
      <c r="F5591" t="s">
        <v>1746</v>
      </c>
      <c r="G5591">
        <v>623</v>
      </c>
      <c r="H5591" t="s">
        <v>113</v>
      </c>
      <c r="I5591">
        <v>6</v>
      </c>
      <c r="J5591" t="s">
        <v>101</v>
      </c>
    </row>
    <row r="5592" spans="1:10" x14ac:dyDescent="0.25">
      <c r="A5592" t="s">
        <v>150</v>
      </c>
      <c r="B5592">
        <f>47807.3238536676*(1/100/100)</f>
        <v>4.7807323853667603</v>
      </c>
      <c r="C5592">
        <v>62327</v>
      </c>
      <c r="D5592" t="s">
        <v>4200</v>
      </c>
      <c r="E5592">
        <v>62330</v>
      </c>
      <c r="F5592" t="s">
        <v>1746</v>
      </c>
      <c r="G5592">
        <v>623</v>
      </c>
      <c r="H5592" t="s">
        <v>113</v>
      </c>
      <c r="I5592">
        <v>6</v>
      </c>
      <c r="J5592" t="s">
        <v>101</v>
      </c>
    </row>
    <row r="5593" spans="1:10" x14ac:dyDescent="0.25">
      <c r="A5593" t="s">
        <v>150</v>
      </c>
      <c r="B5593">
        <f>240870.356187244*(1/100/100)</f>
        <v>24.0870356187244</v>
      </c>
      <c r="C5593">
        <v>62328</v>
      </c>
      <c r="D5593" t="s">
        <v>7104</v>
      </c>
      <c r="E5593">
        <v>62381</v>
      </c>
      <c r="F5593" t="s">
        <v>1758</v>
      </c>
      <c r="G5593">
        <v>623</v>
      </c>
      <c r="H5593" t="s">
        <v>113</v>
      </c>
      <c r="I5593">
        <v>6</v>
      </c>
      <c r="J5593" t="s">
        <v>101</v>
      </c>
    </row>
    <row r="5594" spans="1:10" x14ac:dyDescent="0.25">
      <c r="A5594" t="s">
        <v>150</v>
      </c>
      <c r="B5594">
        <f>60842.7444041009*(1/100/100)</f>
        <v>6.0842744404100904</v>
      </c>
      <c r="C5594">
        <v>62329</v>
      </c>
      <c r="D5594" t="s">
        <v>7105</v>
      </c>
      <c r="E5594">
        <v>62381</v>
      </c>
      <c r="F5594" t="s">
        <v>1758</v>
      </c>
      <c r="G5594">
        <v>623</v>
      </c>
      <c r="H5594" t="s">
        <v>113</v>
      </c>
      <c r="I5594">
        <v>6</v>
      </c>
      <c r="J5594" t="s">
        <v>101</v>
      </c>
    </row>
    <row r="5595" spans="1:10" x14ac:dyDescent="0.25">
      <c r="A5595" t="s">
        <v>150</v>
      </c>
      <c r="B5595">
        <f>53643.1628039028*(1/100/100)</f>
        <v>5.3643162803902804</v>
      </c>
      <c r="C5595">
        <v>63001</v>
      </c>
      <c r="D5595" t="s">
        <v>6314</v>
      </c>
      <c r="E5595">
        <v>60663</v>
      </c>
      <c r="F5595" t="s">
        <v>1537</v>
      </c>
      <c r="G5595">
        <v>606</v>
      </c>
      <c r="H5595" t="s">
        <v>103</v>
      </c>
      <c r="I5595">
        <v>6</v>
      </c>
      <c r="J5595" t="s">
        <v>101</v>
      </c>
    </row>
    <row r="5596" spans="1:10" x14ac:dyDescent="0.25">
      <c r="A5596" t="s">
        <v>150</v>
      </c>
      <c r="B5596">
        <f>160086.823569482*(1/100/100)</f>
        <v>16.008682356948199</v>
      </c>
      <c r="C5596">
        <v>63002</v>
      </c>
      <c r="D5596" t="s">
        <v>1533</v>
      </c>
      <c r="E5596">
        <v>60659</v>
      </c>
      <c r="F5596" t="s">
        <v>1533</v>
      </c>
      <c r="G5596">
        <v>606</v>
      </c>
      <c r="H5596" t="s">
        <v>103</v>
      </c>
      <c r="I5596">
        <v>6</v>
      </c>
      <c r="J5596" t="s">
        <v>101</v>
      </c>
    </row>
    <row r="5597" spans="1:10" x14ac:dyDescent="0.25">
      <c r="A5597" t="s">
        <v>150</v>
      </c>
      <c r="B5597">
        <f>35938.5333123411*(1/100/100)</f>
        <v>3.5938533312341097</v>
      </c>
      <c r="C5597">
        <v>63003</v>
      </c>
      <c r="D5597" t="s">
        <v>370</v>
      </c>
      <c r="E5597">
        <v>60632</v>
      </c>
      <c r="F5597" t="s">
        <v>1520</v>
      </c>
      <c r="G5597">
        <v>606</v>
      </c>
      <c r="H5597" t="s">
        <v>103</v>
      </c>
      <c r="I5597">
        <v>6</v>
      </c>
      <c r="J5597" t="s">
        <v>101</v>
      </c>
    </row>
    <row r="5598" spans="1:10" x14ac:dyDescent="0.25">
      <c r="A5598" t="s">
        <v>150</v>
      </c>
      <c r="B5598">
        <f>209376.084989185*(1/100/100)</f>
        <v>20.9376084989185</v>
      </c>
      <c r="C5598">
        <v>63004</v>
      </c>
      <c r="D5598" t="s">
        <v>1537</v>
      </c>
      <c r="E5598">
        <v>60663</v>
      </c>
      <c r="F5598" t="s">
        <v>1537</v>
      </c>
      <c r="G5598">
        <v>606</v>
      </c>
      <c r="H5598" t="s">
        <v>103</v>
      </c>
      <c r="I5598">
        <v>6</v>
      </c>
      <c r="J5598" t="s">
        <v>101</v>
      </c>
    </row>
    <row r="5599" spans="1:10" x14ac:dyDescent="0.25">
      <c r="A5599" t="s">
        <v>150</v>
      </c>
      <c r="B5599">
        <f>25723.1532052461*(1/100/100)</f>
        <v>2.5723153205246101</v>
      </c>
      <c r="C5599">
        <v>63005</v>
      </c>
      <c r="D5599" t="s">
        <v>6164</v>
      </c>
      <c r="E5599">
        <v>60663</v>
      </c>
      <c r="F5599" t="s">
        <v>1537</v>
      </c>
      <c r="G5599">
        <v>606</v>
      </c>
      <c r="H5599" t="s">
        <v>103</v>
      </c>
      <c r="I5599">
        <v>6</v>
      </c>
      <c r="J5599" t="s">
        <v>101</v>
      </c>
    </row>
    <row r="5600" spans="1:10" x14ac:dyDescent="0.25">
      <c r="A5600" t="s">
        <v>150</v>
      </c>
      <c r="B5600">
        <f>5786.37170799318*(1/100/100)</f>
        <v>0.57863717079931809</v>
      </c>
      <c r="C5600">
        <v>63006</v>
      </c>
      <c r="D5600" t="s">
        <v>6315</v>
      </c>
      <c r="E5600">
        <v>60663</v>
      </c>
      <c r="F5600" t="s">
        <v>1537</v>
      </c>
      <c r="G5600">
        <v>606</v>
      </c>
      <c r="H5600" t="s">
        <v>103</v>
      </c>
      <c r="I5600">
        <v>6</v>
      </c>
      <c r="J5600" t="s">
        <v>101</v>
      </c>
    </row>
    <row r="5601" spans="1:10" x14ac:dyDescent="0.25">
      <c r="A5601" t="s">
        <v>150</v>
      </c>
      <c r="B5601">
        <f>55276.1778500214*(1/100/100)</f>
        <v>5.52761778500214</v>
      </c>
      <c r="C5601">
        <v>63007</v>
      </c>
      <c r="D5601" t="s">
        <v>6295</v>
      </c>
      <c r="E5601">
        <v>60659</v>
      </c>
      <c r="F5601" t="s">
        <v>1533</v>
      </c>
      <c r="G5601">
        <v>606</v>
      </c>
      <c r="H5601" t="s">
        <v>103</v>
      </c>
      <c r="I5601">
        <v>6</v>
      </c>
      <c r="J5601" t="s">
        <v>101</v>
      </c>
    </row>
    <row r="5602" spans="1:10" x14ac:dyDescent="0.25">
      <c r="A5602" t="s">
        <v>150</v>
      </c>
      <c r="B5602">
        <f>21164.7353238392*(1/100/100)</f>
        <v>2.1164735323839201</v>
      </c>
      <c r="C5602">
        <v>63008</v>
      </c>
      <c r="D5602" t="s">
        <v>4994</v>
      </c>
      <c r="E5602">
        <v>60663</v>
      </c>
      <c r="F5602" t="s">
        <v>1537</v>
      </c>
      <c r="G5602">
        <v>606</v>
      </c>
      <c r="H5602" t="s">
        <v>103</v>
      </c>
      <c r="I5602">
        <v>6</v>
      </c>
      <c r="J5602" t="s">
        <v>101</v>
      </c>
    </row>
    <row r="5603" spans="1:10" x14ac:dyDescent="0.25">
      <c r="A5603" t="s">
        <v>150</v>
      </c>
      <c r="B5603">
        <f>14201.1804897963*(1/100/100)</f>
        <v>1.4201180489796299</v>
      </c>
      <c r="C5603">
        <v>63009</v>
      </c>
      <c r="D5603" t="s">
        <v>4121</v>
      </c>
      <c r="E5603">
        <v>60663</v>
      </c>
      <c r="F5603" t="s">
        <v>1537</v>
      </c>
      <c r="G5603">
        <v>606</v>
      </c>
      <c r="H5603" t="s">
        <v>103</v>
      </c>
      <c r="I5603">
        <v>6</v>
      </c>
      <c r="J5603" t="s">
        <v>101</v>
      </c>
    </row>
    <row r="5604" spans="1:10" x14ac:dyDescent="0.25">
      <c r="A5604" t="s">
        <v>150</v>
      </c>
      <c r="B5604">
        <f>69011.4285320016*(1/100/100)</f>
        <v>6.9011428532001613</v>
      </c>
      <c r="C5604">
        <v>63010</v>
      </c>
      <c r="D5604" t="s">
        <v>6296</v>
      </c>
      <c r="E5604">
        <v>60659</v>
      </c>
      <c r="F5604" t="s">
        <v>1533</v>
      </c>
      <c r="G5604">
        <v>606</v>
      </c>
      <c r="H5604" t="s">
        <v>103</v>
      </c>
      <c r="I5604">
        <v>6</v>
      </c>
      <c r="J5604" t="s">
        <v>101</v>
      </c>
    </row>
    <row r="5605" spans="1:10" x14ac:dyDescent="0.25">
      <c r="A5605" t="s">
        <v>150</v>
      </c>
      <c r="B5605">
        <f>19683.7749477373*(1/100/100)</f>
        <v>1.96837749477373</v>
      </c>
      <c r="C5605">
        <v>63011</v>
      </c>
      <c r="D5605" t="s">
        <v>6287</v>
      </c>
      <c r="E5605">
        <v>60651</v>
      </c>
      <c r="F5605" t="s">
        <v>1528</v>
      </c>
      <c r="G5605">
        <v>606</v>
      </c>
      <c r="H5605" t="s">
        <v>103</v>
      </c>
      <c r="I5605">
        <v>6</v>
      </c>
      <c r="J5605" t="s">
        <v>101</v>
      </c>
    </row>
    <row r="5606" spans="1:10" x14ac:dyDescent="0.25">
      <c r="A5606" t="s">
        <v>150</v>
      </c>
      <c r="B5606">
        <f>20023.1518980883*(1/100/100)</f>
        <v>2.0023151898088303</v>
      </c>
      <c r="C5606">
        <v>63012</v>
      </c>
      <c r="D5606" t="s">
        <v>6297</v>
      </c>
      <c r="E5606">
        <v>60659</v>
      </c>
      <c r="F5606" t="s">
        <v>1533</v>
      </c>
      <c r="G5606">
        <v>606</v>
      </c>
      <c r="H5606" t="s">
        <v>103</v>
      </c>
      <c r="I5606">
        <v>6</v>
      </c>
      <c r="J5606" t="s">
        <v>101</v>
      </c>
    </row>
    <row r="5607" spans="1:10" x14ac:dyDescent="0.25">
      <c r="A5607" t="s">
        <v>150</v>
      </c>
      <c r="B5607">
        <f>20993.3381347262*(1/100/100)</f>
        <v>2.09933381347262</v>
      </c>
      <c r="C5607">
        <v>63013</v>
      </c>
      <c r="D5607" t="s">
        <v>4037</v>
      </c>
      <c r="E5607">
        <v>60663</v>
      </c>
      <c r="F5607" t="s">
        <v>1537</v>
      </c>
      <c r="G5607">
        <v>606</v>
      </c>
      <c r="H5607" t="s">
        <v>103</v>
      </c>
      <c r="I5607">
        <v>6</v>
      </c>
      <c r="J5607" t="s">
        <v>101</v>
      </c>
    </row>
    <row r="5608" spans="1:10" x14ac:dyDescent="0.25">
      <c r="A5608" t="s">
        <v>150</v>
      </c>
      <c r="B5608">
        <f>42824.9551948898*(1/100/100)</f>
        <v>4.2824955194889807</v>
      </c>
      <c r="C5608">
        <v>63014</v>
      </c>
      <c r="D5608" t="s">
        <v>6316</v>
      </c>
      <c r="E5608">
        <v>60663</v>
      </c>
      <c r="F5608" t="s">
        <v>1537</v>
      </c>
      <c r="G5608">
        <v>606</v>
      </c>
      <c r="H5608" t="s">
        <v>103</v>
      </c>
      <c r="I5608">
        <v>6</v>
      </c>
      <c r="J5608" t="s">
        <v>101</v>
      </c>
    </row>
    <row r="5609" spans="1:10" x14ac:dyDescent="0.25">
      <c r="A5609" t="s">
        <v>150</v>
      </c>
      <c r="B5609">
        <f>2933.37067626472*(1/100/100)</f>
        <v>0.29333706762647199</v>
      </c>
      <c r="C5609">
        <v>63015</v>
      </c>
      <c r="D5609" t="s">
        <v>6317</v>
      </c>
      <c r="E5609">
        <v>60663</v>
      </c>
      <c r="F5609" t="s">
        <v>1537</v>
      </c>
      <c r="G5609">
        <v>606</v>
      </c>
      <c r="H5609" t="s">
        <v>103</v>
      </c>
      <c r="I5609">
        <v>6</v>
      </c>
      <c r="J5609" t="s">
        <v>101</v>
      </c>
    </row>
    <row r="5610" spans="1:10" x14ac:dyDescent="0.25">
      <c r="A5610" t="s">
        <v>150</v>
      </c>
      <c r="B5610">
        <f>37274.9099904654*(1/100/100)</f>
        <v>3.7274909990465401</v>
      </c>
      <c r="C5610">
        <v>63016</v>
      </c>
      <c r="D5610" t="s">
        <v>6285</v>
      </c>
      <c r="E5610">
        <v>60645</v>
      </c>
      <c r="F5610" t="s">
        <v>1524</v>
      </c>
      <c r="G5610">
        <v>606</v>
      </c>
      <c r="H5610" t="s">
        <v>103</v>
      </c>
      <c r="I5610">
        <v>6</v>
      </c>
      <c r="J5610" t="s">
        <v>101</v>
      </c>
    </row>
    <row r="5611" spans="1:10" x14ac:dyDescent="0.25">
      <c r="A5611" t="s">
        <v>150</v>
      </c>
      <c r="B5611">
        <f>85518.4872069742*(1/100/100)</f>
        <v>8.5518487206974196</v>
      </c>
      <c r="C5611">
        <v>63017</v>
      </c>
      <c r="D5611" t="s">
        <v>6318</v>
      </c>
      <c r="E5611">
        <v>60663</v>
      </c>
      <c r="F5611" t="s">
        <v>1537</v>
      </c>
      <c r="G5611">
        <v>606</v>
      </c>
      <c r="H5611" t="s">
        <v>103</v>
      </c>
      <c r="I5611">
        <v>6</v>
      </c>
      <c r="J5611" t="s">
        <v>101</v>
      </c>
    </row>
    <row r="5612" spans="1:10" x14ac:dyDescent="0.25">
      <c r="A5612" t="s">
        <v>150</v>
      </c>
      <c r="B5612">
        <f>44044.2143955791*(1/100/100)</f>
        <v>4.4044214395579102</v>
      </c>
      <c r="C5612">
        <v>63018</v>
      </c>
      <c r="D5612" t="s">
        <v>3228</v>
      </c>
      <c r="E5612">
        <v>60651</v>
      </c>
      <c r="F5612" t="s">
        <v>1528</v>
      </c>
      <c r="G5612">
        <v>606</v>
      </c>
      <c r="H5612" t="s">
        <v>103</v>
      </c>
      <c r="I5612">
        <v>6</v>
      </c>
      <c r="J5612" t="s">
        <v>101</v>
      </c>
    </row>
    <row r="5613" spans="1:10" x14ac:dyDescent="0.25">
      <c r="A5613" t="s">
        <v>150</v>
      </c>
      <c r="B5613">
        <f>182814.78924023*(1/100/100)</f>
        <v>18.281478924022998</v>
      </c>
      <c r="C5613">
        <v>63019</v>
      </c>
      <c r="D5613" t="s">
        <v>1520</v>
      </c>
      <c r="E5613">
        <v>60632</v>
      </c>
      <c r="F5613" t="s">
        <v>1520</v>
      </c>
      <c r="G5613">
        <v>606</v>
      </c>
      <c r="H5613" t="s">
        <v>103</v>
      </c>
      <c r="I5613">
        <v>6</v>
      </c>
      <c r="J5613" t="s">
        <v>101</v>
      </c>
    </row>
    <row r="5614" spans="1:10" x14ac:dyDescent="0.25">
      <c r="A5614" t="s">
        <v>150</v>
      </c>
      <c r="B5614">
        <f>16277.339619977*(1/100/100)</f>
        <v>1.6277339619977</v>
      </c>
      <c r="C5614">
        <v>63020</v>
      </c>
      <c r="D5614" t="s">
        <v>6319</v>
      </c>
      <c r="E5614">
        <v>60663</v>
      </c>
      <c r="F5614" t="s">
        <v>1537</v>
      </c>
      <c r="G5614">
        <v>606</v>
      </c>
      <c r="H5614" t="s">
        <v>103</v>
      </c>
      <c r="I5614">
        <v>6</v>
      </c>
      <c r="J5614" t="s">
        <v>101</v>
      </c>
    </row>
    <row r="5615" spans="1:10" x14ac:dyDescent="0.25">
      <c r="A5615" t="s">
        <v>150</v>
      </c>
      <c r="B5615">
        <f>54428.6864455893*(1/100/100)</f>
        <v>5.4428686445589305</v>
      </c>
      <c r="C5615">
        <v>63021</v>
      </c>
      <c r="D5615" t="s">
        <v>6298</v>
      </c>
      <c r="E5615">
        <v>60659</v>
      </c>
      <c r="F5615" t="s">
        <v>1533</v>
      </c>
      <c r="G5615">
        <v>606</v>
      </c>
      <c r="H5615" t="s">
        <v>103</v>
      </c>
      <c r="I5615">
        <v>6</v>
      </c>
      <c r="J5615" t="s">
        <v>101</v>
      </c>
    </row>
    <row r="5616" spans="1:10" x14ac:dyDescent="0.25">
      <c r="A5616" t="s">
        <v>150</v>
      </c>
      <c r="B5616">
        <f>43371.3892302313*(1/100/100)</f>
        <v>4.3371389230231303</v>
      </c>
      <c r="C5616">
        <v>63022</v>
      </c>
      <c r="D5616" t="s">
        <v>1169</v>
      </c>
      <c r="E5616">
        <v>60645</v>
      </c>
      <c r="F5616" t="s">
        <v>1524</v>
      </c>
      <c r="G5616">
        <v>606</v>
      </c>
      <c r="H5616" t="s">
        <v>103</v>
      </c>
      <c r="I5616">
        <v>6</v>
      </c>
      <c r="J5616" t="s">
        <v>101</v>
      </c>
    </row>
    <row r="5617" spans="1:10" x14ac:dyDescent="0.25">
      <c r="A5617" t="s">
        <v>150</v>
      </c>
      <c r="B5617">
        <f>39451.4002399482*(1/100/100)</f>
        <v>3.9451400239948198</v>
      </c>
      <c r="C5617">
        <v>63023</v>
      </c>
      <c r="D5617" t="s">
        <v>6320</v>
      </c>
      <c r="E5617">
        <v>60663</v>
      </c>
      <c r="F5617" t="s">
        <v>1537</v>
      </c>
      <c r="G5617">
        <v>606</v>
      </c>
      <c r="H5617" t="s">
        <v>103</v>
      </c>
      <c r="I5617">
        <v>6</v>
      </c>
      <c r="J5617" t="s">
        <v>101</v>
      </c>
    </row>
    <row r="5618" spans="1:10" x14ac:dyDescent="0.25">
      <c r="A5618" t="s">
        <v>150</v>
      </c>
      <c r="B5618">
        <f>30162.7679907856*(1/100/100)</f>
        <v>3.0162767990785602</v>
      </c>
      <c r="C5618">
        <v>63024</v>
      </c>
      <c r="D5618" t="s">
        <v>6321</v>
      </c>
      <c r="E5618">
        <v>60663</v>
      </c>
      <c r="F5618" t="s">
        <v>1537</v>
      </c>
      <c r="G5618">
        <v>606</v>
      </c>
      <c r="H5618" t="s">
        <v>103</v>
      </c>
      <c r="I5618">
        <v>6</v>
      </c>
      <c r="J5618" t="s">
        <v>101</v>
      </c>
    </row>
    <row r="5619" spans="1:10" x14ac:dyDescent="0.25">
      <c r="A5619" t="s">
        <v>150</v>
      </c>
      <c r="B5619">
        <f>100373.205595628*(1/100/100)</f>
        <v>10.037320559562801</v>
      </c>
      <c r="C5619">
        <v>63025</v>
      </c>
      <c r="D5619" t="s">
        <v>5788</v>
      </c>
      <c r="E5619">
        <v>60645</v>
      </c>
      <c r="F5619" t="s">
        <v>1524</v>
      </c>
      <c r="G5619">
        <v>606</v>
      </c>
      <c r="H5619" t="s">
        <v>103</v>
      </c>
      <c r="I5619">
        <v>6</v>
      </c>
      <c r="J5619" t="s">
        <v>101</v>
      </c>
    </row>
    <row r="5620" spans="1:10" x14ac:dyDescent="0.25">
      <c r="A5620" t="s">
        <v>150</v>
      </c>
      <c r="B5620">
        <f>44802.07700597*(1/100/100)</f>
        <v>4.480207700597</v>
      </c>
      <c r="C5620">
        <v>63026</v>
      </c>
      <c r="D5620" t="s">
        <v>605</v>
      </c>
      <c r="E5620">
        <v>60663</v>
      </c>
      <c r="F5620" t="s">
        <v>1537</v>
      </c>
      <c r="G5620">
        <v>606</v>
      </c>
      <c r="H5620" t="s">
        <v>103</v>
      </c>
      <c r="I5620">
        <v>6</v>
      </c>
      <c r="J5620" t="s">
        <v>101</v>
      </c>
    </row>
    <row r="5621" spans="1:10" x14ac:dyDescent="0.25">
      <c r="A5621" t="s">
        <v>150</v>
      </c>
      <c r="B5621">
        <f>123846.30570147*(1/100/100)</f>
        <v>12.384630570147001</v>
      </c>
      <c r="C5621">
        <v>63027</v>
      </c>
      <c r="D5621" t="s">
        <v>1524</v>
      </c>
      <c r="E5621">
        <v>60645</v>
      </c>
      <c r="F5621" t="s">
        <v>1524</v>
      </c>
      <c r="G5621">
        <v>606</v>
      </c>
      <c r="H5621" t="s">
        <v>103</v>
      </c>
      <c r="I5621">
        <v>6</v>
      </c>
      <c r="J5621" t="s">
        <v>101</v>
      </c>
    </row>
    <row r="5622" spans="1:10" x14ac:dyDescent="0.25">
      <c r="A5622" t="s">
        <v>150</v>
      </c>
      <c r="B5622">
        <f>22379.4908062526*(1/100/100)</f>
        <v>2.2379490806252602</v>
      </c>
      <c r="C5622">
        <v>63028</v>
      </c>
      <c r="D5622" t="s">
        <v>6299</v>
      </c>
      <c r="E5622">
        <v>60659</v>
      </c>
      <c r="F5622" t="s">
        <v>1533</v>
      </c>
      <c r="G5622">
        <v>606</v>
      </c>
      <c r="H5622" t="s">
        <v>103</v>
      </c>
      <c r="I5622">
        <v>6</v>
      </c>
      <c r="J5622" t="s">
        <v>101</v>
      </c>
    </row>
    <row r="5623" spans="1:10" x14ac:dyDescent="0.25">
      <c r="A5623" t="s">
        <v>150</v>
      </c>
      <c r="B5623">
        <f>44588.8341899565*(1/100/100)</f>
        <v>4.4588834189956499</v>
      </c>
      <c r="C5623">
        <v>63029</v>
      </c>
      <c r="D5623" t="s">
        <v>6728</v>
      </c>
      <c r="E5623">
        <v>61758</v>
      </c>
      <c r="F5623" t="s">
        <v>1661</v>
      </c>
      <c r="G5623">
        <v>617</v>
      </c>
      <c r="H5623" t="s">
        <v>109</v>
      </c>
      <c r="I5623">
        <v>6</v>
      </c>
      <c r="J5623" t="s">
        <v>101</v>
      </c>
    </row>
    <row r="5624" spans="1:10" x14ac:dyDescent="0.25">
      <c r="A5624" t="s">
        <v>150</v>
      </c>
      <c r="B5624">
        <f>43806.0290651602*(1/100/100)</f>
        <v>4.3806029065160201</v>
      </c>
      <c r="C5624">
        <v>63030</v>
      </c>
      <c r="D5624" t="s">
        <v>6729</v>
      </c>
      <c r="E5624">
        <v>61758</v>
      </c>
      <c r="F5624" t="s">
        <v>1661</v>
      </c>
      <c r="G5624">
        <v>617</v>
      </c>
      <c r="H5624" t="s">
        <v>109</v>
      </c>
      <c r="I5624">
        <v>6</v>
      </c>
      <c r="J5624" t="s">
        <v>101</v>
      </c>
    </row>
    <row r="5625" spans="1:10" x14ac:dyDescent="0.25">
      <c r="A5625" t="s">
        <v>150</v>
      </c>
      <c r="B5625">
        <f>23414.1379077605*(1/100/100)</f>
        <v>2.3414137907760502</v>
      </c>
      <c r="C5625">
        <v>63031</v>
      </c>
      <c r="D5625" t="s">
        <v>3286</v>
      </c>
      <c r="E5625">
        <v>61758</v>
      </c>
      <c r="F5625" t="s">
        <v>1661</v>
      </c>
      <c r="G5625">
        <v>617</v>
      </c>
      <c r="H5625" t="s">
        <v>109</v>
      </c>
      <c r="I5625">
        <v>6</v>
      </c>
      <c r="J5625" t="s">
        <v>101</v>
      </c>
    </row>
    <row r="5626" spans="1:10" x14ac:dyDescent="0.25">
      <c r="A5626" t="s">
        <v>150</v>
      </c>
      <c r="B5626">
        <f>95330.0958103058*(1/100/100)</f>
        <v>9.5330095810305799</v>
      </c>
      <c r="C5626">
        <v>63032</v>
      </c>
      <c r="D5626" t="s">
        <v>6288</v>
      </c>
      <c r="E5626">
        <v>60651</v>
      </c>
      <c r="F5626" t="s">
        <v>1528</v>
      </c>
      <c r="G5626">
        <v>606</v>
      </c>
      <c r="H5626" t="s">
        <v>103</v>
      </c>
      <c r="I5626">
        <v>6</v>
      </c>
      <c r="J5626" t="s">
        <v>101</v>
      </c>
    </row>
    <row r="5627" spans="1:10" x14ac:dyDescent="0.25">
      <c r="A5627" t="s">
        <v>150</v>
      </c>
      <c r="B5627">
        <f>90963.1385526349*(1/100/100)</f>
        <v>9.0963138552634906</v>
      </c>
      <c r="C5627">
        <v>63033</v>
      </c>
      <c r="D5627" t="s">
        <v>6289</v>
      </c>
      <c r="E5627">
        <v>60651</v>
      </c>
      <c r="F5627" t="s">
        <v>1528</v>
      </c>
      <c r="G5627">
        <v>606</v>
      </c>
      <c r="H5627" t="s">
        <v>103</v>
      </c>
      <c r="I5627">
        <v>6</v>
      </c>
      <c r="J5627" t="s">
        <v>101</v>
      </c>
    </row>
    <row r="5628" spans="1:10" x14ac:dyDescent="0.25">
      <c r="A5628" t="s">
        <v>150</v>
      </c>
      <c r="B5628">
        <f>36035.4514970984*(1/100/100)</f>
        <v>3.6035451497098405</v>
      </c>
      <c r="C5628">
        <v>63034</v>
      </c>
      <c r="D5628" t="s">
        <v>6300</v>
      </c>
      <c r="E5628">
        <v>60659</v>
      </c>
      <c r="F5628" t="s">
        <v>1533</v>
      </c>
      <c r="G5628">
        <v>606</v>
      </c>
      <c r="H5628" t="s">
        <v>103</v>
      </c>
      <c r="I5628">
        <v>6</v>
      </c>
      <c r="J5628" t="s">
        <v>101</v>
      </c>
    </row>
    <row r="5629" spans="1:10" x14ac:dyDescent="0.25">
      <c r="A5629" t="s">
        <v>150</v>
      </c>
      <c r="B5629">
        <f>114676.198014823*(1/100/100)</f>
        <v>11.467619801482302</v>
      </c>
      <c r="C5629">
        <v>63035</v>
      </c>
      <c r="D5629" t="s">
        <v>6322</v>
      </c>
      <c r="E5629">
        <v>60663</v>
      </c>
      <c r="F5629" t="s">
        <v>1537</v>
      </c>
      <c r="G5629">
        <v>606</v>
      </c>
      <c r="H5629" t="s">
        <v>103</v>
      </c>
      <c r="I5629">
        <v>6</v>
      </c>
      <c r="J5629" t="s">
        <v>101</v>
      </c>
    </row>
    <row r="5630" spans="1:10" x14ac:dyDescent="0.25">
      <c r="A5630" t="s">
        <v>150</v>
      </c>
      <c r="B5630">
        <f>158753.482509177*(1/100/100)</f>
        <v>15.875348250917702</v>
      </c>
      <c r="C5630">
        <v>63036</v>
      </c>
      <c r="D5630" t="s">
        <v>5077</v>
      </c>
      <c r="E5630">
        <v>60645</v>
      </c>
      <c r="F5630" t="s">
        <v>1524</v>
      </c>
      <c r="G5630">
        <v>606</v>
      </c>
      <c r="H5630" t="s">
        <v>103</v>
      </c>
      <c r="I5630">
        <v>6</v>
      </c>
      <c r="J5630" t="s">
        <v>101</v>
      </c>
    </row>
    <row r="5631" spans="1:10" x14ac:dyDescent="0.25">
      <c r="A5631" t="s">
        <v>150</v>
      </c>
      <c r="B5631">
        <f>311253.426140947*(1/100/100)</f>
        <v>31.125342614094698</v>
      </c>
      <c r="C5631">
        <v>63101</v>
      </c>
      <c r="D5631" t="s">
        <v>6108</v>
      </c>
      <c r="E5631">
        <v>60101</v>
      </c>
      <c r="F5631" t="s">
        <v>1494</v>
      </c>
      <c r="G5631">
        <v>601</v>
      </c>
      <c r="H5631" t="s">
        <v>100</v>
      </c>
      <c r="I5631">
        <v>6</v>
      </c>
      <c r="J5631" t="s">
        <v>101</v>
      </c>
    </row>
    <row r="5632" spans="1:10" x14ac:dyDescent="0.25">
      <c r="A5632" t="s">
        <v>150</v>
      </c>
      <c r="B5632">
        <f>476879.041446836*(1/100/100)</f>
        <v>47.687904144683607</v>
      </c>
      <c r="C5632">
        <v>63102</v>
      </c>
      <c r="D5632" t="s">
        <v>2875</v>
      </c>
      <c r="E5632">
        <v>60101</v>
      </c>
      <c r="F5632" t="s">
        <v>1494</v>
      </c>
      <c r="G5632">
        <v>601</v>
      </c>
      <c r="H5632" t="s">
        <v>100</v>
      </c>
      <c r="I5632">
        <v>6</v>
      </c>
      <c r="J5632" t="s">
        <v>101</v>
      </c>
    </row>
    <row r="5633" spans="1:10" x14ac:dyDescent="0.25">
      <c r="A5633" t="s">
        <v>150</v>
      </c>
      <c r="B5633">
        <f>881698.380449092*(1/100/100)</f>
        <v>88.169838044909213</v>
      </c>
      <c r="C5633">
        <v>63103</v>
      </c>
      <c r="D5633" t="s">
        <v>6109</v>
      </c>
      <c r="E5633">
        <v>60101</v>
      </c>
      <c r="F5633" t="s">
        <v>1494</v>
      </c>
      <c r="G5633">
        <v>601</v>
      </c>
      <c r="H5633" t="s">
        <v>100</v>
      </c>
      <c r="I5633">
        <v>6</v>
      </c>
      <c r="J5633" t="s">
        <v>101</v>
      </c>
    </row>
    <row r="5634" spans="1:10" x14ac:dyDescent="0.25">
      <c r="A5634" t="s">
        <v>150</v>
      </c>
      <c r="B5634">
        <f>832467.209708068*(1/100/100)</f>
        <v>83.246720970806805</v>
      </c>
      <c r="C5634">
        <v>63104</v>
      </c>
      <c r="D5634" t="s">
        <v>1474</v>
      </c>
      <c r="E5634">
        <v>60101</v>
      </c>
      <c r="F5634" t="s">
        <v>1494</v>
      </c>
      <c r="G5634">
        <v>601</v>
      </c>
      <c r="H5634" t="s">
        <v>100</v>
      </c>
      <c r="I5634">
        <v>6</v>
      </c>
      <c r="J5634" t="s">
        <v>101</v>
      </c>
    </row>
    <row r="5635" spans="1:10" x14ac:dyDescent="0.25">
      <c r="A5635" t="s">
        <v>150</v>
      </c>
      <c r="B5635">
        <f>1232713.52186554*(1/100/100)</f>
        <v>123.271352186554</v>
      </c>
      <c r="C5635">
        <v>63105</v>
      </c>
      <c r="D5635" t="s">
        <v>2843</v>
      </c>
      <c r="E5635">
        <v>60101</v>
      </c>
      <c r="F5635" t="s">
        <v>1494</v>
      </c>
      <c r="G5635">
        <v>601</v>
      </c>
      <c r="H5635" t="s">
        <v>100</v>
      </c>
      <c r="I5635">
        <v>6</v>
      </c>
      <c r="J5635" t="s">
        <v>101</v>
      </c>
    </row>
    <row r="5636" spans="1:10" x14ac:dyDescent="0.25">
      <c r="A5636" t="s">
        <v>150</v>
      </c>
      <c r="B5636">
        <f>1005236.46539631*(1/100/100)</f>
        <v>100.523646539631</v>
      </c>
      <c r="C5636">
        <v>63106</v>
      </c>
      <c r="D5636" t="s">
        <v>6110</v>
      </c>
      <c r="E5636">
        <v>60101</v>
      </c>
      <c r="F5636" t="s">
        <v>1494</v>
      </c>
      <c r="G5636">
        <v>601</v>
      </c>
      <c r="H5636" t="s">
        <v>100</v>
      </c>
      <c r="I5636">
        <v>6</v>
      </c>
      <c r="J5636" t="s">
        <v>101</v>
      </c>
    </row>
    <row r="5637" spans="1:10" x14ac:dyDescent="0.25">
      <c r="A5637" t="s">
        <v>150</v>
      </c>
      <c r="B5637">
        <f>369864.923522403*(1/100/100)</f>
        <v>36.986492352240305</v>
      </c>
      <c r="C5637">
        <v>63107</v>
      </c>
      <c r="D5637" t="s">
        <v>6111</v>
      </c>
      <c r="E5637">
        <v>60101</v>
      </c>
      <c r="F5637" t="s">
        <v>1494</v>
      </c>
      <c r="G5637">
        <v>601</v>
      </c>
      <c r="H5637" t="s">
        <v>100</v>
      </c>
      <c r="I5637">
        <v>6</v>
      </c>
      <c r="J5637" t="s">
        <v>101</v>
      </c>
    </row>
    <row r="5638" spans="1:10" x14ac:dyDescent="0.25">
      <c r="A5638" t="s">
        <v>150</v>
      </c>
      <c r="B5638">
        <f>689934.167577057*(1/100/100)</f>
        <v>68.993416757705702</v>
      </c>
      <c r="C5638">
        <v>63108</v>
      </c>
      <c r="D5638" t="s">
        <v>6112</v>
      </c>
      <c r="E5638">
        <v>60101</v>
      </c>
      <c r="F5638" t="s">
        <v>1494</v>
      </c>
      <c r="G5638">
        <v>601</v>
      </c>
      <c r="H5638" t="s">
        <v>100</v>
      </c>
      <c r="I5638">
        <v>6</v>
      </c>
      <c r="J5638" t="s">
        <v>101</v>
      </c>
    </row>
    <row r="5639" spans="1:10" x14ac:dyDescent="0.25">
      <c r="A5639" t="s">
        <v>150</v>
      </c>
      <c r="B5639">
        <f>336946.360608335*(1/100/100)</f>
        <v>33.694636060833503</v>
      </c>
      <c r="C5639">
        <v>63109</v>
      </c>
      <c r="D5639" t="s">
        <v>3426</v>
      </c>
      <c r="E5639">
        <v>60101</v>
      </c>
      <c r="F5639" t="s">
        <v>1494</v>
      </c>
      <c r="G5639">
        <v>601</v>
      </c>
      <c r="H5639" t="s">
        <v>100</v>
      </c>
      <c r="I5639">
        <v>6</v>
      </c>
      <c r="J5639" t="s">
        <v>101</v>
      </c>
    </row>
    <row r="5640" spans="1:10" x14ac:dyDescent="0.25">
      <c r="A5640" t="s">
        <v>150</v>
      </c>
      <c r="B5640">
        <f>113422.459006357*(1/100/100)</f>
        <v>11.342245900635701</v>
      </c>
      <c r="C5640">
        <v>63110</v>
      </c>
      <c r="D5640" t="s">
        <v>3504</v>
      </c>
      <c r="E5640">
        <v>60101</v>
      </c>
      <c r="F5640" t="s">
        <v>1494</v>
      </c>
      <c r="G5640">
        <v>601</v>
      </c>
      <c r="H5640" t="s">
        <v>100</v>
      </c>
      <c r="I5640">
        <v>6</v>
      </c>
      <c r="J5640" t="s">
        <v>101</v>
      </c>
    </row>
    <row r="5641" spans="1:10" x14ac:dyDescent="0.25">
      <c r="A5641" t="s">
        <v>150</v>
      </c>
      <c r="B5641">
        <f>117044.926139996*(1/100/100)</f>
        <v>11.7044926139996</v>
      </c>
      <c r="C5641">
        <v>63111</v>
      </c>
      <c r="D5641" t="s">
        <v>6113</v>
      </c>
      <c r="E5641">
        <v>60101</v>
      </c>
      <c r="F5641" t="s">
        <v>1494</v>
      </c>
      <c r="G5641">
        <v>601</v>
      </c>
      <c r="H5641" t="s">
        <v>100</v>
      </c>
      <c r="I5641">
        <v>6</v>
      </c>
      <c r="J5641" t="s">
        <v>101</v>
      </c>
    </row>
    <row r="5642" spans="1:10" x14ac:dyDescent="0.25">
      <c r="A5642" t="s">
        <v>150</v>
      </c>
      <c r="B5642">
        <f>541336.947813138*(1/100/100)</f>
        <v>54.133694781313807</v>
      </c>
      <c r="C5642">
        <v>63112</v>
      </c>
      <c r="D5642" t="s">
        <v>3237</v>
      </c>
      <c r="E5642">
        <v>60101</v>
      </c>
      <c r="F5642" t="s">
        <v>1494</v>
      </c>
      <c r="G5642">
        <v>601</v>
      </c>
      <c r="H5642" t="s">
        <v>100</v>
      </c>
      <c r="I5642">
        <v>6</v>
      </c>
      <c r="J5642" t="s">
        <v>101</v>
      </c>
    </row>
    <row r="5643" spans="1:10" x14ac:dyDescent="0.25">
      <c r="A5643" t="s">
        <v>150</v>
      </c>
      <c r="B5643">
        <f>416817.207773383*(1/100/100)</f>
        <v>41.681720777338306</v>
      </c>
      <c r="C5643">
        <v>63113</v>
      </c>
      <c r="D5643" t="s">
        <v>1051</v>
      </c>
      <c r="E5643">
        <v>60101</v>
      </c>
      <c r="F5643" t="s">
        <v>1494</v>
      </c>
      <c r="G5643">
        <v>601</v>
      </c>
      <c r="H5643" t="s">
        <v>100</v>
      </c>
      <c r="I5643">
        <v>6</v>
      </c>
      <c r="J5643" t="s">
        <v>101</v>
      </c>
    </row>
    <row r="5644" spans="1:10" x14ac:dyDescent="0.25">
      <c r="A5644" t="s">
        <v>150</v>
      </c>
      <c r="B5644">
        <f>369301.143134905*(1/100/100)</f>
        <v>36.930114313490506</v>
      </c>
      <c r="C5644">
        <v>63114</v>
      </c>
      <c r="D5644" t="s">
        <v>6114</v>
      </c>
      <c r="E5644">
        <v>60101</v>
      </c>
      <c r="F5644" t="s">
        <v>1494</v>
      </c>
      <c r="G5644">
        <v>601</v>
      </c>
      <c r="H5644" t="s">
        <v>100</v>
      </c>
      <c r="I5644">
        <v>6</v>
      </c>
      <c r="J5644" t="s">
        <v>101</v>
      </c>
    </row>
    <row r="5645" spans="1:10" x14ac:dyDescent="0.25">
      <c r="A5645" t="s">
        <v>150</v>
      </c>
      <c r="B5645">
        <f>106875.174425476*(1/100/100)</f>
        <v>10.6875174425476</v>
      </c>
      <c r="C5645">
        <v>63115</v>
      </c>
      <c r="D5645" t="s">
        <v>6115</v>
      </c>
      <c r="E5645">
        <v>60101</v>
      </c>
      <c r="F5645" t="s">
        <v>1494</v>
      </c>
      <c r="G5645">
        <v>601</v>
      </c>
      <c r="H5645" t="s">
        <v>100</v>
      </c>
      <c r="I5645">
        <v>6</v>
      </c>
      <c r="J5645" t="s">
        <v>101</v>
      </c>
    </row>
    <row r="5646" spans="1:10" x14ac:dyDescent="0.25">
      <c r="A5646" t="s">
        <v>150</v>
      </c>
      <c r="B5646">
        <f>129325.948032606*(1/100/100)</f>
        <v>12.932594803260601</v>
      </c>
      <c r="C5646">
        <v>63116</v>
      </c>
      <c r="D5646" t="s">
        <v>280</v>
      </c>
      <c r="E5646">
        <v>60101</v>
      </c>
      <c r="F5646" t="s">
        <v>1494</v>
      </c>
      <c r="G5646">
        <v>601</v>
      </c>
      <c r="H5646" t="s">
        <v>100</v>
      </c>
      <c r="I5646">
        <v>6</v>
      </c>
      <c r="J5646" t="s">
        <v>101</v>
      </c>
    </row>
    <row r="5647" spans="1:10" x14ac:dyDescent="0.25">
      <c r="A5647" t="s">
        <v>150</v>
      </c>
      <c r="B5647">
        <f>149238.579148506*(1/100/100)</f>
        <v>14.923857914850599</v>
      </c>
      <c r="C5647">
        <v>63117</v>
      </c>
      <c r="D5647" t="s">
        <v>1557</v>
      </c>
      <c r="E5647">
        <v>60101</v>
      </c>
      <c r="F5647" t="s">
        <v>1494</v>
      </c>
      <c r="G5647">
        <v>601</v>
      </c>
      <c r="H5647" t="s">
        <v>100</v>
      </c>
      <c r="I5647">
        <v>6</v>
      </c>
      <c r="J5647" t="s">
        <v>101</v>
      </c>
    </row>
    <row r="5648" spans="1:10" x14ac:dyDescent="0.25">
      <c r="A5648" t="s">
        <v>150</v>
      </c>
      <c r="B5648">
        <f>445578.051497553*(1/100/100)</f>
        <v>44.557805149755303</v>
      </c>
      <c r="C5648">
        <v>63118</v>
      </c>
      <c r="D5648" t="s">
        <v>234</v>
      </c>
      <c r="E5648">
        <v>60101</v>
      </c>
      <c r="F5648" t="s">
        <v>1494</v>
      </c>
      <c r="G5648">
        <v>601</v>
      </c>
      <c r="H5648" t="s">
        <v>100</v>
      </c>
      <c r="I5648">
        <v>6</v>
      </c>
      <c r="J5648" t="s">
        <v>101</v>
      </c>
    </row>
    <row r="5649" spans="1:10" x14ac:dyDescent="0.25">
      <c r="A5649" t="s">
        <v>150</v>
      </c>
      <c r="B5649">
        <f>564666.962953471*(1/100/100)</f>
        <v>56.466696295347106</v>
      </c>
      <c r="C5649">
        <v>63119</v>
      </c>
      <c r="D5649" t="s">
        <v>2595</v>
      </c>
      <c r="E5649">
        <v>60101</v>
      </c>
      <c r="F5649" t="s">
        <v>1494</v>
      </c>
      <c r="G5649">
        <v>601</v>
      </c>
      <c r="H5649" t="s">
        <v>100</v>
      </c>
      <c r="I5649">
        <v>6</v>
      </c>
      <c r="J5649" t="s">
        <v>101</v>
      </c>
    </row>
    <row r="5650" spans="1:10" x14ac:dyDescent="0.25">
      <c r="A5650" t="s">
        <v>150</v>
      </c>
      <c r="B5650">
        <f>128115.067681035*(1/100/100)</f>
        <v>12.8115067681035</v>
      </c>
      <c r="C5650">
        <v>63120</v>
      </c>
      <c r="D5650" t="s">
        <v>6116</v>
      </c>
      <c r="E5650">
        <v>60101</v>
      </c>
      <c r="F5650" t="s">
        <v>1494</v>
      </c>
      <c r="G5650">
        <v>601</v>
      </c>
      <c r="H5650" t="s">
        <v>100</v>
      </c>
      <c r="I5650">
        <v>6</v>
      </c>
      <c r="J5650" t="s">
        <v>101</v>
      </c>
    </row>
    <row r="5651" spans="1:10" x14ac:dyDescent="0.25">
      <c r="A5651" t="s">
        <v>150</v>
      </c>
      <c r="B5651">
        <f>208631.395635636*(1/100/100)</f>
        <v>20.8631395635636</v>
      </c>
      <c r="C5651">
        <v>63121</v>
      </c>
      <c r="D5651" t="s">
        <v>6117</v>
      </c>
      <c r="E5651">
        <v>60101</v>
      </c>
      <c r="F5651" t="s">
        <v>1494</v>
      </c>
      <c r="G5651">
        <v>601</v>
      </c>
      <c r="H5651" t="s">
        <v>100</v>
      </c>
      <c r="I5651">
        <v>6</v>
      </c>
      <c r="J5651" t="s">
        <v>101</v>
      </c>
    </row>
    <row r="5652" spans="1:10" x14ac:dyDescent="0.25">
      <c r="A5652" t="s">
        <v>150</v>
      </c>
      <c r="B5652">
        <f>436164.975270063*(1/100/100)</f>
        <v>43.616497527006302</v>
      </c>
      <c r="C5652">
        <v>63122</v>
      </c>
      <c r="D5652" t="s">
        <v>6118</v>
      </c>
      <c r="E5652">
        <v>60101</v>
      </c>
      <c r="F5652" t="s">
        <v>1494</v>
      </c>
      <c r="G5652">
        <v>601</v>
      </c>
      <c r="H5652" t="s">
        <v>100</v>
      </c>
      <c r="I5652">
        <v>6</v>
      </c>
      <c r="J5652" t="s">
        <v>101</v>
      </c>
    </row>
    <row r="5653" spans="1:10" x14ac:dyDescent="0.25">
      <c r="A5653" t="s">
        <v>150</v>
      </c>
      <c r="B5653">
        <f>318805.690586978*(1/100/100)</f>
        <v>31.880569058697802</v>
      </c>
      <c r="C5653">
        <v>63123</v>
      </c>
      <c r="D5653" t="s">
        <v>6119</v>
      </c>
      <c r="E5653">
        <v>60101</v>
      </c>
      <c r="F5653" t="s">
        <v>1494</v>
      </c>
      <c r="G5653">
        <v>601</v>
      </c>
      <c r="H5653" t="s">
        <v>100</v>
      </c>
      <c r="I5653">
        <v>6</v>
      </c>
      <c r="J5653" t="s">
        <v>101</v>
      </c>
    </row>
    <row r="5654" spans="1:10" x14ac:dyDescent="0.25">
      <c r="A5654" t="s">
        <v>150</v>
      </c>
      <c r="B5654">
        <f>477603.676277949*(1/100/100)</f>
        <v>47.760367627794906</v>
      </c>
      <c r="C5654">
        <v>63124</v>
      </c>
      <c r="D5654" t="s">
        <v>2320</v>
      </c>
      <c r="E5654">
        <v>60101</v>
      </c>
      <c r="F5654" t="s">
        <v>1494</v>
      </c>
      <c r="G5654">
        <v>601</v>
      </c>
      <c r="H5654" t="s">
        <v>100</v>
      </c>
      <c r="I5654">
        <v>6</v>
      </c>
      <c r="J5654" t="s">
        <v>101</v>
      </c>
    </row>
    <row r="5655" spans="1:10" x14ac:dyDescent="0.25">
      <c r="A5655" t="s">
        <v>150</v>
      </c>
      <c r="B5655">
        <f>898981.701876014*(1/100/100)</f>
        <v>89.898170187601409</v>
      </c>
      <c r="C5655">
        <v>63125</v>
      </c>
      <c r="D5655" t="s">
        <v>6120</v>
      </c>
      <c r="E5655">
        <v>60101</v>
      </c>
      <c r="F5655" t="s">
        <v>1494</v>
      </c>
      <c r="G5655">
        <v>601</v>
      </c>
      <c r="H5655" t="s">
        <v>100</v>
      </c>
      <c r="I5655">
        <v>6</v>
      </c>
      <c r="J5655" t="s">
        <v>101</v>
      </c>
    </row>
    <row r="5656" spans="1:10" x14ac:dyDescent="0.25">
      <c r="A5656" t="s">
        <v>150</v>
      </c>
      <c r="B5656">
        <f>163583.391955201*(1/100/100)</f>
        <v>16.358339195520099</v>
      </c>
      <c r="C5656">
        <v>63126</v>
      </c>
      <c r="D5656" t="s">
        <v>6121</v>
      </c>
      <c r="E5656">
        <v>60101</v>
      </c>
      <c r="F5656" t="s">
        <v>1494</v>
      </c>
      <c r="G5656">
        <v>601</v>
      </c>
      <c r="H5656" t="s">
        <v>100</v>
      </c>
      <c r="I5656">
        <v>6</v>
      </c>
      <c r="J5656" t="s">
        <v>101</v>
      </c>
    </row>
    <row r="5657" spans="1:10" x14ac:dyDescent="0.25">
      <c r="A5657" t="s">
        <v>150</v>
      </c>
      <c r="B5657">
        <f>400923.360923671*(1/100/100)</f>
        <v>40.092336092367098</v>
      </c>
      <c r="C5657">
        <v>63127</v>
      </c>
      <c r="D5657" t="s">
        <v>6122</v>
      </c>
      <c r="E5657">
        <v>60101</v>
      </c>
      <c r="F5657" t="s">
        <v>1494</v>
      </c>
      <c r="G5657">
        <v>601</v>
      </c>
      <c r="H5657" t="s">
        <v>100</v>
      </c>
      <c r="I5657">
        <v>6</v>
      </c>
      <c r="J5657" t="s">
        <v>101</v>
      </c>
    </row>
    <row r="5658" spans="1:10" x14ac:dyDescent="0.25">
      <c r="A5658" t="s">
        <v>150</v>
      </c>
      <c r="B5658">
        <f>561519.416300297*(1/100/100)</f>
        <v>56.151941630029704</v>
      </c>
      <c r="C5658">
        <v>63128</v>
      </c>
      <c r="D5658" t="s">
        <v>4200</v>
      </c>
      <c r="E5658">
        <v>60101</v>
      </c>
      <c r="F5658" t="s">
        <v>1494</v>
      </c>
      <c r="G5658">
        <v>601</v>
      </c>
      <c r="H5658" t="s">
        <v>100</v>
      </c>
      <c r="I5658">
        <v>6</v>
      </c>
      <c r="J5658" t="s">
        <v>101</v>
      </c>
    </row>
    <row r="5659" spans="1:10" x14ac:dyDescent="0.25">
      <c r="A5659" t="s">
        <v>150</v>
      </c>
      <c r="B5659">
        <f>63977.6735002681*(1/100/100)</f>
        <v>6.3977673500268102</v>
      </c>
      <c r="C5659">
        <v>63201</v>
      </c>
      <c r="D5659" t="s">
        <v>6307</v>
      </c>
      <c r="E5659">
        <v>60661</v>
      </c>
      <c r="F5659" t="s">
        <v>1535</v>
      </c>
      <c r="G5659">
        <v>606</v>
      </c>
      <c r="H5659" t="s">
        <v>103</v>
      </c>
      <c r="I5659">
        <v>6</v>
      </c>
      <c r="J5659" t="s">
        <v>101</v>
      </c>
    </row>
    <row r="5660" spans="1:10" x14ac:dyDescent="0.25">
      <c r="A5660" t="s">
        <v>150</v>
      </c>
      <c r="B5660">
        <f>141723.992305954*(1/100/100)</f>
        <v>14.172399230595399</v>
      </c>
      <c r="C5660">
        <v>63203</v>
      </c>
      <c r="D5660" t="s">
        <v>6329</v>
      </c>
      <c r="E5660">
        <v>60665</v>
      </c>
      <c r="F5660" t="s">
        <v>1539</v>
      </c>
      <c r="G5660">
        <v>606</v>
      </c>
      <c r="H5660" t="s">
        <v>103</v>
      </c>
      <c r="I5660">
        <v>6</v>
      </c>
      <c r="J5660" t="s">
        <v>101</v>
      </c>
    </row>
    <row r="5661" spans="1:10" x14ac:dyDescent="0.25">
      <c r="A5661" t="s">
        <v>150</v>
      </c>
      <c r="B5661">
        <f>58135.9096340033*(1/100/100)</f>
        <v>5.8135909634003298</v>
      </c>
      <c r="C5661">
        <v>63204</v>
      </c>
      <c r="D5661" t="s">
        <v>6308</v>
      </c>
      <c r="E5661">
        <v>60661</v>
      </c>
      <c r="F5661" t="s">
        <v>1535</v>
      </c>
      <c r="G5661">
        <v>606</v>
      </c>
      <c r="H5661" t="s">
        <v>103</v>
      </c>
      <c r="I5661">
        <v>6</v>
      </c>
      <c r="J5661" t="s">
        <v>101</v>
      </c>
    </row>
    <row r="5662" spans="1:10" x14ac:dyDescent="0.25">
      <c r="A5662" t="s">
        <v>150</v>
      </c>
      <c r="B5662">
        <f>86224.5677912754*(1/100/100)</f>
        <v>8.6224567791275408</v>
      </c>
      <c r="C5662">
        <v>63205</v>
      </c>
      <c r="D5662" t="s">
        <v>490</v>
      </c>
      <c r="E5662">
        <v>60665</v>
      </c>
      <c r="F5662" t="s">
        <v>1539</v>
      </c>
      <c r="G5662">
        <v>606</v>
      </c>
      <c r="H5662" t="s">
        <v>103</v>
      </c>
      <c r="I5662">
        <v>6</v>
      </c>
      <c r="J5662" t="s">
        <v>101</v>
      </c>
    </row>
    <row r="5663" spans="1:10" x14ac:dyDescent="0.25">
      <c r="A5663" t="s">
        <v>150</v>
      </c>
      <c r="B5663">
        <f>107162.83054822*(1/100/100)</f>
        <v>10.716283054822</v>
      </c>
      <c r="C5663">
        <v>63206</v>
      </c>
      <c r="D5663" t="s">
        <v>5804</v>
      </c>
      <c r="E5663">
        <v>60670</v>
      </c>
      <c r="F5663" t="s">
        <v>1544</v>
      </c>
      <c r="G5663">
        <v>606</v>
      </c>
      <c r="H5663" t="s">
        <v>103</v>
      </c>
      <c r="I5663">
        <v>6</v>
      </c>
      <c r="J5663" t="s">
        <v>101</v>
      </c>
    </row>
    <row r="5664" spans="1:10" x14ac:dyDescent="0.25">
      <c r="A5664" t="s">
        <v>150</v>
      </c>
      <c r="B5664">
        <f>103579.782346376*(1/100/100)</f>
        <v>10.357978234637601</v>
      </c>
      <c r="C5664">
        <v>63207</v>
      </c>
      <c r="D5664" t="s">
        <v>6290</v>
      </c>
      <c r="E5664">
        <v>60653</v>
      </c>
      <c r="F5664" t="s">
        <v>1529</v>
      </c>
      <c r="G5664">
        <v>606</v>
      </c>
      <c r="H5664" t="s">
        <v>103</v>
      </c>
      <c r="I5664">
        <v>6</v>
      </c>
      <c r="J5664" t="s">
        <v>101</v>
      </c>
    </row>
    <row r="5665" spans="1:10" x14ac:dyDescent="0.25">
      <c r="A5665" t="s">
        <v>150</v>
      </c>
      <c r="B5665">
        <f>72223.6682519895*(1/100/100)</f>
        <v>7.2223668251989501</v>
      </c>
      <c r="C5665">
        <v>63208</v>
      </c>
      <c r="D5665" t="s">
        <v>3389</v>
      </c>
      <c r="E5665">
        <v>60660</v>
      </c>
      <c r="F5665" t="s">
        <v>1534</v>
      </c>
      <c r="G5665">
        <v>606</v>
      </c>
      <c r="H5665" t="s">
        <v>103</v>
      </c>
      <c r="I5665">
        <v>6</v>
      </c>
      <c r="J5665" t="s">
        <v>101</v>
      </c>
    </row>
    <row r="5666" spans="1:10" x14ac:dyDescent="0.25">
      <c r="A5666" t="s">
        <v>150</v>
      </c>
      <c r="B5666">
        <f>154698.025306473*(1/100/100)</f>
        <v>15.4698025306473</v>
      </c>
      <c r="C5666">
        <v>63209</v>
      </c>
      <c r="D5666" t="s">
        <v>6301</v>
      </c>
      <c r="E5666">
        <v>60660</v>
      </c>
      <c r="F5666" t="s">
        <v>1534</v>
      </c>
      <c r="G5666">
        <v>606</v>
      </c>
      <c r="H5666" t="s">
        <v>103</v>
      </c>
      <c r="I5666">
        <v>6</v>
      </c>
      <c r="J5666" t="s">
        <v>101</v>
      </c>
    </row>
    <row r="5667" spans="1:10" x14ac:dyDescent="0.25">
      <c r="A5667" t="s">
        <v>150</v>
      </c>
      <c r="B5667">
        <f>55733.6476542375*(1/100/100)</f>
        <v>5.5733647654237508</v>
      </c>
      <c r="C5667">
        <v>63210</v>
      </c>
      <c r="D5667" t="s">
        <v>6309</v>
      </c>
      <c r="E5667">
        <v>60661</v>
      </c>
      <c r="F5667" t="s">
        <v>1535</v>
      </c>
      <c r="G5667">
        <v>606</v>
      </c>
      <c r="H5667" t="s">
        <v>103</v>
      </c>
      <c r="I5667">
        <v>6</v>
      </c>
      <c r="J5667" t="s">
        <v>101</v>
      </c>
    </row>
    <row r="5668" spans="1:10" x14ac:dyDescent="0.25">
      <c r="A5668" t="s">
        <v>150</v>
      </c>
      <c r="B5668">
        <f>86548.3965146289*(1/100/100)</f>
        <v>8.6548396514628898</v>
      </c>
      <c r="C5668">
        <v>63211</v>
      </c>
      <c r="D5668" t="s">
        <v>6335</v>
      </c>
      <c r="E5668">
        <v>60666</v>
      </c>
      <c r="F5668" t="s">
        <v>1540</v>
      </c>
      <c r="G5668">
        <v>606</v>
      </c>
      <c r="H5668" t="s">
        <v>103</v>
      </c>
      <c r="I5668">
        <v>6</v>
      </c>
      <c r="J5668" t="s">
        <v>101</v>
      </c>
    </row>
    <row r="5669" spans="1:10" x14ac:dyDescent="0.25">
      <c r="A5669" t="s">
        <v>150</v>
      </c>
      <c r="B5669">
        <f>231871.676559185*(1/100/100)</f>
        <v>23.1871676559185</v>
      </c>
      <c r="C5669">
        <v>63212</v>
      </c>
      <c r="D5669" t="s">
        <v>6323</v>
      </c>
      <c r="E5669">
        <v>60664</v>
      </c>
      <c r="F5669" t="s">
        <v>1538</v>
      </c>
      <c r="G5669">
        <v>606</v>
      </c>
      <c r="H5669" t="s">
        <v>103</v>
      </c>
      <c r="I5669">
        <v>6</v>
      </c>
      <c r="J5669" t="s">
        <v>101</v>
      </c>
    </row>
    <row r="5670" spans="1:10" x14ac:dyDescent="0.25">
      <c r="A5670" t="s">
        <v>150</v>
      </c>
      <c r="B5670">
        <f>156107.667884623*(1/100/100)</f>
        <v>15.6107667884623</v>
      </c>
      <c r="C5670">
        <v>63213</v>
      </c>
      <c r="D5670" t="s">
        <v>4172</v>
      </c>
      <c r="E5670">
        <v>60661</v>
      </c>
      <c r="F5670" t="s">
        <v>1535</v>
      </c>
      <c r="G5670">
        <v>606</v>
      </c>
      <c r="H5670" t="s">
        <v>103</v>
      </c>
      <c r="I5670">
        <v>6</v>
      </c>
      <c r="J5670" t="s">
        <v>101</v>
      </c>
    </row>
    <row r="5671" spans="1:10" x14ac:dyDescent="0.25">
      <c r="A5671" t="s">
        <v>150</v>
      </c>
      <c r="B5671">
        <f>254032.292553637*(1/100/100)</f>
        <v>25.403229255363701</v>
      </c>
      <c r="C5671">
        <v>63214</v>
      </c>
      <c r="D5671" t="s">
        <v>3836</v>
      </c>
      <c r="E5671">
        <v>60662</v>
      </c>
      <c r="F5671" t="s">
        <v>1536</v>
      </c>
      <c r="G5671">
        <v>606</v>
      </c>
      <c r="H5671" t="s">
        <v>103</v>
      </c>
      <c r="I5671">
        <v>6</v>
      </c>
      <c r="J5671" t="s">
        <v>101</v>
      </c>
    </row>
    <row r="5672" spans="1:10" x14ac:dyDescent="0.25">
      <c r="A5672" t="s">
        <v>150</v>
      </c>
      <c r="B5672">
        <f>30512.6907072749*(1/100/100)</f>
        <v>3.0512690707274905</v>
      </c>
      <c r="C5672">
        <v>63215</v>
      </c>
      <c r="D5672" t="s">
        <v>6293</v>
      </c>
      <c r="E5672">
        <v>60654</v>
      </c>
      <c r="F5672" t="s">
        <v>1530</v>
      </c>
      <c r="G5672">
        <v>606</v>
      </c>
      <c r="H5672" t="s">
        <v>103</v>
      </c>
      <c r="I5672">
        <v>6</v>
      </c>
      <c r="J5672" t="s">
        <v>101</v>
      </c>
    </row>
    <row r="5673" spans="1:10" x14ac:dyDescent="0.25">
      <c r="A5673" t="s">
        <v>150</v>
      </c>
      <c r="B5673">
        <f>54094.2293359857*(1/100/100)</f>
        <v>5.4094229335985702</v>
      </c>
      <c r="C5673">
        <v>63216</v>
      </c>
      <c r="D5673" t="s">
        <v>6263</v>
      </c>
      <c r="E5673">
        <v>60613</v>
      </c>
      <c r="F5673" t="s">
        <v>1511</v>
      </c>
      <c r="G5673">
        <v>606</v>
      </c>
      <c r="H5673" t="s">
        <v>103</v>
      </c>
      <c r="I5673">
        <v>6</v>
      </c>
      <c r="J5673" t="s">
        <v>101</v>
      </c>
    </row>
    <row r="5674" spans="1:10" x14ac:dyDescent="0.25">
      <c r="A5674" t="s">
        <v>150</v>
      </c>
      <c r="B5674">
        <f>67317.9326240369*(1/100/100)</f>
        <v>6.7317932624036905</v>
      </c>
      <c r="C5674">
        <v>63217</v>
      </c>
      <c r="D5674" t="s">
        <v>6264</v>
      </c>
      <c r="E5674">
        <v>60613</v>
      </c>
      <c r="F5674" t="s">
        <v>1511</v>
      </c>
      <c r="G5674">
        <v>606</v>
      </c>
      <c r="H5674" t="s">
        <v>103</v>
      </c>
      <c r="I5674">
        <v>6</v>
      </c>
      <c r="J5674" t="s">
        <v>101</v>
      </c>
    </row>
    <row r="5675" spans="1:10" x14ac:dyDescent="0.25">
      <c r="A5675" t="s">
        <v>150</v>
      </c>
      <c r="B5675">
        <f>93350.8869216015*(1/100/100)</f>
        <v>9.3350886921601504</v>
      </c>
      <c r="C5675">
        <v>63218</v>
      </c>
      <c r="D5675" t="s">
        <v>6265</v>
      </c>
      <c r="E5675">
        <v>60613</v>
      </c>
      <c r="F5675" t="s">
        <v>1511</v>
      </c>
      <c r="G5675">
        <v>606</v>
      </c>
      <c r="H5675" t="s">
        <v>103</v>
      </c>
      <c r="I5675">
        <v>6</v>
      </c>
      <c r="J5675" t="s">
        <v>101</v>
      </c>
    </row>
    <row r="5676" spans="1:10" x14ac:dyDescent="0.25">
      <c r="A5676" t="s">
        <v>150</v>
      </c>
      <c r="B5676">
        <f>50679.7956838388*(1/100/100)</f>
        <v>5.0679795683838798</v>
      </c>
      <c r="C5676">
        <v>63219</v>
      </c>
      <c r="D5676" t="s">
        <v>6312</v>
      </c>
      <c r="E5676">
        <v>60662</v>
      </c>
      <c r="F5676" t="s">
        <v>1536</v>
      </c>
      <c r="G5676">
        <v>606</v>
      </c>
      <c r="H5676" t="s">
        <v>103</v>
      </c>
      <c r="I5676">
        <v>6</v>
      </c>
      <c r="J5676" t="s">
        <v>101</v>
      </c>
    </row>
    <row r="5677" spans="1:10" x14ac:dyDescent="0.25">
      <c r="A5677" t="s">
        <v>150</v>
      </c>
      <c r="B5677">
        <f>282621.629631066*(1/100/100)</f>
        <v>28.262162963106601</v>
      </c>
      <c r="C5677">
        <v>63220</v>
      </c>
      <c r="D5677" t="s">
        <v>1510</v>
      </c>
      <c r="E5677">
        <v>60611</v>
      </c>
      <c r="F5677" t="s">
        <v>1510</v>
      </c>
      <c r="G5677">
        <v>606</v>
      </c>
      <c r="H5677" t="s">
        <v>103</v>
      </c>
      <c r="I5677">
        <v>6</v>
      </c>
      <c r="J5677" t="s">
        <v>101</v>
      </c>
    </row>
    <row r="5678" spans="1:10" x14ac:dyDescent="0.25">
      <c r="A5678" t="s">
        <v>150</v>
      </c>
      <c r="B5678">
        <f>115191.393125602*(1/100/100)</f>
        <v>11.519139312560201</v>
      </c>
      <c r="C5678">
        <v>63221</v>
      </c>
      <c r="D5678" t="s">
        <v>6039</v>
      </c>
      <c r="E5678">
        <v>60661</v>
      </c>
      <c r="F5678" t="s">
        <v>1535</v>
      </c>
      <c r="G5678">
        <v>606</v>
      </c>
      <c r="H5678" t="s">
        <v>103</v>
      </c>
      <c r="I5678">
        <v>6</v>
      </c>
      <c r="J5678" t="s">
        <v>101</v>
      </c>
    </row>
    <row r="5679" spans="1:10" x14ac:dyDescent="0.25">
      <c r="A5679" t="s">
        <v>150</v>
      </c>
      <c r="B5679">
        <f>190665.043011091*(1/100/100)</f>
        <v>19.066504301109102</v>
      </c>
      <c r="C5679">
        <v>63222</v>
      </c>
      <c r="D5679" t="s">
        <v>6338</v>
      </c>
      <c r="E5679">
        <v>60667</v>
      </c>
      <c r="F5679" t="s">
        <v>1541</v>
      </c>
      <c r="G5679">
        <v>606</v>
      </c>
      <c r="H5679" t="s">
        <v>103</v>
      </c>
      <c r="I5679">
        <v>6</v>
      </c>
      <c r="J5679" t="s">
        <v>101</v>
      </c>
    </row>
    <row r="5680" spans="1:10" x14ac:dyDescent="0.25">
      <c r="A5680" t="s">
        <v>150</v>
      </c>
      <c r="B5680">
        <f>337143.844749407*(1/100/100)</f>
        <v>33.714384474940701</v>
      </c>
      <c r="C5680">
        <v>63223</v>
      </c>
      <c r="D5680" t="s">
        <v>6324</v>
      </c>
      <c r="E5680">
        <v>60664</v>
      </c>
      <c r="F5680" t="s">
        <v>1538</v>
      </c>
      <c r="G5680">
        <v>606</v>
      </c>
      <c r="H5680" t="s">
        <v>103</v>
      </c>
      <c r="I5680">
        <v>6</v>
      </c>
      <c r="J5680" t="s">
        <v>101</v>
      </c>
    </row>
    <row r="5681" spans="1:10" x14ac:dyDescent="0.25">
      <c r="A5681" t="s">
        <v>150</v>
      </c>
      <c r="B5681">
        <f>170511.091169874*(1/100/100)</f>
        <v>17.051109116987401</v>
      </c>
      <c r="C5681">
        <v>63224</v>
      </c>
      <c r="D5681" t="s">
        <v>6274</v>
      </c>
      <c r="E5681">
        <v>60624</v>
      </c>
      <c r="F5681" t="s">
        <v>1516</v>
      </c>
      <c r="G5681">
        <v>606</v>
      </c>
      <c r="H5681" t="s">
        <v>103</v>
      </c>
      <c r="I5681">
        <v>6</v>
      </c>
      <c r="J5681" t="s">
        <v>101</v>
      </c>
    </row>
    <row r="5682" spans="1:10" x14ac:dyDescent="0.25">
      <c r="A5682" t="s">
        <v>150</v>
      </c>
      <c r="B5682">
        <f>58649.668420718*(1/100/100)</f>
        <v>5.8649668420718006</v>
      </c>
      <c r="C5682">
        <v>63225</v>
      </c>
      <c r="D5682" t="s">
        <v>6325</v>
      </c>
      <c r="E5682">
        <v>60664</v>
      </c>
      <c r="F5682" t="s">
        <v>1538</v>
      </c>
      <c r="G5682">
        <v>606</v>
      </c>
      <c r="H5682" t="s">
        <v>103</v>
      </c>
      <c r="I5682">
        <v>6</v>
      </c>
      <c r="J5682" t="s">
        <v>101</v>
      </c>
    </row>
    <row r="5683" spans="1:10" x14ac:dyDescent="0.25">
      <c r="A5683" t="s">
        <v>150</v>
      </c>
      <c r="B5683">
        <f>119652.321840394*(1/100/100)</f>
        <v>11.965232184039401</v>
      </c>
      <c r="C5683">
        <v>63226</v>
      </c>
      <c r="D5683" t="s">
        <v>4994</v>
      </c>
      <c r="E5683">
        <v>60626</v>
      </c>
      <c r="F5683" t="s">
        <v>1517</v>
      </c>
      <c r="G5683">
        <v>606</v>
      </c>
      <c r="H5683" t="s">
        <v>103</v>
      </c>
      <c r="I5683">
        <v>6</v>
      </c>
      <c r="J5683" t="s">
        <v>101</v>
      </c>
    </row>
    <row r="5684" spans="1:10" x14ac:dyDescent="0.25">
      <c r="A5684" t="s">
        <v>150</v>
      </c>
      <c r="B5684">
        <f>175578.78711356*(1/100/100)</f>
        <v>17.557878711356004</v>
      </c>
      <c r="C5684">
        <v>63227</v>
      </c>
      <c r="D5684" t="s">
        <v>6268</v>
      </c>
      <c r="E5684">
        <v>60617</v>
      </c>
      <c r="F5684" t="s">
        <v>1512</v>
      </c>
      <c r="G5684">
        <v>606</v>
      </c>
      <c r="H5684" t="s">
        <v>103</v>
      </c>
      <c r="I5684">
        <v>6</v>
      </c>
      <c r="J5684" t="s">
        <v>101</v>
      </c>
    </row>
    <row r="5685" spans="1:10" x14ac:dyDescent="0.25">
      <c r="A5685" t="s">
        <v>150</v>
      </c>
      <c r="B5685">
        <f>87692.8627768351*(1/100/100)</f>
        <v>8.769286277683511</v>
      </c>
      <c r="C5685">
        <v>63228</v>
      </c>
      <c r="D5685" t="s">
        <v>6310</v>
      </c>
      <c r="E5685">
        <v>60661</v>
      </c>
      <c r="F5685" t="s">
        <v>1535</v>
      </c>
      <c r="G5685">
        <v>606</v>
      </c>
      <c r="H5685" t="s">
        <v>103</v>
      </c>
      <c r="I5685">
        <v>6</v>
      </c>
      <c r="J5685" t="s">
        <v>101</v>
      </c>
    </row>
    <row r="5686" spans="1:10" x14ac:dyDescent="0.25">
      <c r="A5686" t="s">
        <v>150</v>
      </c>
      <c r="B5686">
        <f>71418.5386450249*(1/100/100)</f>
        <v>7.1418538645024912</v>
      </c>
      <c r="C5686">
        <v>63229</v>
      </c>
      <c r="D5686" t="s">
        <v>3668</v>
      </c>
      <c r="E5686">
        <v>60661</v>
      </c>
      <c r="F5686" t="s">
        <v>1535</v>
      </c>
      <c r="G5686">
        <v>606</v>
      </c>
      <c r="H5686" t="s">
        <v>103</v>
      </c>
      <c r="I5686">
        <v>6</v>
      </c>
      <c r="J5686" t="s">
        <v>101</v>
      </c>
    </row>
    <row r="5687" spans="1:10" x14ac:dyDescent="0.25">
      <c r="A5687" t="s">
        <v>150</v>
      </c>
      <c r="B5687">
        <f>172284.711262924*(1/100/100)</f>
        <v>17.228471126292398</v>
      </c>
      <c r="C5687">
        <v>63230</v>
      </c>
      <c r="D5687" t="s">
        <v>6270</v>
      </c>
      <c r="E5687">
        <v>60618</v>
      </c>
      <c r="F5687" t="s">
        <v>1513</v>
      </c>
      <c r="G5687">
        <v>606</v>
      </c>
      <c r="H5687" t="s">
        <v>103</v>
      </c>
      <c r="I5687">
        <v>6</v>
      </c>
      <c r="J5687" t="s">
        <v>101</v>
      </c>
    </row>
    <row r="5688" spans="1:10" x14ac:dyDescent="0.25">
      <c r="A5688" t="s">
        <v>150</v>
      </c>
      <c r="B5688">
        <f>302289.716873058*(1/100/100)</f>
        <v>30.228971687305801</v>
      </c>
      <c r="C5688">
        <v>63231</v>
      </c>
      <c r="D5688" t="s">
        <v>1514</v>
      </c>
      <c r="E5688">
        <v>60619</v>
      </c>
      <c r="F5688" t="s">
        <v>1514</v>
      </c>
      <c r="G5688">
        <v>606</v>
      </c>
      <c r="H5688" t="s">
        <v>103</v>
      </c>
      <c r="I5688">
        <v>6</v>
      </c>
      <c r="J5688" t="s">
        <v>101</v>
      </c>
    </row>
    <row r="5689" spans="1:10" x14ac:dyDescent="0.25">
      <c r="A5689" t="s">
        <v>150</v>
      </c>
      <c r="B5689">
        <f>135209.562430839*(1/100/100)</f>
        <v>13.5209562430839</v>
      </c>
      <c r="C5689">
        <v>63232</v>
      </c>
      <c r="D5689" t="s">
        <v>4158</v>
      </c>
      <c r="E5689">
        <v>60670</v>
      </c>
      <c r="F5689" t="s">
        <v>1544</v>
      </c>
      <c r="G5689">
        <v>606</v>
      </c>
      <c r="H5689" t="s">
        <v>103</v>
      </c>
      <c r="I5689">
        <v>6</v>
      </c>
      <c r="J5689" t="s">
        <v>101</v>
      </c>
    </row>
    <row r="5690" spans="1:10" x14ac:dyDescent="0.25">
      <c r="A5690" t="s">
        <v>150</v>
      </c>
      <c r="B5690">
        <f>247202.37657543*(1/100/100)</f>
        <v>24.720237657543002</v>
      </c>
      <c r="C5690">
        <v>63233</v>
      </c>
      <c r="D5690" t="s">
        <v>1539</v>
      </c>
      <c r="E5690">
        <v>60665</v>
      </c>
      <c r="F5690" t="s">
        <v>1539</v>
      </c>
      <c r="G5690">
        <v>606</v>
      </c>
      <c r="H5690" t="s">
        <v>103</v>
      </c>
      <c r="I5690">
        <v>6</v>
      </c>
      <c r="J5690" t="s">
        <v>101</v>
      </c>
    </row>
    <row r="5691" spans="1:10" x14ac:dyDescent="0.25">
      <c r="A5691" t="s">
        <v>150</v>
      </c>
      <c r="B5691">
        <f>86695.2012147002*(1/100/100)</f>
        <v>8.6695201214700202</v>
      </c>
      <c r="C5691">
        <v>63234</v>
      </c>
      <c r="D5691" t="s">
        <v>6271</v>
      </c>
      <c r="E5691">
        <v>60623</v>
      </c>
      <c r="F5691" t="s">
        <v>1515</v>
      </c>
      <c r="G5691">
        <v>606</v>
      </c>
      <c r="H5691" t="s">
        <v>103</v>
      </c>
      <c r="I5691">
        <v>6</v>
      </c>
      <c r="J5691" t="s">
        <v>101</v>
      </c>
    </row>
    <row r="5692" spans="1:10" x14ac:dyDescent="0.25">
      <c r="A5692" t="s">
        <v>150</v>
      </c>
      <c r="B5692">
        <f>103221.176167514*(1/100/100)</f>
        <v>10.322117616751401</v>
      </c>
      <c r="C5692">
        <v>63235</v>
      </c>
      <c r="D5692" t="s">
        <v>6326</v>
      </c>
      <c r="E5692">
        <v>60664</v>
      </c>
      <c r="F5692" t="s">
        <v>1538</v>
      </c>
      <c r="G5692">
        <v>606</v>
      </c>
      <c r="H5692" t="s">
        <v>103</v>
      </c>
      <c r="I5692">
        <v>6</v>
      </c>
      <c r="J5692" t="s">
        <v>101</v>
      </c>
    </row>
    <row r="5693" spans="1:10" x14ac:dyDescent="0.25">
      <c r="A5693" t="s">
        <v>150</v>
      </c>
      <c r="B5693">
        <f>70258.9375699487*(1/100/100)</f>
        <v>7.0258937569948703</v>
      </c>
      <c r="C5693">
        <v>63236</v>
      </c>
      <c r="D5693" t="s">
        <v>6277</v>
      </c>
      <c r="E5693">
        <v>60626</v>
      </c>
      <c r="F5693" t="s">
        <v>1517</v>
      </c>
      <c r="G5693">
        <v>606</v>
      </c>
      <c r="H5693" t="s">
        <v>103</v>
      </c>
      <c r="I5693">
        <v>6</v>
      </c>
      <c r="J5693" t="s">
        <v>101</v>
      </c>
    </row>
    <row r="5694" spans="1:10" x14ac:dyDescent="0.25">
      <c r="A5694" t="s">
        <v>150</v>
      </c>
      <c r="B5694">
        <f>74042.1451170661*(1/100/100)</f>
        <v>7.4042145117066109</v>
      </c>
      <c r="C5694">
        <v>63237</v>
      </c>
      <c r="D5694" t="s">
        <v>6279</v>
      </c>
      <c r="E5694">
        <v>60639</v>
      </c>
      <c r="F5694" t="s">
        <v>1521</v>
      </c>
      <c r="G5694">
        <v>606</v>
      </c>
      <c r="H5694" t="s">
        <v>103</v>
      </c>
      <c r="I5694">
        <v>6</v>
      </c>
      <c r="J5694" t="s">
        <v>101</v>
      </c>
    </row>
    <row r="5695" spans="1:10" x14ac:dyDescent="0.25">
      <c r="A5695" t="s">
        <v>150</v>
      </c>
      <c r="B5695">
        <f>426515.205531482*(1/100/100)</f>
        <v>42.651520553148202</v>
      </c>
      <c r="C5695">
        <v>63238</v>
      </c>
      <c r="D5695" t="s">
        <v>6327</v>
      </c>
      <c r="E5695">
        <v>60664</v>
      </c>
      <c r="F5695" t="s">
        <v>1538</v>
      </c>
      <c r="G5695">
        <v>606</v>
      </c>
      <c r="H5695" t="s">
        <v>103</v>
      </c>
      <c r="I5695">
        <v>6</v>
      </c>
      <c r="J5695" t="s">
        <v>101</v>
      </c>
    </row>
    <row r="5696" spans="1:10" x14ac:dyDescent="0.25">
      <c r="A5696" t="s">
        <v>150</v>
      </c>
      <c r="B5696">
        <f>104914.674288455*(1/100/100)</f>
        <v>10.491467428845501</v>
      </c>
      <c r="C5696">
        <v>63239</v>
      </c>
      <c r="D5696" t="s">
        <v>6272</v>
      </c>
      <c r="E5696">
        <v>60623</v>
      </c>
      <c r="F5696" t="s">
        <v>1515</v>
      </c>
      <c r="G5696">
        <v>606</v>
      </c>
      <c r="H5696" t="s">
        <v>103</v>
      </c>
      <c r="I5696">
        <v>6</v>
      </c>
      <c r="J5696" t="s">
        <v>101</v>
      </c>
    </row>
    <row r="5697" spans="1:10" x14ac:dyDescent="0.25">
      <c r="A5697" t="s">
        <v>150</v>
      </c>
      <c r="B5697">
        <f>490477.500050295*(1/100/100)</f>
        <v>49.047750005029506</v>
      </c>
      <c r="C5697">
        <v>63240</v>
      </c>
      <c r="D5697" t="s">
        <v>6275</v>
      </c>
      <c r="E5697">
        <v>60624</v>
      </c>
      <c r="F5697" t="s">
        <v>1516</v>
      </c>
      <c r="G5697">
        <v>606</v>
      </c>
      <c r="H5697" t="s">
        <v>103</v>
      </c>
      <c r="I5697">
        <v>6</v>
      </c>
      <c r="J5697" t="s">
        <v>101</v>
      </c>
    </row>
    <row r="5698" spans="1:10" x14ac:dyDescent="0.25">
      <c r="A5698" t="s">
        <v>150</v>
      </c>
      <c r="B5698">
        <f>168168.489282704*(1/100/100)</f>
        <v>16.816848928270399</v>
      </c>
      <c r="C5698">
        <v>63241</v>
      </c>
      <c r="D5698" t="s">
        <v>4418</v>
      </c>
      <c r="E5698">
        <v>60656</v>
      </c>
      <c r="F5698" t="s">
        <v>1532</v>
      </c>
      <c r="G5698">
        <v>606</v>
      </c>
      <c r="H5698" t="s">
        <v>103</v>
      </c>
      <c r="I5698">
        <v>6</v>
      </c>
      <c r="J5698" t="s">
        <v>101</v>
      </c>
    </row>
    <row r="5699" spans="1:10" x14ac:dyDescent="0.25">
      <c r="A5699" t="s">
        <v>150</v>
      </c>
      <c r="B5699">
        <f>20629.7773928832*(1/100/100)</f>
        <v>2.06297773928832</v>
      </c>
      <c r="C5699">
        <v>63242</v>
      </c>
      <c r="D5699" t="s">
        <v>6328</v>
      </c>
      <c r="E5699">
        <v>60664</v>
      </c>
      <c r="F5699" t="s">
        <v>1538</v>
      </c>
      <c r="G5699">
        <v>606</v>
      </c>
      <c r="H5699" t="s">
        <v>103</v>
      </c>
      <c r="I5699">
        <v>6</v>
      </c>
      <c r="J5699" t="s">
        <v>101</v>
      </c>
    </row>
    <row r="5700" spans="1:10" x14ac:dyDescent="0.25">
      <c r="A5700" t="s">
        <v>150</v>
      </c>
      <c r="B5700">
        <f>565797.853925627*(1/100/100)</f>
        <v>56.579785392562698</v>
      </c>
      <c r="C5700">
        <v>63243</v>
      </c>
      <c r="D5700" t="s">
        <v>6266</v>
      </c>
      <c r="E5700">
        <v>60613</v>
      </c>
      <c r="F5700" t="s">
        <v>1511</v>
      </c>
      <c r="G5700">
        <v>606</v>
      </c>
      <c r="H5700" t="s">
        <v>103</v>
      </c>
      <c r="I5700">
        <v>6</v>
      </c>
      <c r="J5700" t="s">
        <v>101</v>
      </c>
    </row>
    <row r="5701" spans="1:10" x14ac:dyDescent="0.25">
      <c r="A5701" t="s">
        <v>150</v>
      </c>
      <c r="B5701">
        <f>204989.153329875*(1/100/100)</f>
        <v>20.498915332987501</v>
      </c>
      <c r="C5701">
        <v>63244</v>
      </c>
      <c r="D5701" t="s">
        <v>6341</v>
      </c>
      <c r="E5701">
        <v>60668</v>
      </c>
      <c r="F5701" t="s">
        <v>1542</v>
      </c>
      <c r="G5701">
        <v>606</v>
      </c>
      <c r="H5701" t="s">
        <v>103</v>
      </c>
      <c r="I5701">
        <v>6</v>
      </c>
      <c r="J5701" t="s">
        <v>101</v>
      </c>
    </row>
    <row r="5702" spans="1:10" x14ac:dyDescent="0.25">
      <c r="A5702" t="s">
        <v>150</v>
      </c>
      <c r="B5702">
        <f>133108.723992232*(1/100/100)</f>
        <v>13.3108723992232</v>
      </c>
      <c r="C5702">
        <v>63245</v>
      </c>
      <c r="D5702" t="s">
        <v>1517</v>
      </c>
      <c r="E5702">
        <v>60626</v>
      </c>
      <c r="F5702" t="s">
        <v>1517</v>
      </c>
      <c r="G5702">
        <v>606</v>
      </c>
      <c r="H5702" t="s">
        <v>103</v>
      </c>
      <c r="I5702">
        <v>6</v>
      </c>
      <c r="J5702" t="s">
        <v>101</v>
      </c>
    </row>
    <row r="5703" spans="1:10" x14ac:dyDescent="0.25">
      <c r="A5703" t="s">
        <v>150</v>
      </c>
      <c r="B5703">
        <f>142191.35028641*(1/100/100)</f>
        <v>14.219135028640999</v>
      </c>
      <c r="C5703">
        <v>63246</v>
      </c>
      <c r="D5703" t="s">
        <v>6345</v>
      </c>
      <c r="E5703">
        <v>60670</v>
      </c>
      <c r="F5703" t="s">
        <v>1544</v>
      </c>
      <c r="G5703">
        <v>606</v>
      </c>
      <c r="H5703" t="s">
        <v>103</v>
      </c>
      <c r="I5703">
        <v>6</v>
      </c>
      <c r="J5703" t="s">
        <v>101</v>
      </c>
    </row>
    <row r="5704" spans="1:10" x14ac:dyDescent="0.25">
      <c r="A5704" t="s">
        <v>150</v>
      </c>
      <c r="B5704">
        <f>128907.644954892*(1/100/100)</f>
        <v>12.890764495489201</v>
      </c>
      <c r="C5704">
        <v>63247</v>
      </c>
      <c r="D5704" t="s">
        <v>2821</v>
      </c>
      <c r="E5704">
        <v>60666</v>
      </c>
      <c r="F5704" t="s">
        <v>1540</v>
      </c>
      <c r="G5704">
        <v>606</v>
      </c>
      <c r="H5704" t="s">
        <v>103</v>
      </c>
      <c r="I5704">
        <v>6</v>
      </c>
      <c r="J5704" t="s">
        <v>101</v>
      </c>
    </row>
    <row r="5705" spans="1:10" x14ac:dyDescent="0.25">
      <c r="A5705" t="s">
        <v>150</v>
      </c>
      <c r="B5705">
        <f>430361.804449545*(1/100/100)</f>
        <v>43.036180444954503</v>
      </c>
      <c r="C5705">
        <v>63248</v>
      </c>
      <c r="D5705" t="s">
        <v>6260</v>
      </c>
      <c r="E5705">
        <v>60608</v>
      </c>
      <c r="F5705" t="s">
        <v>1509</v>
      </c>
      <c r="G5705">
        <v>606</v>
      </c>
      <c r="H5705" t="s">
        <v>103</v>
      </c>
      <c r="I5705">
        <v>6</v>
      </c>
      <c r="J5705" t="s">
        <v>101</v>
      </c>
    </row>
    <row r="5706" spans="1:10" x14ac:dyDescent="0.25">
      <c r="A5706" t="s">
        <v>150</v>
      </c>
      <c r="B5706">
        <f>26815.2007499967*(1/100/100)</f>
        <v>2.6815200749996704</v>
      </c>
      <c r="C5706">
        <v>63249</v>
      </c>
      <c r="D5706" t="s">
        <v>945</v>
      </c>
      <c r="E5706">
        <v>60639</v>
      </c>
      <c r="F5706" t="s">
        <v>1521</v>
      </c>
      <c r="G5706">
        <v>606</v>
      </c>
      <c r="H5706" t="s">
        <v>103</v>
      </c>
      <c r="I5706">
        <v>6</v>
      </c>
      <c r="J5706" t="s">
        <v>101</v>
      </c>
    </row>
    <row r="5707" spans="1:10" x14ac:dyDescent="0.25">
      <c r="A5707" t="s">
        <v>150</v>
      </c>
      <c r="B5707">
        <f>258960.25712236*(1/100/100)</f>
        <v>25.896025712236</v>
      </c>
      <c r="C5707">
        <v>63250</v>
      </c>
      <c r="D5707" t="s">
        <v>1518</v>
      </c>
      <c r="E5707">
        <v>60628</v>
      </c>
      <c r="F5707" t="s">
        <v>1518</v>
      </c>
      <c r="G5707">
        <v>606</v>
      </c>
      <c r="H5707" t="s">
        <v>103</v>
      </c>
      <c r="I5707">
        <v>6</v>
      </c>
      <c r="J5707" t="s">
        <v>101</v>
      </c>
    </row>
    <row r="5708" spans="1:10" x14ac:dyDescent="0.25">
      <c r="A5708" t="s">
        <v>150</v>
      </c>
      <c r="B5708">
        <f>511997.394412548*(1/100/100)</f>
        <v>51.199739441254799</v>
      </c>
      <c r="C5708">
        <v>63251</v>
      </c>
      <c r="D5708" t="s">
        <v>1519</v>
      </c>
      <c r="E5708">
        <v>60629</v>
      </c>
      <c r="F5708" t="s">
        <v>1519</v>
      </c>
      <c r="G5708">
        <v>606</v>
      </c>
      <c r="H5708" t="s">
        <v>103</v>
      </c>
      <c r="I5708">
        <v>6</v>
      </c>
      <c r="J5708" t="s">
        <v>101</v>
      </c>
    </row>
    <row r="5709" spans="1:10" x14ac:dyDescent="0.25">
      <c r="A5709" t="s">
        <v>150</v>
      </c>
      <c r="B5709">
        <f>63158.3764474591*(1/100/100)</f>
        <v>6.3158376447459101</v>
      </c>
      <c r="C5709">
        <v>63252</v>
      </c>
      <c r="D5709" t="s">
        <v>6330</v>
      </c>
      <c r="E5709">
        <v>60665</v>
      </c>
      <c r="F5709" t="s">
        <v>1539</v>
      </c>
      <c r="G5709">
        <v>606</v>
      </c>
      <c r="H5709" t="s">
        <v>103</v>
      </c>
      <c r="I5709">
        <v>6</v>
      </c>
      <c r="J5709" t="s">
        <v>101</v>
      </c>
    </row>
    <row r="5710" spans="1:10" x14ac:dyDescent="0.25">
      <c r="A5710" t="s">
        <v>150</v>
      </c>
      <c r="B5710">
        <f>49892.3724977407*(1/100/100)</f>
        <v>4.98923724977407</v>
      </c>
      <c r="C5710">
        <v>63253</v>
      </c>
      <c r="D5710" t="s">
        <v>6331</v>
      </c>
      <c r="E5710">
        <v>60665</v>
      </c>
      <c r="F5710" t="s">
        <v>1539</v>
      </c>
      <c r="G5710">
        <v>606</v>
      </c>
      <c r="H5710" t="s">
        <v>103</v>
      </c>
      <c r="I5710">
        <v>6</v>
      </c>
      <c r="J5710" t="s">
        <v>101</v>
      </c>
    </row>
    <row r="5711" spans="1:10" x14ac:dyDescent="0.25">
      <c r="A5711" t="s">
        <v>150</v>
      </c>
      <c r="B5711">
        <f>159881.823642819*(1/100/100)</f>
        <v>15.988182364281903</v>
      </c>
      <c r="C5711">
        <v>63254</v>
      </c>
      <c r="D5711" t="s">
        <v>6313</v>
      </c>
      <c r="E5711">
        <v>60662</v>
      </c>
      <c r="F5711" t="s">
        <v>1536</v>
      </c>
      <c r="G5711">
        <v>606</v>
      </c>
      <c r="H5711" t="s">
        <v>103</v>
      </c>
      <c r="I5711">
        <v>6</v>
      </c>
      <c r="J5711" t="s">
        <v>101</v>
      </c>
    </row>
    <row r="5712" spans="1:10" x14ac:dyDescent="0.25">
      <c r="A5712" t="s">
        <v>150</v>
      </c>
      <c r="B5712">
        <f>247865.279796362*(1/100/100)</f>
        <v>24.786527979636201</v>
      </c>
      <c r="C5712">
        <v>63255</v>
      </c>
      <c r="D5712" t="s">
        <v>6269</v>
      </c>
      <c r="E5712">
        <v>60617</v>
      </c>
      <c r="F5712" t="s">
        <v>1512</v>
      </c>
      <c r="G5712">
        <v>606</v>
      </c>
      <c r="H5712" t="s">
        <v>103</v>
      </c>
      <c r="I5712">
        <v>6</v>
      </c>
      <c r="J5712" t="s">
        <v>101</v>
      </c>
    </row>
    <row r="5713" spans="1:10" x14ac:dyDescent="0.25">
      <c r="A5713" t="s">
        <v>150</v>
      </c>
      <c r="B5713">
        <f>5359.27613738956*(1/100/100)</f>
        <v>0.53592761373895603</v>
      </c>
      <c r="C5713">
        <v>63256</v>
      </c>
      <c r="D5713" t="s">
        <v>6332</v>
      </c>
      <c r="E5713">
        <v>60665</v>
      </c>
      <c r="F5713" t="s">
        <v>1539</v>
      </c>
      <c r="G5713">
        <v>606</v>
      </c>
      <c r="H5713" t="s">
        <v>103</v>
      </c>
      <c r="I5713">
        <v>6</v>
      </c>
      <c r="J5713" t="s">
        <v>101</v>
      </c>
    </row>
    <row r="5714" spans="1:10" x14ac:dyDescent="0.25">
      <c r="A5714" t="s">
        <v>150</v>
      </c>
      <c r="B5714">
        <f>41327.4568284023*(1/100/100)</f>
        <v>4.1327456828402296</v>
      </c>
      <c r="C5714">
        <v>63257</v>
      </c>
      <c r="D5714" t="s">
        <v>6336</v>
      </c>
      <c r="E5714">
        <v>60666</v>
      </c>
      <c r="F5714" t="s">
        <v>1540</v>
      </c>
      <c r="G5714">
        <v>606</v>
      </c>
      <c r="H5714" t="s">
        <v>103</v>
      </c>
      <c r="I5714">
        <v>6</v>
      </c>
      <c r="J5714" t="s">
        <v>101</v>
      </c>
    </row>
    <row r="5715" spans="1:10" x14ac:dyDescent="0.25">
      <c r="A5715" t="s">
        <v>150</v>
      </c>
      <c r="B5715">
        <f>113359.665921137*(1/100/100)</f>
        <v>11.335966592113701</v>
      </c>
      <c r="C5715">
        <v>63258</v>
      </c>
      <c r="D5715" t="s">
        <v>6302</v>
      </c>
      <c r="E5715">
        <v>60660</v>
      </c>
      <c r="F5715" t="s">
        <v>1534</v>
      </c>
      <c r="G5715">
        <v>606</v>
      </c>
      <c r="H5715" t="s">
        <v>103</v>
      </c>
      <c r="I5715">
        <v>6</v>
      </c>
      <c r="J5715" t="s">
        <v>101</v>
      </c>
    </row>
    <row r="5716" spans="1:10" x14ac:dyDescent="0.25">
      <c r="A5716" t="s">
        <v>150</v>
      </c>
      <c r="B5716">
        <f>91244.7718047797*(1/100/100)</f>
        <v>9.1244771804779692</v>
      </c>
      <c r="C5716">
        <v>63259</v>
      </c>
      <c r="D5716" t="s">
        <v>6337</v>
      </c>
      <c r="E5716">
        <v>60666</v>
      </c>
      <c r="F5716" t="s">
        <v>1540</v>
      </c>
      <c r="G5716">
        <v>606</v>
      </c>
      <c r="H5716" t="s">
        <v>103</v>
      </c>
      <c r="I5716">
        <v>6</v>
      </c>
      <c r="J5716" t="s">
        <v>101</v>
      </c>
    </row>
    <row r="5717" spans="1:10" x14ac:dyDescent="0.25">
      <c r="A5717" t="s">
        <v>150</v>
      </c>
      <c r="B5717">
        <f>46255.9770777236*(1/100/100)</f>
        <v>4.6255977077723598</v>
      </c>
      <c r="C5717">
        <v>63260</v>
      </c>
      <c r="D5717" t="s">
        <v>6311</v>
      </c>
      <c r="E5717">
        <v>60661</v>
      </c>
      <c r="F5717" t="s">
        <v>1535</v>
      </c>
      <c r="G5717">
        <v>606</v>
      </c>
      <c r="H5717" t="s">
        <v>103</v>
      </c>
      <c r="I5717">
        <v>6</v>
      </c>
      <c r="J5717" t="s">
        <v>101</v>
      </c>
    </row>
    <row r="5718" spans="1:10" x14ac:dyDescent="0.25">
      <c r="A5718" t="s">
        <v>150</v>
      </c>
      <c r="B5718">
        <f>105671.958520196*(1/100/100)</f>
        <v>10.5671958520196</v>
      </c>
      <c r="C5718">
        <v>63261</v>
      </c>
      <c r="D5718" t="s">
        <v>6294</v>
      </c>
      <c r="E5718">
        <v>60654</v>
      </c>
      <c r="F5718" t="s">
        <v>1530</v>
      </c>
      <c r="G5718">
        <v>606</v>
      </c>
      <c r="H5718" t="s">
        <v>103</v>
      </c>
      <c r="I5718">
        <v>6</v>
      </c>
      <c r="J5718" t="s">
        <v>101</v>
      </c>
    </row>
    <row r="5719" spans="1:10" x14ac:dyDescent="0.25">
      <c r="A5719" t="s">
        <v>150</v>
      </c>
      <c r="B5719">
        <f>185888.200847785*(1/100/100)</f>
        <v>18.588820084778501</v>
      </c>
      <c r="C5719">
        <v>63262</v>
      </c>
      <c r="D5719" t="s">
        <v>6346</v>
      </c>
      <c r="E5719">
        <v>60670</v>
      </c>
      <c r="F5719" t="s">
        <v>1544</v>
      </c>
      <c r="G5719">
        <v>606</v>
      </c>
      <c r="H5719" t="s">
        <v>103</v>
      </c>
      <c r="I5719">
        <v>6</v>
      </c>
      <c r="J5719" t="s">
        <v>101</v>
      </c>
    </row>
    <row r="5720" spans="1:10" x14ac:dyDescent="0.25">
      <c r="A5720" t="s">
        <v>150</v>
      </c>
      <c r="B5720">
        <f>324141.188357451*(1/100/100)</f>
        <v>32.4141188357451</v>
      </c>
      <c r="C5720">
        <v>63263</v>
      </c>
      <c r="D5720" t="s">
        <v>6343</v>
      </c>
      <c r="E5720">
        <v>60669</v>
      </c>
      <c r="F5720" t="s">
        <v>1543</v>
      </c>
      <c r="G5720">
        <v>606</v>
      </c>
      <c r="H5720" t="s">
        <v>103</v>
      </c>
      <c r="I5720">
        <v>6</v>
      </c>
      <c r="J5720" t="s">
        <v>101</v>
      </c>
    </row>
    <row r="5721" spans="1:10" x14ac:dyDescent="0.25">
      <c r="A5721" t="s">
        <v>150</v>
      </c>
      <c r="B5721">
        <f>7674.11825680724*(1/100/100)</f>
        <v>0.76741182568072408</v>
      </c>
      <c r="C5721">
        <v>63264</v>
      </c>
      <c r="D5721" t="s">
        <v>6333</v>
      </c>
      <c r="E5721">
        <v>60665</v>
      </c>
      <c r="F5721" t="s">
        <v>1539</v>
      </c>
      <c r="G5721">
        <v>606</v>
      </c>
      <c r="H5721" t="s">
        <v>103</v>
      </c>
      <c r="I5721">
        <v>6</v>
      </c>
      <c r="J5721" t="s">
        <v>101</v>
      </c>
    </row>
    <row r="5722" spans="1:10" x14ac:dyDescent="0.25">
      <c r="A5722" t="s">
        <v>150</v>
      </c>
      <c r="B5722">
        <f>72372.0873665918*(1/100/100)</f>
        <v>7.2372087366591806</v>
      </c>
      <c r="C5722">
        <v>63265</v>
      </c>
      <c r="D5722" t="s">
        <v>6281</v>
      </c>
      <c r="E5722">
        <v>60641</v>
      </c>
      <c r="F5722" t="s">
        <v>1522</v>
      </c>
      <c r="G5722">
        <v>606</v>
      </c>
      <c r="H5722" t="s">
        <v>103</v>
      </c>
      <c r="I5722">
        <v>6</v>
      </c>
      <c r="J5722" t="s">
        <v>101</v>
      </c>
    </row>
    <row r="5723" spans="1:10" x14ac:dyDescent="0.25">
      <c r="A5723" t="s">
        <v>150</v>
      </c>
      <c r="B5723">
        <f>215105.831059989*(1/100/100)</f>
        <v>21.510583105998901</v>
      </c>
      <c r="C5723">
        <v>63266</v>
      </c>
      <c r="D5723" t="s">
        <v>6291</v>
      </c>
      <c r="E5723">
        <v>60653</v>
      </c>
      <c r="F5723" t="s">
        <v>1529</v>
      </c>
      <c r="G5723">
        <v>606</v>
      </c>
      <c r="H5723" t="s">
        <v>103</v>
      </c>
      <c r="I5723">
        <v>6</v>
      </c>
      <c r="J5723" t="s">
        <v>101</v>
      </c>
    </row>
    <row r="5724" spans="1:10" x14ac:dyDescent="0.25">
      <c r="A5724" t="s">
        <v>150</v>
      </c>
      <c r="B5724">
        <f>105952.84918473*(1/100/100)</f>
        <v>10.595284918473</v>
      </c>
      <c r="C5724">
        <v>63267</v>
      </c>
      <c r="D5724" t="s">
        <v>3526</v>
      </c>
      <c r="E5724">
        <v>60661</v>
      </c>
      <c r="F5724" t="s">
        <v>1535</v>
      </c>
      <c r="G5724">
        <v>606</v>
      </c>
      <c r="H5724" t="s">
        <v>103</v>
      </c>
      <c r="I5724">
        <v>6</v>
      </c>
      <c r="J5724" t="s">
        <v>101</v>
      </c>
    </row>
    <row r="5725" spans="1:10" x14ac:dyDescent="0.25">
      <c r="A5725" t="s">
        <v>150</v>
      </c>
      <c r="B5725">
        <f>320600.997464751*(1/100/100)</f>
        <v>32.060099746475103</v>
      </c>
      <c r="C5725">
        <v>63268</v>
      </c>
      <c r="D5725" t="s">
        <v>6339</v>
      </c>
      <c r="E5725">
        <v>60667</v>
      </c>
      <c r="F5725" t="s">
        <v>1541</v>
      </c>
      <c r="G5725">
        <v>606</v>
      </c>
      <c r="H5725" t="s">
        <v>103</v>
      </c>
      <c r="I5725">
        <v>6</v>
      </c>
      <c r="J5725" t="s">
        <v>101</v>
      </c>
    </row>
    <row r="5726" spans="1:10" x14ac:dyDescent="0.25">
      <c r="A5726" t="s">
        <v>150</v>
      </c>
      <c r="B5726">
        <f>99311.8026294807*(1/100/100)</f>
        <v>9.9311802629480717</v>
      </c>
      <c r="C5726">
        <v>63269</v>
      </c>
      <c r="D5726" t="s">
        <v>6278</v>
      </c>
      <c r="E5726">
        <v>60626</v>
      </c>
      <c r="F5726" t="s">
        <v>1517</v>
      </c>
      <c r="G5726">
        <v>606</v>
      </c>
      <c r="H5726" t="s">
        <v>103</v>
      </c>
      <c r="I5726">
        <v>6</v>
      </c>
      <c r="J5726" t="s">
        <v>101</v>
      </c>
    </row>
    <row r="5727" spans="1:10" x14ac:dyDescent="0.25">
      <c r="A5727" t="s">
        <v>150</v>
      </c>
      <c r="B5727">
        <f>93486.3930000625*(1/100/100)</f>
        <v>9.3486393000062495</v>
      </c>
      <c r="C5727">
        <v>63270</v>
      </c>
      <c r="D5727" t="s">
        <v>5232</v>
      </c>
      <c r="E5727">
        <v>60642</v>
      </c>
      <c r="F5727" t="s">
        <v>1523</v>
      </c>
      <c r="G5727">
        <v>606</v>
      </c>
      <c r="H5727" t="s">
        <v>103</v>
      </c>
      <c r="I5727">
        <v>6</v>
      </c>
      <c r="J5727" t="s">
        <v>101</v>
      </c>
    </row>
    <row r="5728" spans="1:10" x14ac:dyDescent="0.25">
      <c r="A5728" t="s">
        <v>150</v>
      </c>
      <c r="B5728">
        <f>118817.848399464*(1/100/100)</f>
        <v>11.8817848399464</v>
      </c>
      <c r="C5728">
        <v>63271</v>
      </c>
      <c r="D5728" t="s">
        <v>6283</v>
      </c>
      <c r="E5728">
        <v>60642</v>
      </c>
      <c r="F5728" t="s">
        <v>1523</v>
      </c>
      <c r="G5728">
        <v>606</v>
      </c>
      <c r="H5728" t="s">
        <v>103</v>
      </c>
      <c r="I5728">
        <v>6</v>
      </c>
      <c r="J5728" t="s">
        <v>101</v>
      </c>
    </row>
    <row r="5729" spans="1:10" x14ac:dyDescent="0.25">
      <c r="A5729" t="s">
        <v>150</v>
      </c>
      <c r="B5729">
        <f>93002.2217809729*(1/100/100)</f>
        <v>9.3002221780972913</v>
      </c>
      <c r="C5729">
        <v>63272</v>
      </c>
      <c r="D5729" t="s">
        <v>87</v>
      </c>
      <c r="E5729">
        <v>60665</v>
      </c>
      <c r="F5729" t="s">
        <v>1539</v>
      </c>
      <c r="G5729">
        <v>606</v>
      </c>
      <c r="H5729" t="s">
        <v>103</v>
      </c>
      <c r="I5729">
        <v>6</v>
      </c>
      <c r="J5729" t="s">
        <v>101</v>
      </c>
    </row>
    <row r="5730" spans="1:10" x14ac:dyDescent="0.25">
      <c r="A5730" t="s">
        <v>150</v>
      </c>
      <c r="B5730">
        <f>91920.4506232297*(1/100/100)</f>
        <v>9.1920450623229701</v>
      </c>
      <c r="C5730">
        <v>63273</v>
      </c>
      <c r="D5730" t="s">
        <v>6280</v>
      </c>
      <c r="E5730">
        <v>60639</v>
      </c>
      <c r="F5730" t="s">
        <v>1521</v>
      </c>
      <c r="G5730">
        <v>606</v>
      </c>
      <c r="H5730" t="s">
        <v>103</v>
      </c>
      <c r="I5730">
        <v>6</v>
      </c>
      <c r="J5730" t="s">
        <v>101</v>
      </c>
    </row>
    <row r="5731" spans="1:10" x14ac:dyDescent="0.25">
      <c r="A5731" t="s">
        <v>150</v>
      </c>
      <c r="B5731">
        <f>156760.19955832*(1/100/100)</f>
        <v>15.676019955832</v>
      </c>
      <c r="C5731">
        <v>63274</v>
      </c>
      <c r="D5731" t="s">
        <v>6342</v>
      </c>
      <c r="E5731">
        <v>60668</v>
      </c>
      <c r="F5731" t="s">
        <v>1542</v>
      </c>
      <c r="G5731">
        <v>606</v>
      </c>
      <c r="H5731" t="s">
        <v>103</v>
      </c>
      <c r="I5731">
        <v>6</v>
      </c>
      <c r="J5731" t="s">
        <v>101</v>
      </c>
    </row>
    <row r="5732" spans="1:10" x14ac:dyDescent="0.25">
      <c r="A5732" t="s">
        <v>150</v>
      </c>
      <c r="B5732">
        <f>74960.5085629573*(1/100/100)</f>
        <v>7.4960508562957306</v>
      </c>
      <c r="C5732">
        <v>63275</v>
      </c>
      <c r="D5732" t="s">
        <v>6282</v>
      </c>
      <c r="E5732">
        <v>60641</v>
      </c>
      <c r="F5732" t="s">
        <v>1522</v>
      </c>
      <c r="G5732">
        <v>606</v>
      </c>
      <c r="H5732" t="s">
        <v>103</v>
      </c>
      <c r="I5732">
        <v>6</v>
      </c>
      <c r="J5732" t="s">
        <v>101</v>
      </c>
    </row>
    <row r="5733" spans="1:10" x14ac:dyDescent="0.25">
      <c r="A5733" t="s">
        <v>150</v>
      </c>
      <c r="B5733">
        <f>28568.4666957451*(1/100/100)</f>
        <v>2.8568466695745101</v>
      </c>
      <c r="C5733">
        <v>63276</v>
      </c>
      <c r="D5733" t="s">
        <v>6267</v>
      </c>
      <c r="E5733">
        <v>60613</v>
      </c>
      <c r="F5733" t="s">
        <v>1511</v>
      </c>
      <c r="G5733">
        <v>606</v>
      </c>
      <c r="H5733" t="s">
        <v>103</v>
      </c>
      <c r="I5733">
        <v>6</v>
      </c>
      <c r="J5733" t="s">
        <v>101</v>
      </c>
    </row>
    <row r="5734" spans="1:10" x14ac:dyDescent="0.25">
      <c r="A5734" t="s">
        <v>150</v>
      </c>
      <c r="B5734">
        <f>54656.6930771806*(1/100/100)</f>
        <v>5.46566930771806</v>
      </c>
      <c r="C5734">
        <v>63277</v>
      </c>
      <c r="D5734" t="s">
        <v>6286</v>
      </c>
      <c r="E5734">
        <v>60646</v>
      </c>
      <c r="F5734" t="s">
        <v>1525</v>
      </c>
      <c r="G5734">
        <v>606</v>
      </c>
      <c r="H5734" t="s">
        <v>103</v>
      </c>
      <c r="I5734">
        <v>6</v>
      </c>
      <c r="J5734" t="s">
        <v>101</v>
      </c>
    </row>
    <row r="5735" spans="1:10" x14ac:dyDescent="0.25">
      <c r="A5735" t="s">
        <v>150</v>
      </c>
      <c r="B5735">
        <f>58685.7821037243*(1/100/100)</f>
        <v>5.86857821037243</v>
      </c>
      <c r="C5735">
        <v>63278</v>
      </c>
      <c r="D5735" t="s">
        <v>6334</v>
      </c>
      <c r="E5735">
        <v>60665</v>
      </c>
      <c r="F5735" t="s">
        <v>1539</v>
      </c>
      <c r="G5735">
        <v>606</v>
      </c>
      <c r="H5735" t="s">
        <v>103</v>
      </c>
      <c r="I5735">
        <v>6</v>
      </c>
      <c r="J5735" t="s">
        <v>101</v>
      </c>
    </row>
    <row r="5736" spans="1:10" x14ac:dyDescent="0.25">
      <c r="A5736" t="s">
        <v>150</v>
      </c>
      <c r="B5736">
        <f>64201.6435510297*(1/100/100)</f>
        <v>6.4201643551029708</v>
      </c>
      <c r="C5736">
        <v>63279</v>
      </c>
      <c r="D5736" t="s">
        <v>6273</v>
      </c>
      <c r="E5736">
        <v>60623</v>
      </c>
      <c r="F5736" t="s">
        <v>1515</v>
      </c>
      <c r="G5736">
        <v>606</v>
      </c>
      <c r="H5736" t="s">
        <v>103</v>
      </c>
      <c r="I5736">
        <v>6</v>
      </c>
      <c r="J5736" t="s">
        <v>101</v>
      </c>
    </row>
    <row r="5737" spans="1:10" x14ac:dyDescent="0.25">
      <c r="A5737" t="s">
        <v>150</v>
      </c>
      <c r="B5737">
        <f>17447.1809779689*(1/100/100)</f>
        <v>1.7447180977968899</v>
      </c>
      <c r="C5737">
        <v>63280</v>
      </c>
      <c r="D5737" t="s">
        <v>6284</v>
      </c>
      <c r="E5737">
        <v>60642</v>
      </c>
      <c r="F5737" t="s">
        <v>1523</v>
      </c>
      <c r="G5737">
        <v>606</v>
      </c>
      <c r="H5737" t="s">
        <v>103</v>
      </c>
      <c r="I5737">
        <v>6</v>
      </c>
      <c r="J5737" t="s">
        <v>101</v>
      </c>
    </row>
    <row r="5738" spans="1:10" x14ac:dyDescent="0.25">
      <c r="A5738" t="s">
        <v>150</v>
      </c>
      <c r="B5738">
        <f>699140.667441455*(1/100/100)</f>
        <v>69.914066744145501</v>
      </c>
      <c r="C5738">
        <v>63281</v>
      </c>
      <c r="D5738" t="s">
        <v>6344</v>
      </c>
      <c r="E5738">
        <v>60669</v>
      </c>
      <c r="F5738" t="s">
        <v>1543</v>
      </c>
      <c r="G5738">
        <v>606</v>
      </c>
      <c r="H5738" t="s">
        <v>103</v>
      </c>
      <c r="I5738">
        <v>6</v>
      </c>
      <c r="J5738" t="s">
        <v>101</v>
      </c>
    </row>
    <row r="5739" spans="1:10" x14ac:dyDescent="0.25">
      <c r="A5739" t="s">
        <v>150</v>
      </c>
      <c r="B5739">
        <f>200673.523967261*(1/100/100)</f>
        <v>20.0673523967261</v>
      </c>
      <c r="C5739">
        <v>63282</v>
      </c>
      <c r="D5739" t="s">
        <v>1525</v>
      </c>
      <c r="E5739">
        <v>60646</v>
      </c>
      <c r="F5739" t="s">
        <v>1525</v>
      </c>
      <c r="G5739">
        <v>606</v>
      </c>
      <c r="H5739" t="s">
        <v>103</v>
      </c>
      <c r="I5739">
        <v>6</v>
      </c>
      <c r="J5739" t="s">
        <v>101</v>
      </c>
    </row>
    <row r="5740" spans="1:10" x14ac:dyDescent="0.25">
      <c r="A5740" t="s">
        <v>150</v>
      </c>
      <c r="B5740">
        <f>70155.4155148146*(1/100/100)</f>
        <v>7.0155415514814594</v>
      </c>
      <c r="C5740">
        <v>63283</v>
      </c>
      <c r="D5740" t="s">
        <v>2230</v>
      </c>
      <c r="E5740">
        <v>60665</v>
      </c>
      <c r="F5740" t="s">
        <v>1539</v>
      </c>
      <c r="G5740">
        <v>606</v>
      </c>
      <c r="H5740" t="s">
        <v>103</v>
      </c>
      <c r="I5740">
        <v>6</v>
      </c>
      <c r="J5740" t="s">
        <v>101</v>
      </c>
    </row>
    <row r="5741" spans="1:10" x14ac:dyDescent="0.25">
      <c r="A5741" t="s">
        <v>150</v>
      </c>
      <c r="B5741">
        <f>101551.126438883*(1/100/100)</f>
        <v>10.1551126438883</v>
      </c>
      <c r="C5741">
        <v>63284</v>
      </c>
      <c r="D5741" t="s">
        <v>1526</v>
      </c>
      <c r="E5741">
        <v>60647</v>
      </c>
      <c r="F5741" t="s">
        <v>1526</v>
      </c>
      <c r="G5741">
        <v>606</v>
      </c>
      <c r="H5741" t="s">
        <v>103</v>
      </c>
      <c r="I5741">
        <v>6</v>
      </c>
      <c r="J5741" t="s">
        <v>101</v>
      </c>
    </row>
    <row r="5742" spans="1:10" x14ac:dyDescent="0.25">
      <c r="A5742" t="s">
        <v>150</v>
      </c>
      <c r="B5742">
        <f>237141.275516718*(1/100/100)</f>
        <v>23.714127551671801</v>
      </c>
      <c r="C5742">
        <v>63285</v>
      </c>
      <c r="D5742" t="s">
        <v>1527</v>
      </c>
      <c r="E5742">
        <v>60648</v>
      </c>
      <c r="F5742" t="s">
        <v>1527</v>
      </c>
      <c r="G5742">
        <v>606</v>
      </c>
      <c r="H5742" t="s">
        <v>103</v>
      </c>
      <c r="I5742">
        <v>6</v>
      </c>
      <c r="J5742" t="s">
        <v>101</v>
      </c>
    </row>
    <row r="5743" spans="1:10" x14ac:dyDescent="0.25">
      <c r="A5743" t="s">
        <v>150</v>
      </c>
      <c r="B5743">
        <f>88590.0072992775*(1/100/100)</f>
        <v>8.8590007299277502</v>
      </c>
      <c r="C5743">
        <v>63286</v>
      </c>
      <c r="D5743" t="s">
        <v>6276</v>
      </c>
      <c r="E5743">
        <v>60624</v>
      </c>
      <c r="F5743" t="s">
        <v>1516</v>
      </c>
      <c r="G5743">
        <v>606</v>
      </c>
      <c r="H5743" t="s">
        <v>103</v>
      </c>
      <c r="I5743">
        <v>6</v>
      </c>
      <c r="J5743" t="s">
        <v>101</v>
      </c>
    </row>
    <row r="5744" spans="1:10" x14ac:dyDescent="0.25">
      <c r="A5744" t="s">
        <v>150</v>
      </c>
      <c r="B5744">
        <f>79726.3803496842*(1/100/100)</f>
        <v>7.9726380349684201</v>
      </c>
      <c r="C5744">
        <v>63287</v>
      </c>
      <c r="D5744" t="s">
        <v>6262</v>
      </c>
      <c r="E5744">
        <v>60611</v>
      </c>
      <c r="F5744" t="s">
        <v>1510</v>
      </c>
      <c r="G5744">
        <v>606</v>
      </c>
      <c r="H5744" t="s">
        <v>103</v>
      </c>
      <c r="I5744">
        <v>6</v>
      </c>
      <c r="J5744" t="s">
        <v>101</v>
      </c>
    </row>
    <row r="5745" spans="1:10" x14ac:dyDescent="0.25">
      <c r="A5745" t="s">
        <v>150</v>
      </c>
      <c r="B5745">
        <f>228432.149273181*(1/100/100)</f>
        <v>22.843214927318101</v>
      </c>
      <c r="C5745">
        <v>63288</v>
      </c>
      <c r="D5745" t="s">
        <v>6347</v>
      </c>
      <c r="E5745">
        <v>60670</v>
      </c>
      <c r="F5745" t="s">
        <v>1544</v>
      </c>
      <c r="G5745">
        <v>606</v>
      </c>
      <c r="H5745" t="s">
        <v>103</v>
      </c>
      <c r="I5745">
        <v>6</v>
      </c>
      <c r="J5745" t="s">
        <v>101</v>
      </c>
    </row>
    <row r="5746" spans="1:10" x14ac:dyDescent="0.25">
      <c r="A5746" t="s">
        <v>150</v>
      </c>
      <c r="B5746">
        <f>123958.29296188*(1/100/100)</f>
        <v>12.395829296187999</v>
      </c>
      <c r="C5746">
        <v>63289</v>
      </c>
      <c r="D5746" t="s">
        <v>6292</v>
      </c>
      <c r="E5746">
        <v>60653</v>
      </c>
      <c r="F5746" t="s">
        <v>1529</v>
      </c>
      <c r="G5746">
        <v>606</v>
      </c>
      <c r="H5746" t="s">
        <v>103</v>
      </c>
      <c r="I5746">
        <v>6</v>
      </c>
      <c r="J5746" t="s">
        <v>101</v>
      </c>
    </row>
    <row r="5747" spans="1:10" x14ac:dyDescent="0.25">
      <c r="A5747" t="s">
        <v>150</v>
      </c>
      <c r="B5747">
        <f>163491.606067409*(1/100/100)</f>
        <v>16.349160606740902</v>
      </c>
      <c r="C5747">
        <v>63290</v>
      </c>
      <c r="D5747" t="s">
        <v>6261</v>
      </c>
      <c r="E5747">
        <v>60608</v>
      </c>
      <c r="F5747" t="s">
        <v>1509</v>
      </c>
      <c r="G5747">
        <v>606</v>
      </c>
      <c r="H5747" t="s">
        <v>103</v>
      </c>
      <c r="I5747">
        <v>6</v>
      </c>
      <c r="J5747" t="s">
        <v>101</v>
      </c>
    </row>
    <row r="5748" spans="1:10" x14ac:dyDescent="0.25">
      <c r="A5748" t="s">
        <v>150</v>
      </c>
      <c r="B5748">
        <f>108224.77265383*(1/100/100)</f>
        <v>10.822477265383</v>
      </c>
      <c r="C5748">
        <v>63291</v>
      </c>
      <c r="D5748" t="s">
        <v>1530</v>
      </c>
      <c r="E5748">
        <v>60654</v>
      </c>
      <c r="F5748" t="s">
        <v>1530</v>
      </c>
      <c r="G5748">
        <v>606</v>
      </c>
      <c r="H5748" t="s">
        <v>103</v>
      </c>
      <c r="I5748">
        <v>6</v>
      </c>
      <c r="J5748" t="s">
        <v>101</v>
      </c>
    </row>
    <row r="5749" spans="1:10" x14ac:dyDescent="0.25">
      <c r="A5749" t="s">
        <v>150</v>
      </c>
      <c r="B5749">
        <f>357485.969813688*(1/100/100)</f>
        <v>35.748596981368806</v>
      </c>
      <c r="C5749">
        <v>63292</v>
      </c>
      <c r="D5749" t="s">
        <v>1531</v>
      </c>
      <c r="E5749">
        <v>60655</v>
      </c>
      <c r="F5749" t="s">
        <v>1531</v>
      </c>
      <c r="G5749">
        <v>606</v>
      </c>
      <c r="H5749" t="s">
        <v>103</v>
      </c>
      <c r="I5749">
        <v>6</v>
      </c>
      <c r="J5749" t="s">
        <v>101</v>
      </c>
    </row>
    <row r="5750" spans="1:10" x14ac:dyDescent="0.25">
      <c r="A5750" t="s">
        <v>150</v>
      </c>
      <c r="B5750">
        <f>202218.704578305*(1/100/100)</f>
        <v>20.221870457830502</v>
      </c>
      <c r="C5750">
        <v>63293</v>
      </c>
      <c r="D5750" t="s">
        <v>1532</v>
      </c>
      <c r="E5750">
        <v>60656</v>
      </c>
      <c r="F5750" t="s">
        <v>1532</v>
      </c>
      <c r="G5750">
        <v>606</v>
      </c>
      <c r="H5750" t="s">
        <v>103</v>
      </c>
      <c r="I5750">
        <v>6</v>
      </c>
      <c r="J5750" t="s">
        <v>101</v>
      </c>
    </row>
    <row r="5751" spans="1:10" x14ac:dyDescent="0.25">
      <c r="A5751" t="s">
        <v>150</v>
      </c>
      <c r="B5751">
        <f>46960.1670491207*(1/100/100)</f>
        <v>4.6960167049120702</v>
      </c>
      <c r="C5751">
        <v>63294</v>
      </c>
      <c r="D5751" t="s">
        <v>6348</v>
      </c>
      <c r="E5751">
        <v>60670</v>
      </c>
      <c r="F5751" t="s">
        <v>1544</v>
      </c>
      <c r="G5751">
        <v>606</v>
      </c>
      <c r="H5751" t="s">
        <v>103</v>
      </c>
      <c r="I5751">
        <v>6</v>
      </c>
      <c r="J5751" t="s">
        <v>101</v>
      </c>
    </row>
    <row r="5752" spans="1:10" x14ac:dyDescent="0.25">
      <c r="A5752" t="s">
        <v>150</v>
      </c>
      <c r="B5752">
        <f>86055.3222658105*(1/100/100)</f>
        <v>8.6055322265810492</v>
      </c>
      <c r="C5752">
        <v>63295</v>
      </c>
      <c r="D5752" t="s">
        <v>6303</v>
      </c>
      <c r="E5752">
        <v>60660</v>
      </c>
      <c r="F5752" t="s">
        <v>1534</v>
      </c>
      <c r="G5752">
        <v>606</v>
      </c>
      <c r="H5752" t="s">
        <v>103</v>
      </c>
      <c r="I5752">
        <v>6</v>
      </c>
      <c r="J5752" t="s">
        <v>101</v>
      </c>
    </row>
    <row r="5753" spans="1:10" x14ac:dyDescent="0.25">
      <c r="A5753" t="s">
        <v>150</v>
      </c>
      <c r="B5753">
        <f>26633.9485274224*(1/100/100)</f>
        <v>2.6633948527422402</v>
      </c>
      <c r="C5753">
        <v>63296</v>
      </c>
      <c r="D5753" t="s">
        <v>6304</v>
      </c>
      <c r="E5753">
        <v>60660</v>
      </c>
      <c r="F5753" t="s">
        <v>1534</v>
      </c>
      <c r="G5753">
        <v>606</v>
      </c>
      <c r="H5753" t="s">
        <v>103</v>
      </c>
      <c r="I5753">
        <v>6</v>
      </c>
      <c r="J5753" t="s">
        <v>101</v>
      </c>
    </row>
    <row r="5754" spans="1:10" x14ac:dyDescent="0.25">
      <c r="A5754" t="s">
        <v>150</v>
      </c>
      <c r="B5754">
        <f>13936.1530954376*(1/100/100)</f>
        <v>1.39361530954376</v>
      </c>
      <c r="C5754">
        <v>63297</v>
      </c>
      <c r="D5754" t="s">
        <v>5003</v>
      </c>
      <c r="E5754">
        <v>60660</v>
      </c>
      <c r="F5754" t="s">
        <v>1534</v>
      </c>
      <c r="G5754">
        <v>606</v>
      </c>
      <c r="H5754" t="s">
        <v>103</v>
      </c>
      <c r="I5754">
        <v>6</v>
      </c>
      <c r="J5754" t="s">
        <v>101</v>
      </c>
    </row>
    <row r="5755" spans="1:10" x14ac:dyDescent="0.25">
      <c r="A5755" t="s">
        <v>150</v>
      </c>
      <c r="B5755">
        <f>33528.0383616335*(1/100/100)</f>
        <v>3.3528038361633503</v>
      </c>
      <c r="C5755">
        <v>63298</v>
      </c>
      <c r="D5755" t="s">
        <v>6305</v>
      </c>
      <c r="E5755">
        <v>60660</v>
      </c>
      <c r="F5755" t="s">
        <v>1534</v>
      </c>
      <c r="G5755">
        <v>606</v>
      </c>
      <c r="H5755" t="s">
        <v>103</v>
      </c>
      <c r="I5755">
        <v>6</v>
      </c>
      <c r="J5755" t="s">
        <v>101</v>
      </c>
    </row>
    <row r="5756" spans="1:10" x14ac:dyDescent="0.25">
      <c r="A5756" t="s">
        <v>150</v>
      </c>
      <c r="B5756">
        <f>32948.6967366755*(1/100/100)</f>
        <v>3.29486967366755</v>
      </c>
      <c r="C5756">
        <v>63299</v>
      </c>
      <c r="D5756" t="s">
        <v>6306</v>
      </c>
      <c r="E5756">
        <v>60660</v>
      </c>
      <c r="F5756" t="s">
        <v>1534</v>
      </c>
      <c r="G5756">
        <v>606</v>
      </c>
      <c r="H5756" t="s">
        <v>103</v>
      </c>
      <c r="I5756">
        <v>6</v>
      </c>
      <c r="J5756" t="s">
        <v>101</v>
      </c>
    </row>
    <row r="5757" spans="1:10" x14ac:dyDescent="0.25">
      <c r="A5757" t="s">
        <v>150</v>
      </c>
      <c r="B5757">
        <f>56828.1446524061*(1/100/100)</f>
        <v>5.682814465240611</v>
      </c>
      <c r="C5757">
        <v>63301</v>
      </c>
      <c r="D5757" t="s">
        <v>6224</v>
      </c>
      <c r="E5757">
        <v>61624</v>
      </c>
      <c r="F5757" t="s">
        <v>1632</v>
      </c>
      <c r="G5757">
        <v>616</v>
      </c>
      <c r="H5757" t="s">
        <v>108</v>
      </c>
      <c r="I5757">
        <v>6</v>
      </c>
      <c r="J5757" t="s">
        <v>101</v>
      </c>
    </row>
    <row r="5758" spans="1:10" x14ac:dyDescent="0.25">
      <c r="A5758" t="s">
        <v>150</v>
      </c>
      <c r="B5758">
        <f>99697.8195356022*(1/100/100)</f>
        <v>9.9697819535602203</v>
      </c>
      <c r="C5758">
        <v>63302</v>
      </c>
      <c r="D5758" t="s">
        <v>6625</v>
      </c>
      <c r="E5758">
        <v>61625</v>
      </c>
      <c r="F5758" t="s">
        <v>108</v>
      </c>
      <c r="G5758">
        <v>616</v>
      </c>
      <c r="H5758" t="s">
        <v>108</v>
      </c>
      <c r="I5758">
        <v>6</v>
      </c>
      <c r="J5758" t="s">
        <v>101</v>
      </c>
    </row>
    <row r="5759" spans="1:10" x14ac:dyDescent="0.25">
      <c r="A5759" t="s">
        <v>150</v>
      </c>
      <c r="B5759">
        <f>386395.157600193*(1/100/100)</f>
        <v>38.6395157600193</v>
      </c>
      <c r="C5759">
        <v>63303</v>
      </c>
      <c r="D5759" t="s">
        <v>1633</v>
      </c>
      <c r="E5759">
        <v>61626</v>
      </c>
      <c r="F5759" t="s">
        <v>1633</v>
      </c>
      <c r="G5759">
        <v>616</v>
      </c>
      <c r="H5759" t="s">
        <v>108</v>
      </c>
      <c r="I5759">
        <v>6</v>
      </c>
      <c r="J5759" t="s">
        <v>101</v>
      </c>
    </row>
    <row r="5760" spans="1:10" x14ac:dyDescent="0.25">
      <c r="A5760" t="s">
        <v>150</v>
      </c>
      <c r="B5760">
        <f>144814.683731016*(1/100/100)</f>
        <v>14.481468373101601</v>
      </c>
      <c r="C5760">
        <v>63304</v>
      </c>
      <c r="D5760" t="s">
        <v>1634</v>
      </c>
      <c r="E5760">
        <v>61627</v>
      </c>
      <c r="F5760" t="s">
        <v>1634</v>
      </c>
      <c r="G5760">
        <v>616</v>
      </c>
      <c r="H5760" t="s">
        <v>108</v>
      </c>
      <c r="I5760">
        <v>6</v>
      </c>
      <c r="J5760" t="s">
        <v>101</v>
      </c>
    </row>
    <row r="5761" spans="1:10" x14ac:dyDescent="0.25">
      <c r="A5761" t="s">
        <v>150</v>
      </c>
      <c r="B5761">
        <f>40463.1134937552*(1/100/100)</f>
        <v>4.0463113493755198</v>
      </c>
      <c r="C5761">
        <v>63305</v>
      </c>
      <c r="D5761" t="s">
        <v>6635</v>
      </c>
      <c r="E5761">
        <v>61628</v>
      </c>
      <c r="F5761" t="s">
        <v>1635</v>
      </c>
      <c r="G5761">
        <v>616</v>
      </c>
      <c r="H5761" t="s">
        <v>108</v>
      </c>
      <c r="I5761">
        <v>6</v>
      </c>
      <c r="J5761" t="s">
        <v>101</v>
      </c>
    </row>
    <row r="5762" spans="1:10" x14ac:dyDescent="0.25">
      <c r="A5762" t="s">
        <v>150</v>
      </c>
      <c r="B5762">
        <f>47994.0071888127*(1/100/100)</f>
        <v>4.7994007188812704</v>
      </c>
      <c r="C5762">
        <v>63306</v>
      </c>
      <c r="D5762" t="s">
        <v>6616</v>
      </c>
      <c r="E5762">
        <v>61615</v>
      </c>
      <c r="F5762" t="s">
        <v>1629</v>
      </c>
      <c r="G5762">
        <v>616</v>
      </c>
      <c r="H5762" t="s">
        <v>108</v>
      </c>
      <c r="I5762">
        <v>6</v>
      </c>
      <c r="J5762" t="s">
        <v>101</v>
      </c>
    </row>
    <row r="5763" spans="1:10" x14ac:dyDescent="0.25">
      <c r="A5763" t="s">
        <v>150</v>
      </c>
      <c r="B5763">
        <f>93163.1988246595*(1/100/100)</f>
        <v>9.316319882465951</v>
      </c>
      <c r="C5763">
        <v>63307</v>
      </c>
      <c r="D5763" t="s">
        <v>6612</v>
      </c>
      <c r="E5763">
        <v>61611</v>
      </c>
      <c r="F5763" t="s">
        <v>1627</v>
      </c>
      <c r="G5763">
        <v>616</v>
      </c>
      <c r="H5763" t="s">
        <v>108</v>
      </c>
      <c r="I5763">
        <v>6</v>
      </c>
      <c r="J5763" t="s">
        <v>101</v>
      </c>
    </row>
    <row r="5764" spans="1:10" x14ac:dyDescent="0.25">
      <c r="A5764" t="s">
        <v>150</v>
      </c>
      <c r="B5764">
        <f>41237.3793915556*(1/100/100)</f>
        <v>4.1237379391555606</v>
      </c>
      <c r="C5764">
        <v>63308</v>
      </c>
      <c r="D5764" t="s">
        <v>6642</v>
      </c>
      <c r="E5764">
        <v>61630</v>
      </c>
      <c r="F5764" t="s">
        <v>1637</v>
      </c>
      <c r="G5764">
        <v>616</v>
      </c>
      <c r="H5764" t="s">
        <v>108</v>
      </c>
      <c r="I5764">
        <v>6</v>
      </c>
      <c r="J5764" t="s">
        <v>101</v>
      </c>
    </row>
    <row r="5765" spans="1:10" x14ac:dyDescent="0.25">
      <c r="A5765" t="s">
        <v>150</v>
      </c>
      <c r="B5765">
        <f>27427.8639959331*(1/100/100)</f>
        <v>2.7427863995933102</v>
      </c>
      <c r="C5765">
        <v>63309</v>
      </c>
      <c r="D5765" t="s">
        <v>6613</v>
      </c>
      <c r="E5765">
        <v>61611</v>
      </c>
      <c r="F5765" t="s">
        <v>1627</v>
      </c>
      <c r="G5765">
        <v>616</v>
      </c>
      <c r="H5765" t="s">
        <v>108</v>
      </c>
      <c r="I5765">
        <v>6</v>
      </c>
      <c r="J5765" t="s">
        <v>101</v>
      </c>
    </row>
    <row r="5766" spans="1:10" x14ac:dyDescent="0.25">
      <c r="A5766" t="s">
        <v>150</v>
      </c>
      <c r="B5766">
        <f>39411.811751314*(1/100/100)</f>
        <v>3.9411811751314003</v>
      </c>
      <c r="C5766">
        <v>63310</v>
      </c>
      <c r="D5766" t="s">
        <v>6636</v>
      </c>
      <c r="E5766">
        <v>61628</v>
      </c>
      <c r="F5766" t="s">
        <v>1635</v>
      </c>
      <c r="G5766">
        <v>616</v>
      </c>
      <c r="H5766" t="s">
        <v>108</v>
      </c>
      <c r="I5766">
        <v>6</v>
      </c>
      <c r="J5766" t="s">
        <v>101</v>
      </c>
    </row>
    <row r="5767" spans="1:10" x14ac:dyDescent="0.25">
      <c r="A5767" t="s">
        <v>150</v>
      </c>
      <c r="B5767">
        <f>73485.1010693445*(1/100/100)</f>
        <v>7.3485101069344498</v>
      </c>
      <c r="C5767">
        <v>63311</v>
      </c>
      <c r="D5767" t="s">
        <v>6651</v>
      </c>
      <c r="E5767">
        <v>61632</v>
      </c>
      <c r="F5767" t="s">
        <v>1639</v>
      </c>
      <c r="G5767">
        <v>616</v>
      </c>
      <c r="H5767" t="s">
        <v>108</v>
      </c>
      <c r="I5767">
        <v>6</v>
      </c>
      <c r="J5767" t="s">
        <v>101</v>
      </c>
    </row>
    <row r="5768" spans="1:10" x14ac:dyDescent="0.25">
      <c r="A5768" t="s">
        <v>150</v>
      </c>
      <c r="B5768">
        <f>80627.5800384453*(1/100/100)</f>
        <v>8.0627580038445306</v>
      </c>
      <c r="C5768">
        <v>63312</v>
      </c>
      <c r="D5768" t="s">
        <v>6614</v>
      </c>
      <c r="E5768">
        <v>61612</v>
      </c>
      <c r="F5768" t="s">
        <v>1628</v>
      </c>
      <c r="G5768">
        <v>616</v>
      </c>
      <c r="H5768" t="s">
        <v>108</v>
      </c>
      <c r="I5768">
        <v>6</v>
      </c>
      <c r="J5768" t="s">
        <v>101</v>
      </c>
    </row>
    <row r="5769" spans="1:10" x14ac:dyDescent="0.25">
      <c r="A5769" t="s">
        <v>150</v>
      </c>
      <c r="B5769">
        <f>25170.4280466187*(1/100/100)</f>
        <v>2.51704280466187</v>
      </c>
      <c r="C5769">
        <v>63313</v>
      </c>
      <c r="D5769" t="s">
        <v>6645</v>
      </c>
      <c r="E5769">
        <v>61631</v>
      </c>
      <c r="F5769" t="s">
        <v>1638</v>
      </c>
      <c r="G5769">
        <v>616</v>
      </c>
      <c r="H5769" t="s">
        <v>108</v>
      </c>
      <c r="I5769">
        <v>6</v>
      </c>
      <c r="J5769" t="s">
        <v>101</v>
      </c>
    </row>
    <row r="5770" spans="1:10" x14ac:dyDescent="0.25">
      <c r="A5770" t="s">
        <v>150</v>
      </c>
      <c r="B5770">
        <f>96680.0154779527*(1/100/100)</f>
        <v>9.668001547795269</v>
      </c>
      <c r="C5770">
        <v>63314</v>
      </c>
      <c r="D5770" t="s">
        <v>6646</v>
      </c>
      <c r="E5770">
        <v>61631</v>
      </c>
      <c r="F5770" t="s">
        <v>1638</v>
      </c>
      <c r="G5770">
        <v>616</v>
      </c>
      <c r="H5770" t="s">
        <v>108</v>
      </c>
      <c r="I5770">
        <v>6</v>
      </c>
      <c r="J5770" t="s">
        <v>101</v>
      </c>
    </row>
    <row r="5771" spans="1:10" x14ac:dyDescent="0.25">
      <c r="A5771" t="s">
        <v>150</v>
      </c>
      <c r="B5771">
        <f>41310.2151176935*(1/100/100)</f>
        <v>4.1310215117693501</v>
      </c>
      <c r="C5771">
        <v>63315</v>
      </c>
      <c r="D5771" t="s">
        <v>6647</v>
      </c>
      <c r="E5771">
        <v>61631</v>
      </c>
      <c r="F5771" t="s">
        <v>1638</v>
      </c>
      <c r="G5771">
        <v>616</v>
      </c>
      <c r="H5771" t="s">
        <v>108</v>
      </c>
      <c r="I5771">
        <v>6</v>
      </c>
      <c r="J5771" t="s">
        <v>101</v>
      </c>
    </row>
    <row r="5772" spans="1:10" x14ac:dyDescent="0.25">
      <c r="A5772" t="s">
        <v>150</v>
      </c>
      <c r="B5772">
        <f>73717.1513362309*(1/100/100)</f>
        <v>7.3717151336230913</v>
      </c>
      <c r="C5772">
        <v>63316</v>
      </c>
      <c r="D5772" t="s">
        <v>6656</v>
      </c>
      <c r="E5772">
        <v>61633</v>
      </c>
      <c r="F5772" t="s">
        <v>1640</v>
      </c>
      <c r="G5772">
        <v>616</v>
      </c>
      <c r="H5772" t="s">
        <v>108</v>
      </c>
      <c r="I5772">
        <v>6</v>
      </c>
      <c r="J5772" t="s">
        <v>101</v>
      </c>
    </row>
    <row r="5773" spans="1:10" x14ac:dyDescent="0.25">
      <c r="A5773" t="s">
        <v>150</v>
      </c>
      <c r="B5773">
        <f>28767.1047011926*(1/100/100)</f>
        <v>2.8767104701192601</v>
      </c>
      <c r="C5773">
        <v>63317</v>
      </c>
      <c r="D5773" t="s">
        <v>6620</v>
      </c>
      <c r="E5773">
        <v>61621</v>
      </c>
      <c r="F5773" t="s">
        <v>1631</v>
      </c>
      <c r="G5773">
        <v>616</v>
      </c>
      <c r="H5773" t="s">
        <v>108</v>
      </c>
      <c r="I5773">
        <v>6</v>
      </c>
      <c r="J5773" t="s">
        <v>101</v>
      </c>
    </row>
    <row r="5774" spans="1:10" x14ac:dyDescent="0.25">
      <c r="A5774" t="s">
        <v>150</v>
      </c>
      <c r="B5774">
        <f>35438.765809782*(1/100/100)</f>
        <v>3.5438765809782002</v>
      </c>
      <c r="C5774">
        <v>63318</v>
      </c>
      <c r="D5774" t="s">
        <v>6657</v>
      </c>
      <c r="E5774">
        <v>61633</v>
      </c>
      <c r="F5774" t="s">
        <v>1640</v>
      </c>
      <c r="G5774">
        <v>616</v>
      </c>
      <c r="H5774" t="s">
        <v>108</v>
      </c>
      <c r="I5774">
        <v>6</v>
      </c>
      <c r="J5774" t="s">
        <v>101</v>
      </c>
    </row>
    <row r="5775" spans="1:10" x14ac:dyDescent="0.25">
      <c r="A5775" t="s">
        <v>150</v>
      </c>
      <c r="B5775">
        <f>31503.3558920225*(1/100/100)</f>
        <v>3.1503355892022502</v>
      </c>
      <c r="C5775">
        <v>63319</v>
      </c>
      <c r="D5775" t="s">
        <v>6658</v>
      </c>
      <c r="E5775">
        <v>61633</v>
      </c>
      <c r="F5775" t="s">
        <v>1640</v>
      </c>
      <c r="G5775">
        <v>616</v>
      </c>
      <c r="H5775" t="s">
        <v>108</v>
      </c>
      <c r="I5775">
        <v>6</v>
      </c>
      <c r="J5775" t="s">
        <v>101</v>
      </c>
    </row>
    <row r="5776" spans="1:10" x14ac:dyDescent="0.25">
      <c r="A5776" t="s">
        <v>150</v>
      </c>
      <c r="B5776">
        <f>52761.88470587*(1/100/100)</f>
        <v>5.2761884705869999</v>
      </c>
      <c r="C5776">
        <v>63320</v>
      </c>
      <c r="D5776" t="s">
        <v>6639</v>
      </c>
      <c r="E5776">
        <v>61629</v>
      </c>
      <c r="F5776" t="s">
        <v>1636</v>
      </c>
      <c r="G5776">
        <v>616</v>
      </c>
      <c r="H5776" t="s">
        <v>108</v>
      </c>
      <c r="I5776">
        <v>6</v>
      </c>
      <c r="J5776" t="s">
        <v>101</v>
      </c>
    </row>
    <row r="5777" spans="1:10" x14ac:dyDescent="0.25">
      <c r="A5777" t="s">
        <v>150</v>
      </c>
      <c r="B5777">
        <f>76566.7027724497*(1/100/100)</f>
        <v>7.6566702772449702</v>
      </c>
      <c r="C5777">
        <v>63321</v>
      </c>
      <c r="D5777" t="s">
        <v>6640</v>
      </c>
      <c r="E5777">
        <v>61629</v>
      </c>
      <c r="F5777" t="s">
        <v>1636</v>
      </c>
      <c r="G5777">
        <v>616</v>
      </c>
      <c r="H5777" t="s">
        <v>108</v>
      </c>
      <c r="I5777">
        <v>6</v>
      </c>
      <c r="J5777" t="s">
        <v>101</v>
      </c>
    </row>
    <row r="5778" spans="1:10" x14ac:dyDescent="0.25">
      <c r="A5778" t="s">
        <v>150</v>
      </c>
      <c r="B5778">
        <f>114997.358095636*(1/100/100)</f>
        <v>11.4997358095636</v>
      </c>
      <c r="C5778">
        <v>63322</v>
      </c>
      <c r="D5778" t="s">
        <v>6632</v>
      </c>
      <c r="E5778">
        <v>61626</v>
      </c>
      <c r="F5778" t="s">
        <v>1633</v>
      </c>
      <c r="G5778">
        <v>616</v>
      </c>
      <c r="H5778" t="s">
        <v>108</v>
      </c>
      <c r="I5778">
        <v>6</v>
      </c>
      <c r="J5778" t="s">
        <v>101</v>
      </c>
    </row>
    <row r="5779" spans="1:10" x14ac:dyDescent="0.25">
      <c r="A5779" t="s">
        <v>150</v>
      </c>
      <c r="B5779">
        <f>54836.0386994305*(1/100/100)</f>
        <v>5.4836038699430505</v>
      </c>
      <c r="C5779">
        <v>63323</v>
      </c>
      <c r="D5779" t="s">
        <v>6450</v>
      </c>
      <c r="E5779">
        <v>61630</v>
      </c>
      <c r="F5779" t="s">
        <v>1637</v>
      </c>
      <c r="G5779">
        <v>616</v>
      </c>
      <c r="H5779" t="s">
        <v>108</v>
      </c>
      <c r="I5779">
        <v>6</v>
      </c>
      <c r="J5779" t="s">
        <v>101</v>
      </c>
    </row>
    <row r="5780" spans="1:10" x14ac:dyDescent="0.25">
      <c r="A5780" t="s">
        <v>150</v>
      </c>
      <c r="B5780">
        <f>148984.026411644*(1/100/100)</f>
        <v>14.898402641164402</v>
      </c>
      <c r="C5780">
        <v>63324</v>
      </c>
      <c r="D5780" t="s">
        <v>6622</v>
      </c>
      <c r="E5780">
        <v>61624</v>
      </c>
      <c r="F5780" t="s">
        <v>1632</v>
      </c>
      <c r="G5780">
        <v>616</v>
      </c>
      <c r="H5780" t="s">
        <v>108</v>
      </c>
      <c r="I5780">
        <v>6</v>
      </c>
      <c r="J5780" t="s">
        <v>101</v>
      </c>
    </row>
    <row r="5781" spans="1:10" x14ac:dyDescent="0.25">
      <c r="A5781" t="s">
        <v>150</v>
      </c>
      <c r="B5781">
        <f>37658.3252328327*(1/100/100)</f>
        <v>3.7658325232832701</v>
      </c>
      <c r="C5781">
        <v>63325</v>
      </c>
      <c r="D5781" t="s">
        <v>6652</v>
      </c>
      <c r="E5781">
        <v>61632</v>
      </c>
      <c r="F5781" t="s">
        <v>1639</v>
      </c>
      <c r="G5781">
        <v>616</v>
      </c>
      <c r="H5781" t="s">
        <v>108</v>
      </c>
      <c r="I5781">
        <v>6</v>
      </c>
      <c r="J5781" t="s">
        <v>101</v>
      </c>
    </row>
    <row r="5782" spans="1:10" x14ac:dyDescent="0.25">
      <c r="A5782" t="s">
        <v>150</v>
      </c>
      <c r="B5782">
        <f>32577.9462283692*(1/100/100)</f>
        <v>3.2577946228369203</v>
      </c>
      <c r="C5782">
        <v>63326</v>
      </c>
      <c r="D5782" t="s">
        <v>2496</v>
      </c>
      <c r="E5782">
        <v>61632</v>
      </c>
      <c r="F5782" t="s">
        <v>1639</v>
      </c>
      <c r="G5782">
        <v>616</v>
      </c>
      <c r="H5782" t="s">
        <v>108</v>
      </c>
      <c r="I5782">
        <v>6</v>
      </c>
      <c r="J5782" t="s">
        <v>101</v>
      </c>
    </row>
    <row r="5783" spans="1:10" x14ac:dyDescent="0.25">
      <c r="A5783" t="s">
        <v>150</v>
      </c>
      <c r="B5783">
        <f>19651.774980549*(1/100/100)</f>
        <v>1.9651774980548999</v>
      </c>
      <c r="C5783">
        <v>63327</v>
      </c>
      <c r="D5783" t="s">
        <v>6637</v>
      </c>
      <c r="E5783">
        <v>61628</v>
      </c>
      <c r="F5783" t="s">
        <v>1635</v>
      </c>
      <c r="G5783">
        <v>616</v>
      </c>
      <c r="H5783" t="s">
        <v>108</v>
      </c>
      <c r="I5783">
        <v>6</v>
      </c>
      <c r="J5783" t="s">
        <v>101</v>
      </c>
    </row>
    <row r="5784" spans="1:10" x14ac:dyDescent="0.25">
      <c r="A5784" t="s">
        <v>150</v>
      </c>
      <c r="B5784">
        <f>109003.180584962*(1/100/100)</f>
        <v>10.9003180584962</v>
      </c>
      <c r="C5784">
        <v>63328</v>
      </c>
      <c r="D5784" t="s">
        <v>6659</v>
      </c>
      <c r="E5784">
        <v>61633</v>
      </c>
      <c r="F5784" t="s">
        <v>1640</v>
      </c>
      <c r="G5784">
        <v>616</v>
      </c>
      <c r="H5784" t="s">
        <v>108</v>
      </c>
      <c r="I5784">
        <v>6</v>
      </c>
      <c r="J5784" t="s">
        <v>101</v>
      </c>
    </row>
    <row r="5785" spans="1:10" x14ac:dyDescent="0.25">
      <c r="A5785" t="s">
        <v>150</v>
      </c>
      <c r="B5785">
        <f>49991.4934632495*(1/100/100)</f>
        <v>4.9991493463249501</v>
      </c>
      <c r="C5785">
        <v>63329</v>
      </c>
      <c r="D5785" t="s">
        <v>6621</v>
      </c>
      <c r="E5785">
        <v>61621</v>
      </c>
      <c r="F5785" t="s">
        <v>1631</v>
      </c>
      <c r="G5785">
        <v>616</v>
      </c>
      <c r="H5785" t="s">
        <v>108</v>
      </c>
      <c r="I5785">
        <v>6</v>
      </c>
      <c r="J5785" t="s">
        <v>101</v>
      </c>
    </row>
    <row r="5786" spans="1:10" x14ac:dyDescent="0.25">
      <c r="A5786" t="s">
        <v>150</v>
      </c>
      <c r="B5786">
        <f>81686.0387962713*(1/100/100)</f>
        <v>8.1686038796271312</v>
      </c>
      <c r="C5786">
        <v>63330</v>
      </c>
      <c r="D5786" t="s">
        <v>6643</v>
      </c>
      <c r="E5786">
        <v>61630</v>
      </c>
      <c r="F5786" t="s">
        <v>1637</v>
      </c>
      <c r="G5786">
        <v>616</v>
      </c>
      <c r="H5786" t="s">
        <v>108</v>
      </c>
      <c r="I5786">
        <v>6</v>
      </c>
      <c r="J5786" t="s">
        <v>101</v>
      </c>
    </row>
    <row r="5787" spans="1:10" x14ac:dyDescent="0.25">
      <c r="A5787" t="s">
        <v>150</v>
      </c>
      <c r="B5787">
        <f>141401.370410475*(1/100/100)</f>
        <v>14.140137041047501</v>
      </c>
      <c r="C5787">
        <v>63331</v>
      </c>
      <c r="D5787" t="s">
        <v>6626</v>
      </c>
      <c r="E5787">
        <v>61625</v>
      </c>
      <c r="F5787" t="s">
        <v>108</v>
      </c>
      <c r="G5787">
        <v>616</v>
      </c>
      <c r="H5787" t="s">
        <v>108</v>
      </c>
      <c r="I5787">
        <v>6</v>
      </c>
      <c r="J5787" t="s">
        <v>101</v>
      </c>
    </row>
    <row r="5788" spans="1:10" x14ac:dyDescent="0.25">
      <c r="A5788" t="s">
        <v>150</v>
      </c>
      <c r="B5788">
        <f>311291.924828629*(1/100/100)</f>
        <v>31.129192482862901</v>
      </c>
      <c r="C5788">
        <v>63332</v>
      </c>
      <c r="D5788" t="s">
        <v>1638</v>
      </c>
      <c r="E5788">
        <v>61631</v>
      </c>
      <c r="F5788" t="s">
        <v>1638</v>
      </c>
      <c r="G5788">
        <v>616</v>
      </c>
      <c r="H5788" t="s">
        <v>108</v>
      </c>
      <c r="I5788">
        <v>6</v>
      </c>
      <c r="J5788" t="s">
        <v>101</v>
      </c>
    </row>
    <row r="5789" spans="1:10" x14ac:dyDescent="0.25">
      <c r="A5789" t="s">
        <v>150</v>
      </c>
      <c r="B5789">
        <f>56173.9195497801*(1/100/100)</f>
        <v>5.61739195497801</v>
      </c>
      <c r="C5789">
        <v>63333</v>
      </c>
      <c r="D5789" t="s">
        <v>6660</v>
      </c>
      <c r="E5789">
        <v>61633</v>
      </c>
      <c r="F5789" t="s">
        <v>1640</v>
      </c>
      <c r="G5789">
        <v>616</v>
      </c>
      <c r="H5789" t="s">
        <v>108</v>
      </c>
      <c r="I5789">
        <v>6</v>
      </c>
      <c r="J5789" t="s">
        <v>101</v>
      </c>
    </row>
    <row r="5790" spans="1:10" x14ac:dyDescent="0.25">
      <c r="A5790" t="s">
        <v>150</v>
      </c>
      <c r="B5790">
        <f>108004.56307478*(1/100/100)</f>
        <v>10.800456307478001</v>
      </c>
      <c r="C5790">
        <v>63334</v>
      </c>
      <c r="D5790" t="s">
        <v>4264</v>
      </c>
      <c r="E5790">
        <v>61627</v>
      </c>
      <c r="F5790" t="s">
        <v>1634</v>
      </c>
      <c r="G5790">
        <v>616</v>
      </c>
      <c r="H5790" t="s">
        <v>108</v>
      </c>
      <c r="I5790">
        <v>6</v>
      </c>
      <c r="J5790" t="s">
        <v>101</v>
      </c>
    </row>
    <row r="5791" spans="1:10" x14ac:dyDescent="0.25">
      <c r="A5791" t="s">
        <v>150</v>
      </c>
      <c r="B5791">
        <f>154056.036619829*(1/100/100)</f>
        <v>15.405603661982902</v>
      </c>
      <c r="C5791">
        <v>63335</v>
      </c>
      <c r="D5791" t="s">
        <v>2999</v>
      </c>
      <c r="E5791">
        <v>61611</v>
      </c>
      <c r="F5791" t="s">
        <v>1627</v>
      </c>
      <c r="G5791">
        <v>616</v>
      </c>
      <c r="H5791" t="s">
        <v>108</v>
      </c>
      <c r="I5791">
        <v>6</v>
      </c>
      <c r="J5791" t="s">
        <v>101</v>
      </c>
    </row>
    <row r="5792" spans="1:10" x14ac:dyDescent="0.25">
      <c r="A5792" t="s">
        <v>150</v>
      </c>
      <c r="B5792">
        <f>137899.355463209*(1/100/100)</f>
        <v>13.789935546320901</v>
      </c>
      <c r="C5792">
        <v>63336</v>
      </c>
      <c r="D5792" t="s">
        <v>6653</v>
      </c>
      <c r="E5792">
        <v>61632</v>
      </c>
      <c r="F5792" t="s">
        <v>1639</v>
      </c>
      <c r="G5792">
        <v>616</v>
      </c>
      <c r="H5792" t="s">
        <v>108</v>
      </c>
      <c r="I5792">
        <v>6</v>
      </c>
      <c r="J5792" t="s">
        <v>101</v>
      </c>
    </row>
    <row r="5793" spans="1:10" x14ac:dyDescent="0.25">
      <c r="A5793" t="s">
        <v>150</v>
      </c>
      <c r="B5793">
        <f>70733.0771599796*(1/100/100)</f>
        <v>7.0733077159979603</v>
      </c>
      <c r="C5793">
        <v>63337</v>
      </c>
      <c r="D5793" t="s">
        <v>1628</v>
      </c>
      <c r="E5793">
        <v>61612</v>
      </c>
      <c r="F5793" t="s">
        <v>1628</v>
      </c>
      <c r="G5793">
        <v>616</v>
      </c>
      <c r="H5793" t="s">
        <v>108</v>
      </c>
      <c r="I5793">
        <v>6</v>
      </c>
      <c r="J5793" t="s">
        <v>101</v>
      </c>
    </row>
    <row r="5794" spans="1:10" x14ac:dyDescent="0.25">
      <c r="A5794" t="s">
        <v>150</v>
      </c>
      <c r="B5794">
        <f>101917.382321171*(1/100/100)</f>
        <v>10.1917382321171</v>
      </c>
      <c r="C5794">
        <v>63338</v>
      </c>
      <c r="D5794" t="s">
        <v>6509</v>
      </c>
      <c r="E5794">
        <v>61625</v>
      </c>
      <c r="F5794" t="s">
        <v>108</v>
      </c>
      <c r="G5794">
        <v>616</v>
      </c>
      <c r="H5794" t="s">
        <v>108</v>
      </c>
      <c r="I5794">
        <v>6</v>
      </c>
      <c r="J5794" t="s">
        <v>101</v>
      </c>
    </row>
    <row r="5795" spans="1:10" x14ac:dyDescent="0.25">
      <c r="A5795" t="s">
        <v>150</v>
      </c>
      <c r="B5795">
        <f>24117.6222993182*(1/100/100)</f>
        <v>2.4117622299318198</v>
      </c>
      <c r="C5795">
        <v>63339</v>
      </c>
      <c r="D5795" t="s">
        <v>6627</v>
      </c>
      <c r="E5795">
        <v>61625</v>
      </c>
      <c r="F5795" t="s">
        <v>108</v>
      </c>
      <c r="G5795">
        <v>616</v>
      </c>
      <c r="H5795" t="s">
        <v>108</v>
      </c>
      <c r="I5795">
        <v>6</v>
      </c>
      <c r="J5795" t="s">
        <v>101</v>
      </c>
    </row>
    <row r="5796" spans="1:10" x14ac:dyDescent="0.25">
      <c r="A5796" t="s">
        <v>150</v>
      </c>
      <c r="B5796">
        <f>44652.4767901798*(1/100/100)</f>
        <v>4.4652476790179803</v>
      </c>
      <c r="C5796">
        <v>63340</v>
      </c>
      <c r="D5796" t="s">
        <v>6634</v>
      </c>
      <c r="E5796">
        <v>61627</v>
      </c>
      <c r="F5796" t="s">
        <v>1634</v>
      </c>
      <c r="G5796">
        <v>616</v>
      </c>
      <c r="H5796" t="s">
        <v>108</v>
      </c>
      <c r="I5796">
        <v>6</v>
      </c>
      <c r="J5796" t="s">
        <v>101</v>
      </c>
    </row>
    <row r="5797" spans="1:10" x14ac:dyDescent="0.25">
      <c r="A5797" t="s">
        <v>150</v>
      </c>
      <c r="B5797">
        <f>30937.4433137303*(1/100/100)</f>
        <v>3.09374433137303</v>
      </c>
      <c r="C5797">
        <v>63341</v>
      </c>
      <c r="D5797" t="s">
        <v>6661</v>
      </c>
      <c r="E5797">
        <v>61633</v>
      </c>
      <c r="F5797" t="s">
        <v>1640</v>
      </c>
      <c r="G5797">
        <v>616</v>
      </c>
      <c r="H5797" t="s">
        <v>108</v>
      </c>
      <c r="I5797">
        <v>6</v>
      </c>
      <c r="J5797" t="s">
        <v>101</v>
      </c>
    </row>
    <row r="5798" spans="1:10" x14ac:dyDescent="0.25">
      <c r="A5798" t="s">
        <v>150</v>
      </c>
      <c r="B5798">
        <f>67215.38719883*(1/100/100)</f>
        <v>6.7215387198830001</v>
      </c>
      <c r="C5798">
        <v>63342</v>
      </c>
      <c r="D5798" t="s">
        <v>1629</v>
      </c>
      <c r="E5798">
        <v>61615</v>
      </c>
      <c r="F5798" t="s">
        <v>1629</v>
      </c>
      <c r="G5798">
        <v>616</v>
      </c>
      <c r="H5798" t="s">
        <v>108</v>
      </c>
      <c r="I5798">
        <v>6</v>
      </c>
      <c r="J5798" t="s">
        <v>101</v>
      </c>
    </row>
    <row r="5799" spans="1:10" x14ac:dyDescent="0.25">
      <c r="A5799" t="s">
        <v>150</v>
      </c>
      <c r="B5799">
        <f>33814.3436856032*(1/100/100)</f>
        <v>3.3814343685603201</v>
      </c>
      <c r="C5799">
        <v>63343</v>
      </c>
      <c r="D5799" t="s">
        <v>6623</v>
      </c>
      <c r="E5799">
        <v>61624</v>
      </c>
      <c r="F5799" t="s">
        <v>1632</v>
      </c>
      <c r="G5799">
        <v>616</v>
      </c>
      <c r="H5799" t="s">
        <v>108</v>
      </c>
      <c r="I5799">
        <v>6</v>
      </c>
      <c r="J5799" t="s">
        <v>101</v>
      </c>
    </row>
    <row r="5800" spans="1:10" x14ac:dyDescent="0.25">
      <c r="A5800" t="s">
        <v>150</v>
      </c>
      <c r="B5800">
        <f>15320.3763887223*(1/100/100)</f>
        <v>1.5320376388722301</v>
      </c>
      <c r="C5800">
        <v>63344</v>
      </c>
      <c r="D5800" t="s">
        <v>6617</v>
      </c>
      <c r="E5800">
        <v>61615</v>
      </c>
      <c r="F5800" t="s">
        <v>1629</v>
      </c>
      <c r="G5800">
        <v>616</v>
      </c>
      <c r="H5800" t="s">
        <v>108</v>
      </c>
      <c r="I5800">
        <v>6</v>
      </c>
      <c r="J5800" t="s">
        <v>101</v>
      </c>
    </row>
    <row r="5801" spans="1:10" x14ac:dyDescent="0.25">
      <c r="A5801" t="s">
        <v>150</v>
      </c>
      <c r="B5801">
        <f>12948.5937294134*(1/100/100)</f>
        <v>1.29485937294134</v>
      </c>
      <c r="C5801">
        <v>63345</v>
      </c>
      <c r="D5801" t="s">
        <v>6662</v>
      </c>
      <c r="E5801">
        <v>61633</v>
      </c>
      <c r="F5801" t="s">
        <v>1640</v>
      </c>
      <c r="G5801">
        <v>616</v>
      </c>
      <c r="H5801" t="s">
        <v>108</v>
      </c>
      <c r="I5801">
        <v>6</v>
      </c>
      <c r="J5801" t="s">
        <v>101</v>
      </c>
    </row>
    <row r="5802" spans="1:10" x14ac:dyDescent="0.25">
      <c r="A5802" t="s">
        <v>150</v>
      </c>
      <c r="B5802">
        <f>46703.5059461077*(1/100/100)</f>
        <v>4.6703505946107704</v>
      </c>
      <c r="C5802">
        <v>63346</v>
      </c>
      <c r="D5802" t="s">
        <v>6615</v>
      </c>
      <c r="E5802">
        <v>61612</v>
      </c>
      <c r="F5802" t="s">
        <v>1628</v>
      </c>
      <c r="G5802">
        <v>616</v>
      </c>
      <c r="H5802" t="s">
        <v>108</v>
      </c>
      <c r="I5802">
        <v>6</v>
      </c>
      <c r="J5802" t="s">
        <v>101</v>
      </c>
    </row>
    <row r="5803" spans="1:10" x14ac:dyDescent="0.25">
      <c r="A5803" t="s">
        <v>150</v>
      </c>
      <c r="B5803">
        <f>15058.4522735826*(1/100/100)</f>
        <v>1.5058452273582601</v>
      </c>
      <c r="C5803">
        <v>63347</v>
      </c>
      <c r="D5803" t="s">
        <v>6644</v>
      </c>
      <c r="E5803">
        <v>61630</v>
      </c>
      <c r="F5803" t="s">
        <v>1637</v>
      </c>
      <c r="G5803">
        <v>616</v>
      </c>
      <c r="H5803" t="s">
        <v>108</v>
      </c>
      <c r="I5803">
        <v>6</v>
      </c>
      <c r="J5803" t="s">
        <v>101</v>
      </c>
    </row>
    <row r="5804" spans="1:10" x14ac:dyDescent="0.25">
      <c r="A5804" t="s">
        <v>150</v>
      </c>
      <c r="B5804">
        <f>86581.8269011608*(1/100/100)</f>
        <v>8.6581826901160817</v>
      </c>
      <c r="C5804">
        <v>63348</v>
      </c>
      <c r="D5804" t="s">
        <v>6641</v>
      </c>
      <c r="E5804">
        <v>61629</v>
      </c>
      <c r="F5804" t="s">
        <v>1636</v>
      </c>
      <c r="G5804">
        <v>616</v>
      </c>
      <c r="H5804" t="s">
        <v>108</v>
      </c>
      <c r="I5804">
        <v>6</v>
      </c>
      <c r="J5804" t="s">
        <v>101</v>
      </c>
    </row>
    <row r="5805" spans="1:10" x14ac:dyDescent="0.25">
      <c r="A5805" t="s">
        <v>150</v>
      </c>
      <c r="B5805">
        <f>52831.4120928475*(1/100/100)</f>
        <v>5.2831412092847501</v>
      </c>
      <c r="C5805">
        <v>63349</v>
      </c>
      <c r="D5805" t="s">
        <v>6648</v>
      </c>
      <c r="E5805">
        <v>61631</v>
      </c>
      <c r="F5805" t="s">
        <v>1638</v>
      </c>
      <c r="G5805">
        <v>616</v>
      </c>
      <c r="H5805" t="s">
        <v>108</v>
      </c>
      <c r="I5805">
        <v>6</v>
      </c>
      <c r="J5805" t="s">
        <v>101</v>
      </c>
    </row>
    <row r="5806" spans="1:10" x14ac:dyDescent="0.25">
      <c r="A5806" t="s">
        <v>150</v>
      </c>
      <c r="B5806">
        <f>39351.5108675738*(1/100/100)</f>
        <v>3.9351510867573802</v>
      </c>
      <c r="C5806">
        <v>63350</v>
      </c>
      <c r="D5806" t="s">
        <v>6633</v>
      </c>
      <c r="E5806">
        <v>61626</v>
      </c>
      <c r="F5806" t="s">
        <v>1633</v>
      </c>
      <c r="G5806">
        <v>616</v>
      </c>
      <c r="H5806" t="s">
        <v>108</v>
      </c>
      <c r="I5806">
        <v>6</v>
      </c>
      <c r="J5806" t="s">
        <v>101</v>
      </c>
    </row>
    <row r="5807" spans="1:10" x14ac:dyDescent="0.25">
      <c r="A5807" t="s">
        <v>150</v>
      </c>
      <c r="B5807">
        <f>252791.962155279*(1/100/100)</f>
        <v>25.2791962155279</v>
      </c>
      <c r="C5807">
        <v>63351</v>
      </c>
      <c r="D5807" t="s">
        <v>6649</v>
      </c>
      <c r="E5807">
        <v>61631</v>
      </c>
      <c r="F5807" t="s">
        <v>1638</v>
      </c>
      <c r="G5807">
        <v>616</v>
      </c>
      <c r="H5807" t="s">
        <v>108</v>
      </c>
      <c r="I5807">
        <v>6</v>
      </c>
      <c r="J5807" t="s">
        <v>101</v>
      </c>
    </row>
    <row r="5808" spans="1:10" x14ac:dyDescent="0.25">
      <c r="A5808" t="s">
        <v>150</v>
      </c>
      <c r="B5808">
        <f>69489.2869558529*(1/100/100)</f>
        <v>6.9489286955852911</v>
      </c>
      <c r="C5808">
        <v>63352</v>
      </c>
      <c r="D5808" t="s">
        <v>6663</v>
      </c>
      <c r="E5808">
        <v>61633</v>
      </c>
      <c r="F5808" t="s">
        <v>1640</v>
      </c>
      <c r="G5808">
        <v>616</v>
      </c>
      <c r="H5808" t="s">
        <v>108</v>
      </c>
      <c r="I5808">
        <v>6</v>
      </c>
      <c r="J5808" t="s">
        <v>101</v>
      </c>
    </row>
    <row r="5809" spans="1:10" x14ac:dyDescent="0.25">
      <c r="A5809" t="s">
        <v>150</v>
      </c>
      <c r="B5809">
        <f>35275.25194515*(1/100/100)</f>
        <v>3.5275251945149999</v>
      </c>
      <c r="C5809">
        <v>63353</v>
      </c>
      <c r="D5809" t="s">
        <v>6650</v>
      </c>
      <c r="E5809">
        <v>61631</v>
      </c>
      <c r="F5809" t="s">
        <v>1638</v>
      </c>
      <c r="G5809">
        <v>616</v>
      </c>
      <c r="H5809" t="s">
        <v>108</v>
      </c>
      <c r="I5809">
        <v>6</v>
      </c>
      <c r="J5809" t="s">
        <v>101</v>
      </c>
    </row>
    <row r="5810" spans="1:10" x14ac:dyDescent="0.25">
      <c r="A5810" t="s">
        <v>150</v>
      </c>
      <c r="B5810">
        <f>37853.4700616409*(1/100/100)</f>
        <v>3.7853470061640904</v>
      </c>
      <c r="C5810">
        <v>63354</v>
      </c>
      <c r="D5810" t="s">
        <v>6624</v>
      </c>
      <c r="E5810">
        <v>61624</v>
      </c>
      <c r="F5810" t="s">
        <v>1632</v>
      </c>
      <c r="G5810">
        <v>616</v>
      </c>
      <c r="H5810" t="s">
        <v>108</v>
      </c>
      <c r="I5810">
        <v>6</v>
      </c>
      <c r="J5810" t="s">
        <v>101</v>
      </c>
    </row>
    <row r="5811" spans="1:10" x14ac:dyDescent="0.25">
      <c r="A5811" t="s">
        <v>150</v>
      </c>
      <c r="B5811">
        <f>173757.528612686*(1/100/100)</f>
        <v>17.375752861268602</v>
      </c>
      <c r="C5811">
        <v>63355</v>
      </c>
      <c r="D5811" t="s">
        <v>6078</v>
      </c>
      <c r="E5811">
        <v>61618</v>
      </c>
      <c r="F5811" t="s">
        <v>1630</v>
      </c>
      <c r="G5811">
        <v>616</v>
      </c>
      <c r="H5811" t="s">
        <v>108</v>
      </c>
      <c r="I5811">
        <v>6</v>
      </c>
      <c r="J5811" t="s">
        <v>101</v>
      </c>
    </row>
    <row r="5812" spans="1:10" x14ac:dyDescent="0.25">
      <c r="A5812" t="s">
        <v>150</v>
      </c>
      <c r="B5812">
        <f>42168.6254092759*(1/100/100)</f>
        <v>4.2168625409275897</v>
      </c>
      <c r="C5812">
        <v>63356</v>
      </c>
      <c r="D5812" t="s">
        <v>6654</v>
      </c>
      <c r="E5812">
        <v>61632</v>
      </c>
      <c r="F5812" t="s">
        <v>1639</v>
      </c>
      <c r="G5812">
        <v>616</v>
      </c>
      <c r="H5812" t="s">
        <v>108</v>
      </c>
      <c r="I5812">
        <v>6</v>
      </c>
      <c r="J5812" t="s">
        <v>101</v>
      </c>
    </row>
    <row r="5813" spans="1:10" x14ac:dyDescent="0.25">
      <c r="A5813" t="s">
        <v>150</v>
      </c>
      <c r="B5813">
        <f>42552.3737102434*(1/100/100)</f>
        <v>4.2552373710243403</v>
      </c>
      <c r="C5813">
        <v>63357</v>
      </c>
      <c r="D5813" t="s">
        <v>6664</v>
      </c>
      <c r="E5813">
        <v>61633</v>
      </c>
      <c r="F5813" t="s">
        <v>1640</v>
      </c>
      <c r="G5813">
        <v>616</v>
      </c>
      <c r="H5813" t="s">
        <v>108</v>
      </c>
      <c r="I5813">
        <v>6</v>
      </c>
      <c r="J5813" t="s">
        <v>101</v>
      </c>
    </row>
    <row r="5814" spans="1:10" x14ac:dyDescent="0.25">
      <c r="A5814" t="s">
        <v>150</v>
      </c>
      <c r="B5814">
        <f>54332.6464904175*(1/100/100)</f>
        <v>5.4332646490417504</v>
      </c>
      <c r="C5814">
        <v>63358</v>
      </c>
      <c r="D5814" t="s">
        <v>2218</v>
      </c>
      <c r="E5814">
        <v>61621</v>
      </c>
      <c r="F5814" t="s">
        <v>1631</v>
      </c>
      <c r="G5814">
        <v>616</v>
      </c>
      <c r="H5814" t="s">
        <v>108</v>
      </c>
      <c r="I5814">
        <v>6</v>
      </c>
      <c r="J5814" t="s">
        <v>101</v>
      </c>
    </row>
    <row r="5815" spans="1:10" x14ac:dyDescent="0.25">
      <c r="A5815" t="s">
        <v>150</v>
      </c>
      <c r="B5815">
        <f>14441.1402325925*(1/100/100)</f>
        <v>1.44411402325925</v>
      </c>
      <c r="C5815">
        <v>63359</v>
      </c>
      <c r="D5815" t="s">
        <v>6655</v>
      </c>
      <c r="E5815">
        <v>61632</v>
      </c>
      <c r="F5815" t="s">
        <v>1639</v>
      </c>
      <c r="G5815">
        <v>616</v>
      </c>
      <c r="H5815" t="s">
        <v>108</v>
      </c>
      <c r="I5815">
        <v>6</v>
      </c>
      <c r="J5815" t="s">
        <v>101</v>
      </c>
    </row>
    <row r="5816" spans="1:10" x14ac:dyDescent="0.25">
      <c r="A5816" t="s">
        <v>150</v>
      </c>
      <c r="B5816">
        <f>101864.168116545*(1/100/100)</f>
        <v>10.1864168116545</v>
      </c>
      <c r="C5816">
        <v>63360</v>
      </c>
      <c r="D5816" t="s">
        <v>6638</v>
      </c>
      <c r="E5816">
        <v>61628</v>
      </c>
      <c r="F5816" t="s">
        <v>1635</v>
      </c>
      <c r="G5816">
        <v>616</v>
      </c>
      <c r="H5816" t="s">
        <v>108</v>
      </c>
      <c r="I5816">
        <v>6</v>
      </c>
      <c r="J5816" t="s">
        <v>101</v>
      </c>
    </row>
    <row r="5817" spans="1:10" x14ac:dyDescent="0.25">
      <c r="A5817" t="s">
        <v>150</v>
      </c>
      <c r="B5817">
        <f>18197.9023610602*(1/100/100)</f>
        <v>1.8197902361060203</v>
      </c>
      <c r="C5817">
        <v>63361</v>
      </c>
      <c r="D5817" t="s">
        <v>4272</v>
      </c>
      <c r="E5817">
        <v>61628</v>
      </c>
      <c r="F5817" t="s">
        <v>1635</v>
      </c>
      <c r="G5817">
        <v>616</v>
      </c>
      <c r="H5817" t="s">
        <v>108</v>
      </c>
      <c r="I5817">
        <v>6</v>
      </c>
      <c r="J5817" t="s">
        <v>101</v>
      </c>
    </row>
    <row r="5818" spans="1:10" x14ac:dyDescent="0.25">
      <c r="A5818" t="s">
        <v>150</v>
      </c>
      <c r="B5818">
        <f>46718.4368823599*(1/100/100)</f>
        <v>4.6718436882359899</v>
      </c>
      <c r="C5818">
        <v>63362</v>
      </c>
      <c r="D5818" t="s">
        <v>6628</v>
      </c>
      <c r="E5818">
        <v>61625</v>
      </c>
      <c r="F5818" t="s">
        <v>108</v>
      </c>
      <c r="G5818">
        <v>616</v>
      </c>
      <c r="H5818" t="s">
        <v>108</v>
      </c>
      <c r="I5818">
        <v>6</v>
      </c>
      <c r="J5818" t="s">
        <v>101</v>
      </c>
    </row>
    <row r="5819" spans="1:10" x14ac:dyDescent="0.25">
      <c r="A5819" t="s">
        <v>150</v>
      </c>
      <c r="B5819">
        <f>124847.839552052*(1/100/100)</f>
        <v>12.4847839552052</v>
      </c>
      <c r="C5819">
        <v>63363</v>
      </c>
      <c r="D5819" t="s">
        <v>1632</v>
      </c>
      <c r="E5819">
        <v>61624</v>
      </c>
      <c r="F5819" t="s">
        <v>1632</v>
      </c>
      <c r="G5819">
        <v>616</v>
      </c>
      <c r="H5819" t="s">
        <v>108</v>
      </c>
      <c r="I5819">
        <v>6</v>
      </c>
      <c r="J5819" t="s">
        <v>101</v>
      </c>
    </row>
    <row r="5820" spans="1:10" x14ac:dyDescent="0.25">
      <c r="A5820" t="s">
        <v>150</v>
      </c>
      <c r="B5820">
        <f>105409.926409494*(1/100/100)</f>
        <v>10.540992640949401</v>
      </c>
      <c r="C5820">
        <v>63364</v>
      </c>
      <c r="D5820" t="s">
        <v>2230</v>
      </c>
      <c r="E5820">
        <v>61612</v>
      </c>
      <c r="F5820" t="s">
        <v>1628</v>
      </c>
      <c r="G5820">
        <v>616</v>
      </c>
      <c r="H5820" t="s">
        <v>108</v>
      </c>
      <c r="I5820">
        <v>6</v>
      </c>
      <c r="J5820" t="s">
        <v>101</v>
      </c>
    </row>
    <row r="5821" spans="1:10" x14ac:dyDescent="0.25">
      <c r="A5821" t="s">
        <v>150</v>
      </c>
      <c r="B5821">
        <f>100999.749872725*(1/100/100)</f>
        <v>10.099974987272502</v>
      </c>
      <c r="C5821">
        <v>63365</v>
      </c>
      <c r="D5821" t="s">
        <v>6618</v>
      </c>
      <c r="E5821">
        <v>61615</v>
      </c>
      <c r="F5821" t="s">
        <v>1629</v>
      </c>
      <c r="G5821">
        <v>616</v>
      </c>
      <c r="H5821" t="s">
        <v>108</v>
      </c>
      <c r="I5821">
        <v>6</v>
      </c>
      <c r="J5821" t="s">
        <v>101</v>
      </c>
    </row>
    <row r="5822" spans="1:10" x14ac:dyDescent="0.25">
      <c r="A5822" t="s">
        <v>150</v>
      </c>
      <c r="B5822">
        <f>49459.5472072241*(1/100/100)</f>
        <v>4.9459547207224102</v>
      </c>
      <c r="C5822">
        <v>63366</v>
      </c>
      <c r="D5822" t="s">
        <v>6629</v>
      </c>
      <c r="E5822">
        <v>61625</v>
      </c>
      <c r="F5822" t="s">
        <v>108</v>
      </c>
      <c r="G5822">
        <v>616</v>
      </c>
      <c r="H5822" t="s">
        <v>108</v>
      </c>
      <c r="I5822">
        <v>6</v>
      </c>
      <c r="J5822" t="s">
        <v>101</v>
      </c>
    </row>
    <row r="5823" spans="1:10" x14ac:dyDescent="0.25">
      <c r="A5823" t="s">
        <v>150</v>
      </c>
      <c r="B5823">
        <f>132981.975841094*(1/100/100)</f>
        <v>13.298197584109403</v>
      </c>
      <c r="C5823">
        <v>63367</v>
      </c>
      <c r="D5823" t="s">
        <v>6630</v>
      </c>
      <c r="E5823">
        <v>61625</v>
      </c>
      <c r="F5823" t="s">
        <v>108</v>
      </c>
      <c r="G5823">
        <v>616</v>
      </c>
      <c r="H5823" t="s">
        <v>108</v>
      </c>
      <c r="I5823">
        <v>6</v>
      </c>
      <c r="J5823" t="s">
        <v>101</v>
      </c>
    </row>
    <row r="5824" spans="1:10" x14ac:dyDescent="0.25">
      <c r="A5824" t="s">
        <v>150</v>
      </c>
      <c r="B5824">
        <f>56681.2067043087*(1/100/100)</f>
        <v>5.66812067043087</v>
      </c>
      <c r="C5824">
        <v>63368</v>
      </c>
      <c r="D5824" t="s">
        <v>2480</v>
      </c>
      <c r="E5824">
        <v>61612</v>
      </c>
      <c r="F5824" t="s">
        <v>1628</v>
      </c>
      <c r="G5824">
        <v>616</v>
      </c>
      <c r="H5824" t="s">
        <v>108</v>
      </c>
      <c r="I5824">
        <v>6</v>
      </c>
      <c r="J5824" t="s">
        <v>101</v>
      </c>
    </row>
    <row r="5825" spans="1:10" x14ac:dyDescent="0.25">
      <c r="A5825" t="s">
        <v>150</v>
      </c>
      <c r="B5825">
        <f>318574.713843135*(1/100/100)</f>
        <v>31.857471384313499</v>
      </c>
      <c r="C5825">
        <v>63369</v>
      </c>
      <c r="D5825" t="s">
        <v>6631</v>
      </c>
      <c r="E5825">
        <v>61625</v>
      </c>
      <c r="F5825" t="s">
        <v>108</v>
      </c>
      <c r="G5825">
        <v>616</v>
      </c>
      <c r="H5825" t="s">
        <v>108</v>
      </c>
      <c r="I5825">
        <v>6</v>
      </c>
      <c r="J5825" t="s">
        <v>101</v>
      </c>
    </row>
    <row r="5826" spans="1:10" x14ac:dyDescent="0.25">
      <c r="A5826" t="s">
        <v>150</v>
      </c>
      <c r="B5826">
        <f>37434.347201075*(1/100/100)</f>
        <v>3.7434347201075</v>
      </c>
      <c r="C5826">
        <v>63370</v>
      </c>
      <c r="D5826" t="s">
        <v>6619</v>
      </c>
      <c r="E5826">
        <v>61615</v>
      </c>
      <c r="F5826" t="s">
        <v>1629</v>
      </c>
      <c r="G5826">
        <v>616</v>
      </c>
      <c r="H5826" t="s">
        <v>108</v>
      </c>
      <c r="I5826">
        <v>6</v>
      </c>
      <c r="J5826" t="s">
        <v>101</v>
      </c>
    </row>
    <row r="5827" spans="1:10" x14ac:dyDescent="0.25">
      <c r="A5827" t="s">
        <v>150</v>
      </c>
      <c r="B5827">
        <f>28210.6416117379*(1/100/100)</f>
        <v>2.8210641611737901</v>
      </c>
      <c r="C5827">
        <v>64001</v>
      </c>
      <c r="D5827" t="s">
        <v>1659</v>
      </c>
      <c r="E5827">
        <v>62247</v>
      </c>
      <c r="F5827" t="s">
        <v>1724</v>
      </c>
      <c r="G5827">
        <v>622</v>
      </c>
      <c r="H5827" t="s">
        <v>112</v>
      </c>
      <c r="I5827">
        <v>6</v>
      </c>
      <c r="J5827" t="s">
        <v>101</v>
      </c>
    </row>
    <row r="5828" spans="1:10" x14ac:dyDescent="0.25">
      <c r="A5828" t="s">
        <v>150</v>
      </c>
      <c r="B5828">
        <f>51830.6169453986*(1/100/100)</f>
        <v>5.1830616945398607</v>
      </c>
      <c r="C5828">
        <v>64002</v>
      </c>
      <c r="D5828" t="s">
        <v>994</v>
      </c>
      <c r="E5828">
        <v>62245</v>
      </c>
      <c r="F5828" t="s">
        <v>1723</v>
      </c>
      <c r="G5828">
        <v>622</v>
      </c>
      <c r="H5828" t="s">
        <v>112</v>
      </c>
      <c r="I5828">
        <v>6</v>
      </c>
      <c r="J5828" t="s">
        <v>101</v>
      </c>
    </row>
    <row r="5829" spans="1:10" x14ac:dyDescent="0.25">
      <c r="A5829" t="s">
        <v>150</v>
      </c>
      <c r="B5829">
        <f>26938.4164925114*(1/100/100)</f>
        <v>2.6938416492511399</v>
      </c>
      <c r="C5829">
        <v>64003</v>
      </c>
      <c r="D5829" t="s">
        <v>254</v>
      </c>
      <c r="E5829">
        <v>62233</v>
      </c>
      <c r="F5829" t="s">
        <v>1719</v>
      </c>
      <c r="G5829">
        <v>622</v>
      </c>
      <c r="H5829" t="s">
        <v>112</v>
      </c>
      <c r="I5829">
        <v>6</v>
      </c>
      <c r="J5829" t="s">
        <v>101</v>
      </c>
    </row>
    <row r="5830" spans="1:10" x14ac:dyDescent="0.25">
      <c r="A5830" t="s">
        <v>150</v>
      </c>
      <c r="B5830">
        <f>93410.5358841181*(1/100/100)</f>
        <v>9.3410535884118104</v>
      </c>
      <c r="C5830">
        <v>64004</v>
      </c>
      <c r="D5830" t="s">
        <v>1729</v>
      </c>
      <c r="E5830">
        <v>62265</v>
      </c>
      <c r="F5830" t="s">
        <v>1729</v>
      </c>
      <c r="G5830">
        <v>622</v>
      </c>
      <c r="H5830" t="s">
        <v>112</v>
      </c>
      <c r="I5830">
        <v>6</v>
      </c>
      <c r="J5830" t="s">
        <v>101</v>
      </c>
    </row>
    <row r="5831" spans="1:10" x14ac:dyDescent="0.25">
      <c r="A5831" t="s">
        <v>150</v>
      </c>
      <c r="B5831">
        <f>75760.6510010034*(1/100/100)</f>
        <v>7.5760651001003403</v>
      </c>
      <c r="C5831">
        <v>64005</v>
      </c>
      <c r="D5831" t="s">
        <v>6933</v>
      </c>
      <c r="E5831">
        <v>62211</v>
      </c>
      <c r="F5831" t="s">
        <v>1712</v>
      </c>
      <c r="G5831">
        <v>622</v>
      </c>
      <c r="H5831" t="s">
        <v>112</v>
      </c>
      <c r="I5831">
        <v>6</v>
      </c>
      <c r="J5831" t="s">
        <v>101</v>
      </c>
    </row>
    <row r="5832" spans="1:10" x14ac:dyDescent="0.25">
      <c r="A5832" t="s">
        <v>150</v>
      </c>
      <c r="B5832">
        <f>45364.4450132492*(1/100/100)</f>
        <v>4.5364445013249197</v>
      </c>
      <c r="C5832">
        <v>64006</v>
      </c>
      <c r="D5832" t="s">
        <v>6966</v>
      </c>
      <c r="E5832">
        <v>62247</v>
      </c>
      <c r="F5832" t="s">
        <v>1724</v>
      </c>
      <c r="G5832">
        <v>622</v>
      </c>
      <c r="H5832" t="s">
        <v>112</v>
      </c>
      <c r="I5832">
        <v>6</v>
      </c>
      <c r="J5832" t="s">
        <v>101</v>
      </c>
    </row>
    <row r="5833" spans="1:10" x14ac:dyDescent="0.25">
      <c r="A5833" t="s">
        <v>150</v>
      </c>
      <c r="B5833">
        <f>174689.957579423*(1/100/100)</f>
        <v>17.468995757942302</v>
      </c>
      <c r="C5833">
        <v>64007</v>
      </c>
      <c r="D5833" t="s">
        <v>1712</v>
      </c>
      <c r="E5833">
        <v>62211</v>
      </c>
      <c r="F5833" t="s">
        <v>1712</v>
      </c>
      <c r="G5833">
        <v>622</v>
      </c>
      <c r="H5833" t="s">
        <v>112</v>
      </c>
      <c r="I5833">
        <v>6</v>
      </c>
      <c r="J5833" t="s">
        <v>101</v>
      </c>
    </row>
    <row r="5834" spans="1:10" x14ac:dyDescent="0.25">
      <c r="A5834" t="s">
        <v>150</v>
      </c>
      <c r="B5834">
        <f>30476.5389185997*(1/100/100)</f>
        <v>3.0476538918599703</v>
      </c>
      <c r="C5834">
        <v>64008</v>
      </c>
      <c r="D5834" t="s">
        <v>6950</v>
      </c>
      <c r="E5834">
        <v>62233</v>
      </c>
      <c r="F5834" t="s">
        <v>1719</v>
      </c>
      <c r="G5834">
        <v>622</v>
      </c>
      <c r="H5834" t="s">
        <v>112</v>
      </c>
      <c r="I5834">
        <v>6</v>
      </c>
      <c r="J5834" t="s">
        <v>101</v>
      </c>
    </row>
    <row r="5835" spans="1:10" x14ac:dyDescent="0.25">
      <c r="A5835" t="s">
        <v>150</v>
      </c>
      <c r="B5835">
        <f>59937.4677629324*(1/100/100)</f>
        <v>5.9937467762932402</v>
      </c>
      <c r="C5835">
        <v>64009</v>
      </c>
      <c r="D5835" t="s">
        <v>3207</v>
      </c>
      <c r="E5835">
        <v>62265</v>
      </c>
      <c r="F5835" t="s">
        <v>1729</v>
      </c>
      <c r="G5835">
        <v>622</v>
      </c>
      <c r="H5835" t="s">
        <v>112</v>
      </c>
      <c r="I5835">
        <v>6</v>
      </c>
      <c r="J5835" t="s">
        <v>101</v>
      </c>
    </row>
    <row r="5836" spans="1:10" x14ac:dyDescent="0.25">
      <c r="A5836" t="s">
        <v>150</v>
      </c>
      <c r="B5836">
        <f>37836.3179576985*(1/100/100)</f>
        <v>3.7836317957698502</v>
      </c>
      <c r="C5836">
        <v>64010</v>
      </c>
      <c r="D5836" t="s">
        <v>6967</v>
      </c>
      <c r="E5836">
        <v>62247</v>
      </c>
      <c r="F5836" t="s">
        <v>1724</v>
      </c>
      <c r="G5836">
        <v>622</v>
      </c>
      <c r="H5836" t="s">
        <v>112</v>
      </c>
      <c r="I5836">
        <v>6</v>
      </c>
      <c r="J5836" t="s">
        <v>101</v>
      </c>
    </row>
    <row r="5837" spans="1:10" x14ac:dyDescent="0.25">
      <c r="A5837" t="s">
        <v>150</v>
      </c>
      <c r="B5837">
        <f>67403.2472234483*(1/100/100)</f>
        <v>6.7403247223448304</v>
      </c>
      <c r="C5837">
        <v>64011</v>
      </c>
      <c r="D5837" t="s">
        <v>6964</v>
      </c>
      <c r="E5837">
        <v>62245</v>
      </c>
      <c r="F5837" t="s">
        <v>1723</v>
      </c>
      <c r="G5837">
        <v>622</v>
      </c>
      <c r="H5837" t="s">
        <v>112</v>
      </c>
      <c r="I5837">
        <v>6</v>
      </c>
      <c r="J5837" t="s">
        <v>101</v>
      </c>
    </row>
    <row r="5838" spans="1:10" x14ac:dyDescent="0.25">
      <c r="A5838" t="s">
        <v>150</v>
      </c>
      <c r="B5838">
        <f>44470.5012014665*(1/100/100)</f>
        <v>4.4470501201466499</v>
      </c>
      <c r="C5838">
        <v>64012</v>
      </c>
      <c r="D5838" t="s">
        <v>5745</v>
      </c>
      <c r="E5838">
        <v>62265</v>
      </c>
      <c r="F5838" t="s">
        <v>1729</v>
      </c>
      <c r="G5838">
        <v>622</v>
      </c>
      <c r="H5838" t="s">
        <v>112</v>
      </c>
      <c r="I5838">
        <v>6</v>
      </c>
      <c r="J5838" t="s">
        <v>101</v>
      </c>
    </row>
    <row r="5839" spans="1:10" x14ac:dyDescent="0.25">
      <c r="A5839" t="s">
        <v>150</v>
      </c>
      <c r="B5839">
        <f>140144.8223468*(1/100/100)</f>
        <v>14.014482234680001</v>
      </c>
      <c r="C5839">
        <v>64013</v>
      </c>
      <c r="D5839" t="s">
        <v>1719</v>
      </c>
      <c r="E5839">
        <v>62233</v>
      </c>
      <c r="F5839" t="s">
        <v>1719</v>
      </c>
      <c r="G5839">
        <v>622</v>
      </c>
      <c r="H5839" t="s">
        <v>112</v>
      </c>
      <c r="I5839">
        <v>6</v>
      </c>
      <c r="J5839" t="s">
        <v>101</v>
      </c>
    </row>
    <row r="5840" spans="1:10" x14ac:dyDescent="0.25">
      <c r="A5840" t="s">
        <v>150</v>
      </c>
      <c r="B5840">
        <f>73018.3730870325*(1/100/100)</f>
        <v>7.3018373087032495</v>
      </c>
      <c r="C5840">
        <v>64014</v>
      </c>
      <c r="D5840" t="s">
        <v>6965</v>
      </c>
      <c r="E5840">
        <v>62245</v>
      </c>
      <c r="F5840" t="s">
        <v>1723</v>
      </c>
      <c r="G5840">
        <v>622</v>
      </c>
      <c r="H5840" t="s">
        <v>112</v>
      </c>
      <c r="I5840">
        <v>6</v>
      </c>
      <c r="J5840" t="s">
        <v>101</v>
      </c>
    </row>
    <row r="5841" spans="1:10" x14ac:dyDescent="0.25">
      <c r="A5841" t="s">
        <v>150</v>
      </c>
      <c r="B5841">
        <f>55155.7368073414*(1/100/100)</f>
        <v>5.5155736807341409</v>
      </c>
      <c r="C5841">
        <v>64015</v>
      </c>
      <c r="D5841" t="s">
        <v>1724</v>
      </c>
      <c r="E5841">
        <v>62247</v>
      </c>
      <c r="F5841" t="s">
        <v>1724</v>
      </c>
      <c r="G5841">
        <v>622</v>
      </c>
      <c r="H5841" t="s">
        <v>112</v>
      </c>
      <c r="I5841">
        <v>6</v>
      </c>
      <c r="J5841" t="s">
        <v>101</v>
      </c>
    </row>
    <row r="5842" spans="1:10" x14ac:dyDescent="0.25">
      <c r="A5842" t="s">
        <v>150</v>
      </c>
      <c r="B5842">
        <f>34350.123383638*(1/100/100)</f>
        <v>3.4350123383638</v>
      </c>
      <c r="C5842">
        <v>64016</v>
      </c>
      <c r="D5842" t="s">
        <v>6951</v>
      </c>
      <c r="E5842">
        <v>62233</v>
      </c>
      <c r="F5842" t="s">
        <v>1719</v>
      </c>
      <c r="G5842">
        <v>622</v>
      </c>
      <c r="H5842" t="s">
        <v>112</v>
      </c>
      <c r="I5842">
        <v>6</v>
      </c>
      <c r="J5842" t="s">
        <v>101</v>
      </c>
    </row>
    <row r="5843" spans="1:10" x14ac:dyDescent="0.25">
      <c r="A5843" t="s">
        <v>150</v>
      </c>
      <c r="B5843">
        <f>49021.4840597604*(1/100/100)</f>
        <v>4.9021484059760398</v>
      </c>
      <c r="C5843">
        <v>64017</v>
      </c>
      <c r="D5843" t="s">
        <v>3310</v>
      </c>
      <c r="E5843">
        <v>62265</v>
      </c>
      <c r="F5843" t="s">
        <v>1729</v>
      </c>
      <c r="G5843">
        <v>622</v>
      </c>
      <c r="H5843" t="s">
        <v>112</v>
      </c>
      <c r="I5843">
        <v>6</v>
      </c>
      <c r="J5843" t="s">
        <v>101</v>
      </c>
    </row>
    <row r="5844" spans="1:10" x14ac:dyDescent="0.25">
      <c r="A5844" t="s">
        <v>150</v>
      </c>
      <c r="B5844">
        <f>28708.5349869289*(1/100/100)</f>
        <v>2.87085349869289</v>
      </c>
      <c r="C5844">
        <v>64018</v>
      </c>
      <c r="D5844" t="s">
        <v>6934</v>
      </c>
      <c r="E5844">
        <v>62211</v>
      </c>
      <c r="F5844" t="s">
        <v>1712</v>
      </c>
      <c r="G5844">
        <v>622</v>
      </c>
      <c r="H5844" t="s">
        <v>112</v>
      </c>
      <c r="I5844">
        <v>6</v>
      </c>
      <c r="J5844" t="s">
        <v>101</v>
      </c>
    </row>
    <row r="5845" spans="1:10" x14ac:dyDescent="0.25">
      <c r="A5845" t="s">
        <v>150</v>
      </c>
      <c r="B5845">
        <f>42072.5216255516*(1/100/100)</f>
        <v>4.20725216255516</v>
      </c>
      <c r="C5845">
        <v>64019</v>
      </c>
      <c r="D5845" t="s">
        <v>5880</v>
      </c>
      <c r="E5845">
        <v>62233</v>
      </c>
      <c r="F5845" t="s">
        <v>1719</v>
      </c>
      <c r="G5845">
        <v>622</v>
      </c>
      <c r="H5845" t="s">
        <v>112</v>
      </c>
      <c r="I5845">
        <v>6</v>
      </c>
      <c r="J5845" t="s">
        <v>101</v>
      </c>
    </row>
    <row r="5846" spans="1:10" x14ac:dyDescent="0.25">
      <c r="A5846" t="s">
        <v>150</v>
      </c>
      <c r="B5846">
        <f>29335.2431021626*(1/100/100)</f>
        <v>2.93352431021626</v>
      </c>
      <c r="C5846">
        <v>64020</v>
      </c>
      <c r="D5846" t="s">
        <v>6952</v>
      </c>
      <c r="E5846">
        <v>62233</v>
      </c>
      <c r="F5846" t="s">
        <v>1719</v>
      </c>
      <c r="G5846">
        <v>622</v>
      </c>
      <c r="H5846" t="s">
        <v>112</v>
      </c>
      <c r="I5846">
        <v>6</v>
      </c>
      <c r="J5846" t="s">
        <v>101</v>
      </c>
    </row>
    <row r="5847" spans="1:10" x14ac:dyDescent="0.25">
      <c r="A5847" t="s">
        <v>150</v>
      </c>
      <c r="B5847">
        <f>23619.1386251267*(1/100/100)</f>
        <v>2.3619138625126701</v>
      </c>
      <c r="C5847">
        <v>64021</v>
      </c>
      <c r="D5847" t="s">
        <v>6953</v>
      </c>
      <c r="E5847">
        <v>62233</v>
      </c>
      <c r="F5847" t="s">
        <v>1719</v>
      </c>
      <c r="G5847">
        <v>622</v>
      </c>
      <c r="H5847" t="s">
        <v>112</v>
      </c>
      <c r="I5847">
        <v>6</v>
      </c>
      <c r="J5847" t="s">
        <v>101</v>
      </c>
    </row>
    <row r="5848" spans="1:10" x14ac:dyDescent="0.25">
      <c r="A5848" t="s">
        <v>150</v>
      </c>
      <c r="B5848">
        <f>71376.7225047015*(1/100/100)</f>
        <v>7.1376722504701497</v>
      </c>
      <c r="C5848">
        <v>64022</v>
      </c>
      <c r="D5848" t="s">
        <v>6954</v>
      </c>
      <c r="E5848">
        <v>62233</v>
      </c>
      <c r="F5848" t="s">
        <v>1719</v>
      </c>
      <c r="G5848">
        <v>622</v>
      </c>
      <c r="H5848" t="s">
        <v>112</v>
      </c>
      <c r="I5848">
        <v>6</v>
      </c>
      <c r="J5848" t="s">
        <v>101</v>
      </c>
    </row>
    <row r="5849" spans="1:10" x14ac:dyDescent="0.25">
      <c r="A5849" t="s">
        <v>150</v>
      </c>
      <c r="B5849">
        <f>25522.3540830619*(1/100/100)</f>
        <v>2.5522354083061898</v>
      </c>
      <c r="C5849">
        <v>64023</v>
      </c>
      <c r="D5849" t="s">
        <v>3142</v>
      </c>
      <c r="E5849">
        <v>62247</v>
      </c>
      <c r="F5849" t="s">
        <v>1724</v>
      </c>
      <c r="G5849">
        <v>622</v>
      </c>
      <c r="H5849" t="s">
        <v>112</v>
      </c>
      <c r="I5849">
        <v>6</v>
      </c>
      <c r="J5849" t="s">
        <v>101</v>
      </c>
    </row>
    <row r="5850" spans="1:10" x14ac:dyDescent="0.25">
      <c r="A5850" t="s">
        <v>150</v>
      </c>
      <c r="B5850">
        <f>65236.2053852659*(1/100/100)</f>
        <v>6.5236205385265906</v>
      </c>
      <c r="C5850">
        <v>64101</v>
      </c>
      <c r="D5850" t="s">
        <v>6983</v>
      </c>
      <c r="E5850">
        <v>62266</v>
      </c>
      <c r="F5850" t="s">
        <v>1730</v>
      </c>
      <c r="G5850">
        <v>622</v>
      </c>
      <c r="H5850" t="s">
        <v>112</v>
      </c>
      <c r="I5850">
        <v>6</v>
      </c>
      <c r="J5850" t="s">
        <v>101</v>
      </c>
    </row>
    <row r="5851" spans="1:10" x14ac:dyDescent="0.25">
      <c r="A5851" t="s">
        <v>150</v>
      </c>
      <c r="B5851">
        <f>110058.71430322*(1/100/100)</f>
        <v>11.005871430321999</v>
      </c>
      <c r="C5851">
        <v>64102</v>
      </c>
      <c r="D5851" t="s">
        <v>7005</v>
      </c>
      <c r="E5851">
        <v>62272</v>
      </c>
      <c r="F5851" t="s">
        <v>1736</v>
      </c>
      <c r="G5851">
        <v>622</v>
      </c>
      <c r="H5851" t="s">
        <v>112</v>
      </c>
      <c r="I5851">
        <v>6</v>
      </c>
      <c r="J5851" t="s">
        <v>101</v>
      </c>
    </row>
    <row r="5852" spans="1:10" x14ac:dyDescent="0.25">
      <c r="A5852" t="s">
        <v>150</v>
      </c>
      <c r="B5852">
        <f>115442.028857351*(1/100/100)</f>
        <v>11.544202885735102</v>
      </c>
      <c r="C5852">
        <v>64103</v>
      </c>
      <c r="D5852" t="s">
        <v>1711</v>
      </c>
      <c r="E5852">
        <v>62209</v>
      </c>
      <c r="F5852" t="s">
        <v>1711</v>
      </c>
      <c r="G5852">
        <v>622</v>
      </c>
      <c r="H5852" t="s">
        <v>112</v>
      </c>
      <c r="I5852">
        <v>6</v>
      </c>
      <c r="J5852" t="s">
        <v>101</v>
      </c>
    </row>
    <row r="5853" spans="1:10" x14ac:dyDescent="0.25">
      <c r="A5853" t="s">
        <v>150</v>
      </c>
      <c r="B5853">
        <f>88732.2889973476*(1/100/100)</f>
        <v>8.8732288997347606</v>
      </c>
      <c r="C5853">
        <v>64104</v>
      </c>
      <c r="D5853" t="s">
        <v>933</v>
      </c>
      <c r="E5853">
        <v>62219</v>
      </c>
      <c r="F5853" t="s">
        <v>1715</v>
      </c>
      <c r="G5853">
        <v>622</v>
      </c>
      <c r="H5853" t="s">
        <v>112</v>
      </c>
      <c r="I5853">
        <v>6</v>
      </c>
      <c r="J5853" t="s">
        <v>101</v>
      </c>
    </row>
    <row r="5854" spans="1:10" x14ac:dyDescent="0.25">
      <c r="A5854" t="s">
        <v>150</v>
      </c>
      <c r="B5854">
        <f>58524.176547344*(1/100/100)</f>
        <v>5.8524176547344009</v>
      </c>
      <c r="C5854">
        <v>64105</v>
      </c>
      <c r="D5854" t="s">
        <v>6992</v>
      </c>
      <c r="E5854">
        <v>62268</v>
      </c>
      <c r="F5854" t="s">
        <v>1732</v>
      </c>
      <c r="G5854">
        <v>622</v>
      </c>
      <c r="H5854" t="s">
        <v>112</v>
      </c>
      <c r="I5854">
        <v>6</v>
      </c>
      <c r="J5854" t="s">
        <v>101</v>
      </c>
    </row>
    <row r="5855" spans="1:10" x14ac:dyDescent="0.25">
      <c r="A5855" t="s">
        <v>150</v>
      </c>
      <c r="B5855">
        <f>96890.3292224502*(1/100/100)</f>
        <v>9.6890329222450191</v>
      </c>
      <c r="C5855">
        <v>64106</v>
      </c>
      <c r="D5855" t="s">
        <v>6942</v>
      </c>
      <c r="E5855">
        <v>62220</v>
      </c>
      <c r="F5855" t="s">
        <v>1716</v>
      </c>
      <c r="G5855">
        <v>622</v>
      </c>
      <c r="H5855" t="s">
        <v>112</v>
      </c>
      <c r="I5855">
        <v>6</v>
      </c>
      <c r="J5855" t="s">
        <v>101</v>
      </c>
    </row>
    <row r="5856" spans="1:10" x14ac:dyDescent="0.25">
      <c r="A5856" t="s">
        <v>150</v>
      </c>
      <c r="B5856">
        <f>28128.3060012796*(1/100/100)</f>
        <v>2.8128306001279602</v>
      </c>
      <c r="C5856">
        <v>64107</v>
      </c>
      <c r="D5856" t="s">
        <v>6924</v>
      </c>
      <c r="E5856">
        <v>62205</v>
      </c>
      <c r="F5856" t="s">
        <v>1709</v>
      </c>
      <c r="G5856">
        <v>622</v>
      </c>
      <c r="H5856" t="s">
        <v>112</v>
      </c>
      <c r="I5856">
        <v>6</v>
      </c>
      <c r="J5856" t="s">
        <v>101</v>
      </c>
    </row>
    <row r="5857" spans="1:10" x14ac:dyDescent="0.25">
      <c r="A5857" t="s">
        <v>150</v>
      </c>
      <c r="B5857">
        <f>75735.522741649*(1/100/100)</f>
        <v>7.5735522741649</v>
      </c>
      <c r="C5857">
        <v>64108</v>
      </c>
      <c r="D5857" t="s">
        <v>6993</v>
      </c>
      <c r="E5857">
        <v>62268</v>
      </c>
      <c r="F5857" t="s">
        <v>1732</v>
      </c>
      <c r="G5857">
        <v>622</v>
      </c>
      <c r="H5857" t="s">
        <v>112</v>
      </c>
      <c r="I5857">
        <v>6</v>
      </c>
      <c r="J5857" t="s">
        <v>101</v>
      </c>
    </row>
    <row r="5858" spans="1:10" x14ac:dyDescent="0.25">
      <c r="A5858" t="s">
        <v>150</v>
      </c>
      <c r="B5858">
        <f>132024.673430314*(1/100/100)</f>
        <v>13.202467343031401</v>
      </c>
      <c r="C5858">
        <v>64109</v>
      </c>
      <c r="D5858" t="s">
        <v>2348</v>
      </c>
      <c r="E5858">
        <v>62268</v>
      </c>
      <c r="F5858" t="s">
        <v>1732</v>
      </c>
      <c r="G5858">
        <v>622</v>
      </c>
      <c r="H5858" t="s">
        <v>112</v>
      </c>
      <c r="I5858">
        <v>6</v>
      </c>
      <c r="J5858" t="s">
        <v>101</v>
      </c>
    </row>
    <row r="5859" spans="1:10" x14ac:dyDescent="0.25">
      <c r="A5859" t="s">
        <v>150</v>
      </c>
      <c r="B5859">
        <f>150563.825231349*(1/100/100)</f>
        <v>15.056382523134902</v>
      </c>
      <c r="C5859">
        <v>64110</v>
      </c>
      <c r="D5859" t="s">
        <v>6938</v>
      </c>
      <c r="E5859">
        <v>62219</v>
      </c>
      <c r="F5859" t="s">
        <v>1715</v>
      </c>
      <c r="G5859">
        <v>622</v>
      </c>
      <c r="H5859" t="s">
        <v>112</v>
      </c>
      <c r="I5859">
        <v>6</v>
      </c>
      <c r="J5859" t="s">
        <v>101</v>
      </c>
    </row>
    <row r="5860" spans="1:10" x14ac:dyDescent="0.25">
      <c r="A5860" t="s">
        <v>150</v>
      </c>
      <c r="B5860">
        <f>30821.9769096513*(1/100/100)</f>
        <v>3.0821976909651303</v>
      </c>
      <c r="C5860">
        <v>64111</v>
      </c>
      <c r="D5860" t="s">
        <v>4321</v>
      </c>
      <c r="E5860">
        <v>62219</v>
      </c>
      <c r="F5860" t="s">
        <v>1715</v>
      </c>
      <c r="G5860">
        <v>622</v>
      </c>
      <c r="H5860" t="s">
        <v>112</v>
      </c>
      <c r="I5860">
        <v>6</v>
      </c>
      <c r="J5860" t="s">
        <v>101</v>
      </c>
    </row>
    <row r="5861" spans="1:10" x14ac:dyDescent="0.25">
      <c r="A5861" t="s">
        <v>150</v>
      </c>
      <c r="B5861">
        <f>85449.437871467*(1/100/100)</f>
        <v>8.5449437871466998</v>
      </c>
      <c r="C5861">
        <v>64112</v>
      </c>
      <c r="D5861" t="s">
        <v>2630</v>
      </c>
      <c r="E5861">
        <v>62270</v>
      </c>
      <c r="F5861" t="s">
        <v>1734</v>
      </c>
      <c r="G5861">
        <v>622</v>
      </c>
      <c r="H5861" t="s">
        <v>112</v>
      </c>
      <c r="I5861">
        <v>6</v>
      </c>
      <c r="J5861" t="s">
        <v>101</v>
      </c>
    </row>
    <row r="5862" spans="1:10" x14ac:dyDescent="0.25">
      <c r="A5862" t="s">
        <v>150</v>
      </c>
      <c r="B5862">
        <f>48957.9224111987*(1/100/100)</f>
        <v>4.89579224111987</v>
      </c>
      <c r="C5862">
        <v>64113</v>
      </c>
      <c r="D5862" t="s">
        <v>1715</v>
      </c>
      <c r="E5862">
        <v>62219</v>
      </c>
      <c r="F5862" t="s">
        <v>1715</v>
      </c>
      <c r="G5862">
        <v>622</v>
      </c>
      <c r="H5862" t="s">
        <v>112</v>
      </c>
      <c r="I5862">
        <v>6</v>
      </c>
      <c r="J5862" t="s">
        <v>101</v>
      </c>
    </row>
    <row r="5863" spans="1:10" x14ac:dyDescent="0.25">
      <c r="A5863" t="s">
        <v>150</v>
      </c>
      <c r="B5863">
        <f>188350.143476584*(1/100/100)</f>
        <v>18.835014347658401</v>
      </c>
      <c r="C5863">
        <v>64114</v>
      </c>
      <c r="D5863" t="s">
        <v>1734</v>
      </c>
      <c r="E5863">
        <v>62270</v>
      </c>
      <c r="F5863" t="s">
        <v>1734</v>
      </c>
      <c r="G5863">
        <v>622</v>
      </c>
      <c r="H5863" t="s">
        <v>112</v>
      </c>
      <c r="I5863">
        <v>6</v>
      </c>
      <c r="J5863" t="s">
        <v>101</v>
      </c>
    </row>
    <row r="5864" spans="1:10" x14ac:dyDescent="0.25">
      <c r="A5864" t="s">
        <v>150</v>
      </c>
      <c r="B5864">
        <f>75596.4867632619*(1/100/100)</f>
        <v>7.5596486763261899</v>
      </c>
      <c r="C5864">
        <v>64115</v>
      </c>
      <c r="D5864" t="s">
        <v>4355</v>
      </c>
      <c r="E5864">
        <v>62266</v>
      </c>
      <c r="F5864" t="s">
        <v>1730</v>
      </c>
      <c r="G5864">
        <v>622</v>
      </c>
      <c r="H5864" t="s">
        <v>112</v>
      </c>
      <c r="I5864">
        <v>6</v>
      </c>
      <c r="J5864" t="s">
        <v>101</v>
      </c>
    </row>
    <row r="5865" spans="1:10" x14ac:dyDescent="0.25">
      <c r="A5865" t="s">
        <v>150</v>
      </c>
      <c r="B5865">
        <f>43672.2317688012*(1/100/100)</f>
        <v>4.3672231768801195</v>
      </c>
      <c r="C5865">
        <v>64116</v>
      </c>
      <c r="D5865" t="s">
        <v>6977</v>
      </c>
      <c r="E5865">
        <v>62264</v>
      </c>
      <c r="F5865" t="s">
        <v>1728</v>
      </c>
      <c r="G5865">
        <v>622</v>
      </c>
      <c r="H5865" t="s">
        <v>112</v>
      </c>
      <c r="I5865">
        <v>6</v>
      </c>
      <c r="J5865" t="s">
        <v>101</v>
      </c>
    </row>
    <row r="5866" spans="1:10" x14ac:dyDescent="0.25">
      <c r="A5866" t="s">
        <v>150</v>
      </c>
      <c r="B5866">
        <f>55543.7156995169*(1/100/100)</f>
        <v>5.55437156995169</v>
      </c>
      <c r="C5866">
        <v>64117</v>
      </c>
      <c r="D5866" t="s">
        <v>6925</v>
      </c>
      <c r="E5866">
        <v>62205</v>
      </c>
      <c r="F5866" t="s">
        <v>1709</v>
      </c>
      <c r="G5866">
        <v>622</v>
      </c>
      <c r="H5866" t="s">
        <v>112</v>
      </c>
      <c r="I5866">
        <v>6</v>
      </c>
      <c r="J5866" t="s">
        <v>101</v>
      </c>
    </row>
    <row r="5867" spans="1:10" x14ac:dyDescent="0.25">
      <c r="A5867" t="s">
        <v>150</v>
      </c>
      <c r="B5867">
        <f>50033.0698032577*(1/100/100)</f>
        <v>5.0033069803257701</v>
      </c>
      <c r="C5867">
        <v>64118</v>
      </c>
      <c r="D5867" t="s">
        <v>6984</v>
      </c>
      <c r="E5867">
        <v>62266</v>
      </c>
      <c r="F5867" t="s">
        <v>1730</v>
      </c>
      <c r="G5867">
        <v>622</v>
      </c>
      <c r="H5867" t="s">
        <v>112</v>
      </c>
      <c r="I5867">
        <v>6</v>
      </c>
      <c r="J5867" t="s">
        <v>101</v>
      </c>
    </row>
    <row r="5868" spans="1:10" x14ac:dyDescent="0.25">
      <c r="A5868" t="s">
        <v>150</v>
      </c>
      <c r="B5868">
        <f>159303.027264591*(1/100/100)</f>
        <v>15.9303027264591</v>
      </c>
      <c r="C5868">
        <v>64119</v>
      </c>
      <c r="D5868" t="s">
        <v>1736</v>
      </c>
      <c r="E5868">
        <v>62272</v>
      </c>
      <c r="F5868" t="s">
        <v>1736</v>
      </c>
      <c r="G5868">
        <v>622</v>
      </c>
      <c r="H5868" t="s">
        <v>112</v>
      </c>
      <c r="I5868">
        <v>6</v>
      </c>
      <c r="J5868" t="s">
        <v>101</v>
      </c>
    </row>
    <row r="5869" spans="1:10" x14ac:dyDescent="0.25">
      <c r="A5869" t="s">
        <v>150</v>
      </c>
      <c r="B5869">
        <f>113046.605387742*(1/100/100)</f>
        <v>11.304660538774201</v>
      </c>
      <c r="C5869">
        <v>64120</v>
      </c>
      <c r="D5869" t="s">
        <v>5652</v>
      </c>
      <c r="E5869">
        <v>62272</v>
      </c>
      <c r="F5869" t="s">
        <v>1736</v>
      </c>
      <c r="G5869">
        <v>622</v>
      </c>
      <c r="H5869" t="s">
        <v>112</v>
      </c>
      <c r="I5869">
        <v>6</v>
      </c>
      <c r="J5869" t="s">
        <v>101</v>
      </c>
    </row>
    <row r="5870" spans="1:10" x14ac:dyDescent="0.25">
      <c r="A5870" t="s">
        <v>150</v>
      </c>
      <c r="B5870">
        <f>12055.1405113535*(1/100/100)</f>
        <v>1.2055140511353502</v>
      </c>
      <c r="C5870">
        <v>64121</v>
      </c>
      <c r="D5870" t="s">
        <v>6926</v>
      </c>
      <c r="E5870">
        <v>62205</v>
      </c>
      <c r="F5870" t="s">
        <v>1709</v>
      </c>
      <c r="G5870">
        <v>622</v>
      </c>
      <c r="H5870" t="s">
        <v>112</v>
      </c>
      <c r="I5870">
        <v>6</v>
      </c>
      <c r="J5870" t="s">
        <v>101</v>
      </c>
    </row>
    <row r="5871" spans="1:10" x14ac:dyDescent="0.25">
      <c r="A5871" t="s">
        <v>150</v>
      </c>
      <c r="B5871">
        <f>105953.589920467*(1/100/100)</f>
        <v>10.5953589920467</v>
      </c>
      <c r="C5871">
        <v>64122</v>
      </c>
      <c r="D5871" t="s">
        <v>1717</v>
      </c>
      <c r="E5871">
        <v>62226</v>
      </c>
      <c r="F5871" t="s">
        <v>1717</v>
      </c>
      <c r="G5871">
        <v>622</v>
      </c>
      <c r="H5871" t="s">
        <v>112</v>
      </c>
      <c r="I5871">
        <v>6</v>
      </c>
      <c r="J5871" t="s">
        <v>101</v>
      </c>
    </row>
    <row r="5872" spans="1:10" x14ac:dyDescent="0.25">
      <c r="A5872" t="s">
        <v>150</v>
      </c>
      <c r="B5872">
        <f>86235.7092634743*(1/100/100)</f>
        <v>8.6235709263474298</v>
      </c>
      <c r="C5872">
        <v>64123</v>
      </c>
      <c r="D5872" t="s">
        <v>6978</v>
      </c>
      <c r="E5872">
        <v>62264</v>
      </c>
      <c r="F5872" t="s">
        <v>1728</v>
      </c>
      <c r="G5872">
        <v>622</v>
      </c>
      <c r="H5872" t="s">
        <v>112</v>
      </c>
      <c r="I5872">
        <v>6</v>
      </c>
      <c r="J5872" t="s">
        <v>101</v>
      </c>
    </row>
    <row r="5873" spans="1:10" x14ac:dyDescent="0.25">
      <c r="A5873" t="s">
        <v>150</v>
      </c>
      <c r="B5873">
        <f>42303.5325724903*(1/100/100)</f>
        <v>4.2303532572490301</v>
      </c>
      <c r="C5873">
        <v>64124</v>
      </c>
      <c r="D5873" t="s">
        <v>6927</v>
      </c>
      <c r="E5873">
        <v>62205</v>
      </c>
      <c r="F5873" t="s">
        <v>1709</v>
      </c>
      <c r="G5873">
        <v>622</v>
      </c>
      <c r="H5873" t="s">
        <v>112</v>
      </c>
      <c r="I5873">
        <v>6</v>
      </c>
      <c r="J5873" t="s">
        <v>101</v>
      </c>
    </row>
    <row r="5874" spans="1:10" x14ac:dyDescent="0.25">
      <c r="A5874" t="s">
        <v>150</v>
      </c>
      <c r="B5874">
        <f>101776.545339855*(1/100/100)</f>
        <v>10.1776545339855</v>
      </c>
      <c r="C5874">
        <v>64125</v>
      </c>
      <c r="D5874" t="s">
        <v>6943</v>
      </c>
      <c r="E5874">
        <v>62220</v>
      </c>
      <c r="F5874" t="s">
        <v>1716</v>
      </c>
      <c r="G5874">
        <v>622</v>
      </c>
      <c r="H5874" t="s">
        <v>112</v>
      </c>
      <c r="I5874">
        <v>6</v>
      </c>
      <c r="J5874" t="s">
        <v>101</v>
      </c>
    </row>
    <row r="5875" spans="1:10" x14ac:dyDescent="0.25">
      <c r="A5875" t="s">
        <v>150</v>
      </c>
      <c r="B5875">
        <f>30110.1633431242*(1/100/100)</f>
        <v>3.0110163343124201</v>
      </c>
      <c r="C5875">
        <v>64126</v>
      </c>
      <c r="D5875" t="s">
        <v>6944</v>
      </c>
      <c r="E5875">
        <v>62220</v>
      </c>
      <c r="F5875" t="s">
        <v>1716</v>
      </c>
      <c r="G5875">
        <v>622</v>
      </c>
      <c r="H5875" t="s">
        <v>112</v>
      </c>
      <c r="I5875">
        <v>6</v>
      </c>
      <c r="J5875" t="s">
        <v>101</v>
      </c>
    </row>
    <row r="5876" spans="1:10" x14ac:dyDescent="0.25">
      <c r="A5876" t="s">
        <v>150</v>
      </c>
      <c r="B5876">
        <f>176139.053729643*(1/100/100)</f>
        <v>17.6139053729643</v>
      </c>
      <c r="C5876">
        <v>64127</v>
      </c>
      <c r="D5876" t="s">
        <v>1737</v>
      </c>
      <c r="E5876">
        <v>62274</v>
      </c>
      <c r="F5876" t="s">
        <v>1737</v>
      </c>
      <c r="G5876">
        <v>622</v>
      </c>
      <c r="H5876" t="s">
        <v>112</v>
      </c>
      <c r="I5876">
        <v>6</v>
      </c>
      <c r="J5876" t="s">
        <v>101</v>
      </c>
    </row>
    <row r="5877" spans="1:10" x14ac:dyDescent="0.25">
      <c r="A5877" t="s">
        <v>150</v>
      </c>
      <c r="B5877">
        <f>25800.1322904505*(1/100/100)</f>
        <v>2.5800132290450501</v>
      </c>
      <c r="C5877">
        <v>64128</v>
      </c>
      <c r="D5877" t="s">
        <v>4462</v>
      </c>
      <c r="E5877">
        <v>62270</v>
      </c>
      <c r="F5877" t="s">
        <v>1734</v>
      </c>
      <c r="G5877">
        <v>622</v>
      </c>
      <c r="H5877" t="s">
        <v>112</v>
      </c>
      <c r="I5877">
        <v>6</v>
      </c>
      <c r="J5877" t="s">
        <v>101</v>
      </c>
    </row>
    <row r="5878" spans="1:10" x14ac:dyDescent="0.25">
      <c r="A5878" t="s">
        <v>150</v>
      </c>
      <c r="B5878">
        <f>37856.7038227969*(1/100/100)</f>
        <v>3.7856703822796902</v>
      </c>
      <c r="C5878">
        <v>64129</v>
      </c>
      <c r="D5878" t="s">
        <v>5044</v>
      </c>
      <c r="E5878">
        <v>62264</v>
      </c>
      <c r="F5878" t="s">
        <v>1728</v>
      </c>
      <c r="G5878">
        <v>622</v>
      </c>
      <c r="H5878" t="s">
        <v>112</v>
      </c>
      <c r="I5878">
        <v>6</v>
      </c>
      <c r="J5878" t="s">
        <v>101</v>
      </c>
    </row>
    <row r="5879" spans="1:10" x14ac:dyDescent="0.25">
      <c r="A5879" t="s">
        <v>150</v>
      </c>
      <c r="B5879">
        <f>30809.2874272099*(1/100/100)</f>
        <v>3.0809287427209902</v>
      </c>
      <c r="C5879">
        <v>64130</v>
      </c>
      <c r="D5879" t="s">
        <v>6928</v>
      </c>
      <c r="E5879">
        <v>62205</v>
      </c>
      <c r="F5879" t="s">
        <v>1709</v>
      </c>
      <c r="G5879">
        <v>622</v>
      </c>
      <c r="H5879" t="s">
        <v>112</v>
      </c>
      <c r="I5879">
        <v>6</v>
      </c>
      <c r="J5879" t="s">
        <v>101</v>
      </c>
    </row>
    <row r="5880" spans="1:10" x14ac:dyDescent="0.25">
      <c r="A5880" t="s">
        <v>150</v>
      </c>
      <c r="B5880">
        <f>15727.4720520415*(1/100/100)</f>
        <v>1.57274720520415</v>
      </c>
      <c r="C5880">
        <v>64131</v>
      </c>
      <c r="D5880" t="s">
        <v>6979</v>
      </c>
      <c r="E5880">
        <v>62264</v>
      </c>
      <c r="F5880" t="s">
        <v>1728</v>
      </c>
      <c r="G5880">
        <v>622</v>
      </c>
      <c r="H5880" t="s">
        <v>112</v>
      </c>
      <c r="I5880">
        <v>6</v>
      </c>
      <c r="J5880" t="s">
        <v>101</v>
      </c>
    </row>
    <row r="5881" spans="1:10" x14ac:dyDescent="0.25">
      <c r="A5881" t="s">
        <v>150</v>
      </c>
      <c r="B5881">
        <f>36129.7578077137*(1/100/100)</f>
        <v>3.6129757807713703</v>
      </c>
      <c r="C5881">
        <v>64132</v>
      </c>
      <c r="D5881" t="s">
        <v>6948</v>
      </c>
      <c r="E5881">
        <v>62226</v>
      </c>
      <c r="F5881" t="s">
        <v>1717</v>
      </c>
      <c r="G5881">
        <v>622</v>
      </c>
      <c r="H5881" t="s">
        <v>112</v>
      </c>
      <c r="I5881">
        <v>6</v>
      </c>
      <c r="J5881" t="s">
        <v>101</v>
      </c>
    </row>
    <row r="5882" spans="1:10" x14ac:dyDescent="0.25">
      <c r="A5882" t="s">
        <v>150</v>
      </c>
      <c r="B5882">
        <f>34018.4170618541*(1/100/100)</f>
        <v>3.4018417061854103</v>
      </c>
      <c r="C5882">
        <v>64133</v>
      </c>
      <c r="D5882" t="s">
        <v>7014</v>
      </c>
      <c r="E5882">
        <v>62276</v>
      </c>
      <c r="F5882" t="s">
        <v>1739</v>
      </c>
      <c r="G5882">
        <v>622</v>
      </c>
      <c r="H5882" t="s">
        <v>112</v>
      </c>
      <c r="I5882">
        <v>6</v>
      </c>
      <c r="J5882" t="s">
        <v>101</v>
      </c>
    </row>
    <row r="5883" spans="1:10" x14ac:dyDescent="0.25">
      <c r="A5883" t="s">
        <v>150</v>
      </c>
      <c r="B5883">
        <f>40918.1955596791*(1/100/100)</f>
        <v>4.09181955596791</v>
      </c>
      <c r="C5883">
        <v>64134</v>
      </c>
      <c r="D5883" t="s">
        <v>6994</v>
      </c>
      <c r="E5883">
        <v>62268</v>
      </c>
      <c r="F5883" t="s">
        <v>1732</v>
      </c>
      <c r="G5883">
        <v>622</v>
      </c>
      <c r="H5883" t="s">
        <v>112</v>
      </c>
      <c r="I5883">
        <v>6</v>
      </c>
      <c r="J5883" t="s">
        <v>101</v>
      </c>
    </row>
    <row r="5884" spans="1:10" x14ac:dyDescent="0.25">
      <c r="A5884" t="s">
        <v>150</v>
      </c>
      <c r="B5884">
        <f>117979.268995601*(1/100/100)</f>
        <v>11.797926899560101</v>
      </c>
      <c r="C5884">
        <v>64135</v>
      </c>
      <c r="D5884" t="s">
        <v>5447</v>
      </c>
      <c r="E5884">
        <v>62214</v>
      </c>
      <c r="F5884" t="s">
        <v>1713</v>
      </c>
      <c r="G5884">
        <v>622</v>
      </c>
      <c r="H5884" t="s">
        <v>112</v>
      </c>
      <c r="I5884">
        <v>6</v>
      </c>
      <c r="J5884" t="s">
        <v>101</v>
      </c>
    </row>
    <row r="5885" spans="1:10" x14ac:dyDescent="0.25">
      <c r="A5885" t="s">
        <v>150</v>
      </c>
      <c r="B5885">
        <f>102777.950421699*(1/100/100)</f>
        <v>10.277795042169901</v>
      </c>
      <c r="C5885">
        <v>64136</v>
      </c>
      <c r="D5885" t="s">
        <v>6939</v>
      </c>
      <c r="E5885">
        <v>62219</v>
      </c>
      <c r="F5885" t="s">
        <v>1715</v>
      </c>
      <c r="G5885">
        <v>622</v>
      </c>
      <c r="H5885" t="s">
        <v>112</v>
      </c>
      <c r="I5885">
        <v>6</v>
      </c>
      <c r="J5885" t="s">
        <v>101</v>
      </c>
    </row>
    <row r="5886" spans="1:10" x14ac:dyDescent="0.25">
      <c r="A5886" t="s">
        <v>150</v>
      </c>
      <c r="B5886">
        <f>131171.171900062*(1/100/100)</f>
        <v>13.117117190006201</v>
      </c>
      <c r="C5886">
        <v>64137</v>
      </c>
      <c r="D5886" t="s">
        <v>1740</v>
      </c>
      <c r="E5886">
        <v>62277</v>
      </c>
      <c r="F5886" t="s">
        <v>1740</v>
      </c>
      <c r="G5886">
        <v>622</v>
      </c>
      <c r="H5886" t="s">
        <v>112</v>
      </c>
      <c r="I5886">
        <v>6</v>
      </c>
      <c r="J5886" t="s">
        <v>101</v>
      </c>
    </row>
    <row r="5887" spans="1:10" x14ac:dyDescent="0.25">
      <c r="A5887" t="s">
        <v>150</v>
      </c>
      <c r="B5887">
        <f>70975.1218759712*(1/100/100)</f>
        <v>7.097512187597121</v>
      </c>
      <c r="C5887">
        <v>64138</v>
      </c>
      <c r="D5887" t="s">
        <v>6980</v>
      </c>
      <c r="E5887">
        <v>62264</v>
      </c>
      <c r="F5887" t="s">
        <v>1728</v>
      </c>
      <c r="G5887">
        <v>622</v>
      </c>
      <c r="H5887" t="s">
        <v>112</v>
      </c>
      <c r="I5887">
        <v>6</v>
      </c>
      <c r="J5887" t="s">
        <v>101</v>
      </c>
    </row>
    <row r="5888" spans="1:10" x14ac:dyDescent="0.25">
      <c r="A5888" t="s">
        <v>150</v>
      </c>
      <c r="B5888">
        <f>59755.0967381254*(1/100/100)</f>
        <v>5.9755096738125406</v>
      </c>
      <c r="C5888">
        <v>64139</v>
      </c>
      <c r="D5888" t="s">
        <v>6940</v>
      </c>
      <c r="E5888">
        <v>62219</v>
      </c>
      <c r="F5888" t="s">
        <v>1715</v>
      </c>
      <c r="G5888">
        <v>622</v>
      </c>
      <c r="H5888" t="s">
        <v>112</v>
      </c>
      <c r="I5888">
        <v>6</v>
      </c>
      <c r="J5888" t="s">
        <v>101</v>
      </c>
    </row>
    <row r="5889" spans="1:10" x14ac:dyDescent="0.25">
      <c r="A5889" t="s">
        <v>150</v>
      </c>
      <c r="B5889">
        <f>118184.305148738*(1/100/100)</f>
        <v>11.8184305148738</v>
      </c>
      <c r="C5889">
        <v>64140</v>
      </c>
      <c r="D5889" t="s">
        <v>6961</v>
      </c>
      <c r="E5889">
        <v>62244</v>
      </c>
      <c r="F5889" t="s">
        <v>1722</v>
      </c>
      <c r="G5889">
        <v>622</v>
      </c>
      <c r="H5889" t="s">
        <v>112</v>
      </c>
      <c r="I5889">
        <v>6</v>
      </c>
      <c r="J5889" t="s">
        <v>101</v>
      </c>
    </row>
    <row r="5890" spans="1:10" x14ac:dyDescent="0.25">
      <c r="A5890" t="s">
        <v>150</v>
      </c>
      <c r="B5890">
        <f>78334.0676736503*(1/100/100)</f>
        <v>7.8334067673650294</v>
      </c>
      <c r="C5890">
        <v>64141</v>
      </c>
      <c r="D5890" t="s">
        <v>6945</v>
      </c>
      <c r="E5890">
        <v>62220</v>
      </c>
      <c r="F5890" t="s">
        <v>1716</v>
      </c>
      <c r="G5890">
        <v>622</v>
      </c>
      <c r="H5890" t="s">
        <v>112</v>
      </c>
      <c r="I5890">
        <v>6</v>
      </c>
      <c r="J5890" t="s">
        <v>101</v>
      </c>
    </row>
    <row r="5891" spans="1:10" x14ac:dyDescent="0.25">
      <c r="A5891" t="s">
        <v>150</v>
      </c>
      <c r="B5891">
        <f>134029.109596648*(1/100/100)</f>
        <v>13.4029109596648</v>
      </c>
      <c r="C5891">
        <v>64142</v>
      </c>
      <c r="D5891" t="s">
        <v>6962</v>
      </c>
      <c r="E5891">
        <v>62244</v>
      </c>
      <c r="F5891" t="s">
        <v>1722</v>
      </c>
      <c r="G5891">
        <v>622</v>
      </c>
      <c r="H5891" t="s">
        <v>112</v>
      </c>
      <c r="I5891">
        <v>6</v>
      </c>
      <c r="J5891" t="s">
        <v>101</v>
      </c>
    </row>
    <row r="5892" spans="1:10" x14ac:dyDescent="0.25">
      <c r="A5892" t="s">
        <v>150</v>
      </c>
      <c r="B5892">
        <f>154618.683551735*(1/100/100)</f>
        <v>15.461868355173502</v>
      </c>
      <c r="C5892">
        <v>64143</v>
      </c>
      <c r="D5892" t="s">
        <v>6981</v>
      </c>
      <c r="E5892">
        <v>62264</v>
      </c>
      <c r="F5892" t="s">
        <v>1728</v>
      </c>
      <c r="G5892">
        <v>622</v>
      </c>
      <c r="H5892" t="s">
        <v>112</v>
      </c>
      <c r="I5892">
        <v>6</v>
      </c>
      <c r="J5892" t="s">
        <v>101</v>
      </c>
    </row>
    <row r="5893" spans="1:10" x14ac:dyDescent="0.25">
      <c r="A5893" t="s">
        <v>150</v>
      </c>
      <c r="B5893">
        <f>74033.2438363539*(1/100/100)</f>
        <v>7.4033243836353897</v>
      </c>
      <c r="C5893">
        <v>64144</v>
      </c>
      <c r="D5893" t="s">
        <v>508</v>
      </c>
      <c r="E5893">
        <v>62268</v>
      </c>
      <c r="F5893" t="s">
        <v>1732</v>
      </c>
      <c r="G5893">
        <v>622</v>
      </c>
      <c r="H5893" t="s">
        <v>112</v>
      </c>
      <c r="I5893">
        <v>6</v>
      </c>
      <c r="J5893" t="s">
        <v>101</v>
      </c>
    </row>
    <row r="5894" spans="1:10" x14ac:dyDescent="0.25">
      <c r="A5894" t="s">
        <v>150</v>
      </c>
      <c r="B5894">
        <f>18437.3341940237*(1/100/100)</f>
        <v>1.8437334194023702</v>
      </c>
      <c r="C5894">
        <v>64145</v>
      </c>
      <c r="D5894" t="s">
        <v>6946</v>
      </c>
      <c r="E5894">
        <v>62220</v>
      </c>
      <c r="F5894" t="s">
        <v>1716</v>
      </c>
      <c r="G5894">
        <v>622</v>
      </c>
      <c r="H5894" t="s">
        <v>112</v>
      </c>
      <c r="I5894">
        <v>6</v>
      </c>
      <c r="J5894" t="s">
        <v>101</v>
      </c>
    </row>
    <row r="5895" spans="1:10" x14ac:dyDescent="0.25">
      <c r="A5895" t="s">
        <v>150</v>
      </c>
      <c r="B5895">
        <f>118365.182433129*(1/100/100)</f>
        <v>11.8365182433129</v>
      </c>
      <c r="C5895">
        <v>64146</v>
      </c>
      <c r="D5895" t="s">
        <v>6995</v>
      </c>
      <c r="E5895">
        <v>62268</v>
      </c>
      <c r="F5895" t="s">
        <v>1732</v>
      </c>
      <c r="G5895">
        <v>622</v>
      </c>
      <c r="H5895" t="s">
        <v>112</v>
      </c>
      <c r="I5895">
        <v>6</v>
      </c>
      <c r="J5895" t="s">
        <v>101</v>
      </c>
    </row>
    <row r="5896" spans="1:10" x14ac:dyDescent="0.25">
      <c r="A5896" t="s">
        <v>150</v>
      </c>
      <c r="B5896">
        <f>128339.204316202*(1/100/100)</f>
        <v>12.8339204316202</v>
      </c>
      <c r="C5896">
        <v>64147</v>
      </c>
      <c r="D5896" t="s">
        <v>6935</v>
      </c>
      <c r="E5896">
        <v>62214</v>
      </c>
      <c r="F5896" t="s">
        <v>1713</v>
      </c>
      <c r="G5896">
        <v>622</v>
      </c>
      <c r="H5896" t="s">
        <v>112</v>
      </c>
      <c r="I5896">
        <v>6</v>
      </c>
      <c r="J5896" t="s">
        <v>101</v>
      </c>
    </row>
    <row r="5897" spans="1:10" x14ac:dyDescent="0.25">
      <c r="A5897" t="s">
        <v>150</v>
      </c>
      <c r="B5897">
        <f>331008.731253587*(1/100/100)</f>
        <v>33.100873125358703</v>
      </c>
      <c r="C5897">
        <v>64148</v>
      </c>
      <c r="D5897" t="s">
        <v>6941</v>
      </c>
      <c r="E5897">
        <v>62219</v>
      </c>
      <c r="F5897" t="s">
        <v>1715</v>
      </c>
      <c r="G5897">
        <v>622</v>
      </c>
      <c r="H5897" t="s">
        <v>112</v>
      </c>
      <c r="I5897">
        <v>6</v>
      </c>
      <c r="J5897" t="s">
        <v>101</v>
      </c>
    </row>
    <row r="5898" spans="1:10" x14ac:dyDescent="0.25">
      <c r="A5898" t="s">
        <v>150</v>
      </c>
      <c r="B5898">
        <f>85191.3648343985*(1/100/100)</f>
        <v>8.5191364834398495</v>
      </c>
      <c r="C5898">
        <v>64149</v>
      </c>
      <c r="D5898" t="s">
        <v>6929</v>
      </c>
      <c r="E5898">
        <v>62205</v>
      </c>
      <c r="F5898" t="s">
        <v>1709</v>
      </c>
      <c r="G5898">
        <v>622</v>
      </c>
      <c r="H5898" t="s">
        <v>112</v>
      </c>
      <c r="I5898">
        <v>6</v>
      </c>
      <c r="J5898" t="s">
        <v>101</v>
      </c>
    </row>
    <row r="5899" spans="1:10" x14ac:dyDescent="0.25">
      <c r="A5899" t="s">
        <v>150</v>
      </c>
      <c r="B5899">
        <f>24107.3508298508*(1/100/100)</f>
        <v>2.41073508298508</v>
      </c>
      <c r="C5899">
        <v>64150</v>
      </c>
      <c r="D5899" t="s">
        <v>6930</v>
      </c>
      <c r="E5899">
        <v>62205</v>
      </c>
      <c r="F5899" t="s">
        <v>1709</v>
      </c>
      <c r="G5899">
        <v>622</v>
      </c>
      <c r="H5899" t="s">
        <v>112</v>
      </c>
      <c r="I5899">
        <v>6</v>
      </c>
      <c r="J5899" t="s">
        <v>101</v>
      </c>
    </row>
    <row r="5900" spans="1:10" x14ac:dyDescent="0.25">
      <c r="A5900" t="s">
        <v>150</v>
      </c>
      <c r="B5900">
        <f>35815.2064884172*(1/100/100)</f>
        <v>3.5815206488417202</v>
      </c>
      <c r="C5900">
        <v>64151</v>
      </c>
      <c r="D5900" t="s">
        <v>7008</v>
      </c>
      <c r="E5900">
        <v>62274</v>
      </c>
      <c r="F5900" t="s">
        <v>1737</v>
      </c>
      <c r="G5900">
        <v>622</v>
      </c>
      <c r="H5900" t="s">
        <v>112</v>
      </c>
      <c r="I5900">
        <v>6</v>
      </c>
      <c r="J5900" t="s">
        <v>101</v>
      </c>
    </row>
    <row r="5901" spans="1:10" x14ac:dyDescent="0.25">
      <c r="A5901" t="s">
        <v>150</v>
      </c>
      <c r="B5901">
        <f>72597.8858245589*(1/100/100)</f>
        <v>7.259788582455891</v>
      </c>
      <c r="C5901">
        <v>64152</v>
      </c>
      <c r="D5901" t="s">
        <v>6963</v>
      </c>
      <c r="E5901">
        <v>62244</v>
      </c>
      <c r="F5901" t="s">
        <v>1722</v>
      </c>
      <c r="G5901">
        <v>622</v>
      </c>
      <c r="H5901" t="s">
        <v>112</v>
      </c>
      <c r="I5901">
        <v>6</v>
      </c>
      <c r="J5901" t="s">
        <v>101</v>
      </c>
    </row>
    <row r="5902" spans="1:10" x14ac:dyDescent="0.25">
      <c r="A5902" t="s">
        <v>150</v>
      </c>
      <c r="B5902">
        <f>122669.84889189*(1/100/100)</f>
        <v>12.266984889189001</v>
      </c>
      <c r="C5902">
        <v>64153</v>
      </c>
      <c r="D5902" t="s">
        <v>7015</v>
      </c>
      <c r="E5902">
        <v>62276</v>
      </c>
      <c r="F5902" t="s">
        <v>1739</v>
      </c>
      <c r="G5902">
        <v>622</v>
      </c>
      <c r="H5902" t="s">
        <v>112</v>
      </c>
      <c r="I5902">
        <v>6</v>
      </c>
      <c r="J5902" t="s">
        <v>101</v>
      </c>
    </row>
    <row r="5903" spans="1:10" x14ac:dyDescent="0.25">
      <c r="A5903" t="s">
        <v>150</v>
      </c>
      <c r="B5903">
        <f>50729.0178857898*(1/100/100)</f>
        <v>5.0729017885789798</v>
      </c>
      <c r="C5903">
        <v>64154</v>
      </c>
      <c r="D5903" t="s">
        <v>6931</v>
      </c>
      <c r="E5903">
        <v>62209</v>
      </c>
      <c r="F5903" t="s">
        <v>1711</v>
      </c>
      <c r="G5903">
        <v>622</v>
      </c>
      <c r="H5903" t="s">
        <v>112</v>
      </c>
      <c r="I5903">
        <v>6</v>
      </c>
      <c r="J5903" t="s">
        <v>101</v>
      </c>
    </row>
    <row r="5904" spans="1:10" x14ac:dyDescent="0.25">
      <c r="A5904" t="s">
        <v>150</v>
      </c>
      <c r="B5904">
        <f>40881.7718896312*(1/100/100)</f>
        <v>4.0881771889631198</v>
      </c>
      <c r="C5904">
        <v>64155</v>
      </c>
      <c r="D5904" t="s">
        <v>4690</v>
      </c>
      <c r="E5904">
        <v>62226</v>
      </c>
      <c r="F5904" t="s">
        <v>1717</v>
      </c>
      <c r="G5904">
        <v>622</v>
      </c>
      <c r="H5904" t="s">
        <v>112</v>
      </c>
      <c r="I5904">
        <v>6</v>
      </c>
      <c r="J5904" t="s">
        <v>101</v>
      </c>
    </row>
    <row r="5905" spans="1:10" x14ac:dyDescent="0.25">
      <c r="A5905" t="s">
        <v>150</v>
      </c>
      <c r="B5905">
        <f>86020.8573540723*(1/100/100)</f>
        <v>8.6020857354072309</v>
      </c>
      <c r="C5905">
        <v>64156</v>
      </c>
      <c r="D5905" t="s">
        <v>6982</v>
      </c>
      <c r="E5905">
        <v>62264</v>
      </c>
      <c r="F5905" t="s">
        <v>1728</v>
      </c>
      <c r="G5905">
        <v>622</v>
      </c>
      <c r="H5905" t="s">
        <v>112</v>
      </c>
      <c r="I5905">
        <v>6</v>
      </c>
      <c r="J5905" t="s">
        <v>101</v>
      </c>
    </row>
    <row r="5906" spans="1:10" x14ac:dyDescent="0.25">
      <c r="A5906" t="s">
        <v>150</v>
      </c>
      <c r="B5906">
        <f>140847.722177551*(1/100/100)</f>
        <v>14.084772217755102</v>
      </c>
      <c r="C5906">
        <v>64157</v>
      </c>
      <c r="D5906" t="s">
        <v>4204</v>
      </c>
      <c r="E5906">
        <v>62264</v>
      </c>
      <c r="F5906" t="s">
        <v>1728</v>
      </c>
      <c r="G5906">
        <v>622</v>
      </c>
      <c r="H5906" t="s">
        <v>112</v>
      </c>
      <c r="I5906">
        <v>6</v>
      </c>
      <c r="J5906" t="s">
        <v>101</v>
      </c>
    </row>
    <row r="5907" spans="1:10" x14ac:dyDescent="0.25">
      <c r="A5907" t="s">
        <v>150</v>
      </c>
      <c r="B5907">
        <f>49749.4643342904*(1/100/100)</f>
        <v>4.9749464334290403</v>
      </c>
      <c r="C5907">
        <v>64158</v>
      </c>
      <c r="D5907" t="s">
        <v>2771</v>
      </c>
      <c r="E5907">
        <v>62205</v>
      </c>
      <c r="F5907" t="s">
        <v>1709</v>
      </c>
      <c r="G5907">
        <v>622</v>
      </c>
      <c r="H5907" t="s">
        <v>112</v>
      </c>
      <c r="I5907">
        <v>6</v>
      </c>
      <c r="J5907" t="s">
        <v>101</v>
      </c>
    </row>
    <row r="5908" spans="1:10" x14ac:dyDescent="0.25">
      <c r="A5908" t="s">
        <v>150</v>
      </c>
      <c r="B5908">
        <f>26823.5456881079*(1/100/100)</f>
        <v>2.6823545688107902</v>
      </c>
      <c r="C5908">
        <v>64159</v>
      </c>
      <c r="D5908" t="s">
        <v>6947</v>
      </c>
      <c r="E5908">
        <v>62220</v>
      </c>
      <c r="F5908" t="s">
        <v>1716</v>
      </c>
      <c r="G5908">
        <v>622</v>
      </c>
      <c r="H5908" t="s">
        <v>112</v>
      </c>
      <c r="I5908">
        <v>6</v>
      </c>
      <c r="J5908" t="s">
        <v>101</v>
      </c>
    </row>
    <row r="5909" spans="1:10" x14ac:dyDescent="0.25">
      <c r="A5909" t="s">
        <v>150</v>
      </c>
      <c r="B5909">
        <f>62909.4918440834*(1/100/100)</f>
        <v>6.2909491844083405</v>
      </c>
      <c r="C5909">
        <v>64160</v>
      </c>
      <c r="D5909" t="s">
        <v>2954</v>
      </c>
      <c r="E5909">
        <v>62276</v>
      </c>
      <c r="F5909" t="s">
        <v>1739</v>
      </c>
      <c r="G5909">
        <v>622</v>
      </c>
      <c r="H5909" t="s">
        <v>112</v>
      </c>
      <c r="I5909">
        <v>6</v>
      </c>
      <c r="J5909" t="s">
        <v>101</v>
      </c>
    </row>
    <row r="5910" spans="1:10" x14ac:dyDescent="0.25">
      <c r="A5910" t="s">
        <v>150</v>
      </c>
      <c r="B5910">
        <f>15300.9184827686*(1/100/100)</f>
        <v>1.5300918482768602</v>
      </c>
      <c r="C5910">
        <v>64161</v>
      </c>
      <c r="D5910" t="s">
        <v>6936</v>
      </c>
      <c r="E5910">
        <v>62214</v>
      </c>
      <c r="F5910" t="s">
        <v>1713</v>
      </c>
      <c r="G5910">
        <v>622</v>
      </c>
      <c r="H5910" t="s">
        <v>112</v>
      </c>
      <c r="I5910">
        <v>6</v>
      </c>
      <c r="J5910" t="s">
        <v>101</v>
      </c>
    </row>
    <row r="5911" spans="1:10" x14ac:dyDescent="0.25">
      <c r="A5911" t="s">
        <v>150</v>
      </c>
      <c r="B5911">
        <f>51492.7213088279*(1/100/100)</f>
        <v>5.1492721308827907</v>
      </c>
      <c r="C5911">
        <v>64162</v>
      </c>
      <c r="D5911" t="s">
        <v>6932</v>
      </c>
      <c r="E5911">
        <v>62209</v>
      </c>
      <c r="F5911" t="s">
        <v>1711</v>
      </c>
      <c r="G5911">
        <v>622</v>
      </c>
      <c r="H5911" t="s">
        <v>112</v>
      </c>
      <c r="I5911">
        <v>6</v>
      </c>
      <c r="J5911" t="s">
        <v>101</v>
      </c>
    </row>
    <row r="5912" spans="1:10" x14ac:dyDescent="0.25">
      <c r="A5912" t="s">
        <v>150</v>
      </c>
      <c r="B5912">
        <f>62194.9102643534*(1/100/100)</f>
        <v>6.2194910264353398</v>
      </c>
      <c r="C5912">
        <v>64163</v>
      </c>
      <c r="D5912" t="s">
        <v>7016</v>
      </c>
      <c r="E5912">
        <v>62277</v>
      </c>
      <c r="F5912" t="s">
        <v>1740</v>
      </c>
      <c r="G5912">
        <v>622</v>
      </c>
      <c r="H5912" t="s">
        <v>112</v>
      </c>
      <c r="I5912">
        <v>6</v>
      </c>
      <c r="J5912" t="s">
        <v>101</v>
      </c>
    </row>
    <row r="5913" spans="1:10" x14ac:dyDescent="0.25">
      <c r="A5913" t="s">
        <v>150</v>
      </c>
      <c r="B5913">
        <f>47149.0282124571*(1/100/100)</f>
        <v>4.71490282124571</v>
      </c>
      <c r="C5913">
        <v>64201</v>
      </c>
      <c r="D5913" t="s">
        <v>3507</v>
      </c>
      <c r="E5913">
        <v>62256</v>
      </c>
      <c r="F5913" t="s">
        <v>1726</v>
      </c>
      <c r="G5913">
        <v>622</v>
      </c>
      <c r="H5913" t="s">
        <v>112</v>
      </c>
      <c r="I5913">
        <v>6</v>
      </c>
      <c r="J5913" t="s">
        <v>101</v>
      </c>
    </row>
    <row r="5914" spans="1:10" x14ac:dyDescent="0.25">
      <c r="A5914" t="s">
        <v>150</v>
      </c>
      <c r="B5914">
        <f>42574.8448533508*(1/100/100)</f>
        <v>4.2574844853350804</v>
      </c>
      <c r="C5914">
        <v>64202</v>
      </c>
      <c r="D5914" t="s">
        <v>6970</v>
      </c>
      <c r="E5914">
        <v>62256</v>
      </c>
      <c r="F5914" t="s">
        <v>1726</v>
      </c>
      <c r="G5914">
        <v>622</v>
      </c>
      <c r="H5914" t="s">
        <v>112</v>
      </c>
      <c r="I5914">
        <v>6</v>
      </c>
      <c r="J5914" t="s">
        <v>101</v>
      </c>
    </row>
    <row r="5915" spans="1:10" x14ac:dyDescent="0.25">
      <c r="A5915" t="s">
        <v>150</v>
      </c>
      <c r="B5915">
        <f>102221.331214182*(1/100/100)</f>
        <v>10.222133121418201</v>
      </c>
      <c r="C5915">
        <v>64203</v>
      </c>
      <c r="D5915" t="s">
        <v>7009</v>
      </c>
      <c r="E5915">
        <v>62275</v>
      </c>
      <c r="F5915" t="s">
        <v>1738</v>
      </c>
      <c r="G5915">
        <v>622</v>
      </c>
      <c r="H5915" t="s">
        <v>112</v>
      </c>
      <c r="I5915">
        <v>6</v>
      </c>
      <c r="J5915" t="s">
        <v>101</v>
      </c>
    </row>
    <row r="5916" spans="1:10" x14ac:dyDescent="0.25">
      <c r="A5916" t="s">
        <v>150</v>
      </c>
      <c r="B5916">
        <f>90452.3015196781*(1/100/100)</f>
        <v>9.0452301519678109</v>
      </c>
      <c r="C5916">
        <v>64204</v>
      </c>
      <c r="D5916" t="s">
        <v>3055</v>
      </c>
      <c r="E5916">
        <v>62272</v>
      </c>
      <c r="F5916" t="s">
        <v>1736</v>
      </c>
      <c r="G5916">
        <v>622</v>
      </c>
      <c r="H5916" t="s">
        <v>112</v>
      </c>
      <c r="I5916">
        <v>6</v>
      </c>
      <c r="J5916" t="s">
        <v>101</v>
      </c>
    </row>
    <row r="5917" spans="1:10" x14ac:dyDescent="0.25">
      <c r="A5917" t="s">
        <v>150</v>
      </c>
      <c r="B5917">
        <f>61642.0493202301*(1/100/100)</f>
        <v>6.1642049320230106</v>
      </c>
      <c r="C5917">
        <v>64205</v>
      </c>
      <c r="D5917" t="s">
        <v>7010</v>
      </c>
      <c r="E5917">
        <v>62275</v>
      </c>
      <c r="F5917" t="s">
        <v>1738</v>
      </c>
      <c r="G5917">
        <v>622</v>
      </c>
      <c r="H5917" t="s">
        <v>112</v>
      </c>
      <c r="I5917">
        <v>6</v>
      </c>
      <c r="J5917" t="s">
        <v>101</v>
      </c>
    </row>
    <row r="5918" spans="1:10" x14ac:dyDescent="0.25">
      <c r="A5918" t="s">
        <v>150</v>
      </c>
      <c r="B5918">
        <f>121686.481149405*(1/100/100)</f>
        <v>12.168648114940501</v>
      </c>
      <c r="C5918">
        <v>64206</v>
      </c>
      <c r="D5918" t="s">
        <v>6955</v>
      </c>
      <c r="E5918">
        <v>62235</v>
      </c>
      <c r="F5918" t="s">
        <v>1720</v>
      </c>
      <c r="G5918">
        <v>622</v>
      </c>
      <c r="H5918" t="s">
        <v>112</v>
      </c>
      <c r="I5918">
        <v>6</v>
      </c>
      <c r="J5918" t="s">
        <v>101</v>
      </c>
    </row>
    <row r="5919" spans="1:10" x14ac:dyDescent="0.25">
      <c r="A5919" t="s">
        <v>150</v>
      </c>
      <c r="B5919">
        <f>120057.120724978*(1/100/100)</f>
        <v>12.005712072497801</v>
      </c>
      <c r="C5919">
        <v>64207</v>
      </c>
      <c r="D5919" t="s">
        <v>7011</v>
      </c>
      <c r="E5919">
        <v>62275</v>
      </c>
      <c r="F5919" t="s">
        <v>1738</v>
      </c>
      <c r="G5919">
        <v>622</v>
      </c>
      <c r="H5919" t="s">
        <v>112</v>
      </c>
      <c r="I5919">
        <v>6</v>
      </c>
      <c r="J5919" t="s">
        <v>101</v>
      </c>
    </row>
    <row r="5920" spans="1:10" x14ac:dyDescent="0.25">
      <c r="A5920" t="s">
        <v>150</v>
      </c>
      <c r="B5920">
        <f>64903.8656043656*(1/100/100)</f>
        <v>6.4903865604365603</v>
      </c>
      <c r="C5920">
        <v>64208</v>
      </c>
      <c r="D5920" t="s">
        <v>4514</v>
      </c>
      <c r="E5920">
        <v>62270</v>
      </c>
      <c r="F5920" t="s">
        <v>1734</v>
      </c>
      <c r="G5920">
        <v>622</v>
      </c>
      <c r="H5920" t="s">
        <v>112</v>
      </c>
      <c r="I5920">
        <v>6</v>
      </c>
      <c r="J5920" t="s">
        <v>101</v>
      </c>
    </row>
    <row r="5921" spans="1:10" x14ac:dyDescent="0.25">
      <c r="A5921" t="s">
        <v>150</v>
      </c>
      <c r="B5921">
        <f>213717.898388174*(1/100/100)</f>
        <v>21.371789838817403</v>
      </c>
      <c r="C5921">
        <v>64209</v>
      </c>
      <c r="D5921" t="s">
        <v>1738</v>
      </c>
      <c r="E5921">
        <v>62275</v>
      </c>
      <c r="F5921" t="s">
        <v>1738</v>
      </c>
      <c r="G5921">
        <v>622</v>
      </c>
      <c r="H5921" t="s">
        <v>112</v>
      </c>
      <c r="I5921">
        <v>6</v>
      </c>
      <c r="J5921" t="s">
        <v>101</v>
      </c>
    </row>
    <row r="5922" spans="1:10" x14ac:dyDescent="0.25">
      <c r="A5922" t="s">
        <v>150</v>
      </c>
      <c r="B5922">
        <f>94610.4668453482*(1/100/100)</f>
        <v>9.4610466845348213</v>
      </c>
      <c r="C5922">
        <v>64210</v>
      </c>
      <c r="D5922" t="s">
        <v>7012</v>
      </c>
      <c r="E5922">
        <v>62275</v>
      </c>
      <c r="F5922" t="s">
        <v>1738</v>
      </c>
      <c r="G5922">
        <v>622</v>
      </c>
      <c r="H5922" t="s">
        <v>112</v>
      </c>
      <c r="I5922">
        <v>6</v>
      </c>
      <c r="J5922" t="s">
        <v>101</v>
      </c>
    </row>
    <row r="5923" spans="1:10" x14ac:dyDescent="0.25">
      <c r="A5923" t="s">
        <v>150</v>
      </c>
      <c r="B5923">
        <f>100461.760960214*(1/100/100)</f>
        <v>10.0461760960214</v>
      </c>
      <c r="C5923">
        <v>64211</v>
      </c>
      <c r="D5923" t="s">
        <v>7013</v>
      </c>
      <c r="E5923">
        <v>62275</v>
      </c>
      <c r="F5923" t="s">
        <v>1738</v>
      </c>
      <c r="G5923">
        <v>622</v>
      </c>
      <c r="H5923" t="s">
        <v>112</v>
      </c>
      <c r="I5923">
        <v>6</v>
      </c>
      <c r="J5923" t="s">
        <v>101</v>
      </c>
    </row>
    <row r="5924" spans="1:10" x14ac:dyDescent="0.25">
      <c r="A5924" t="s">
        <v>150</v>
      </c>
      <c r="B5924">
        <f>45674.5783854031*(1/100/100)</f>
        <v>4.5674578385403102</v>
      </c>
      <c r="C5924">
        <v>64212</v>
      </c>
      <c r="D5924" t="s">
        <v>6985</v>
      </c>
      <c r="E5924">
        <v>62266</v>
      </c>
      <c r="F5924" t="s">
        <v>1730</v>
      </c>
      <c r="G5924">
        <v>622</v>
      </c>
      <c r="H5924" t="s">
        <v>112</v>
      </c>
      <c r="I5924">
        <v>6</v>
      </c>
      <c r="J5924" t="s">
        <v>101</v>
      </c>
    </row>
    <row r="5925" spans="1:10" x14ac:dyDescent="0.25">
      <c r="A5925" t="s">
        <v>150</v>
      </c>
      <c r="B5925">
        <f>65954.0790472476*(1/100/100)</f>
        <v>6.5954079047247598</v>
      </c>
      <c r="C5925">
        <v>64213</v>
      </c>
      <c r="D5925" t="s">
        <v>3311</v>
      </c>
      <c r="E5925">
        <v>62275</v>
      </c>
      <c r="F5925" t="s">
        <v>1738</v>
      </c>
      <c r="G5925">
        <v>622</v>
      </c>
      <c r="H5925" t="s">
        <v>112</v>
      </c>
      <c r="I5925">
        <v>6</v>
      </c>
      <c r="J5925" t="s">
        <v>101</v>
      </c>
    </row>
    <row r="5926" spans="1:10" x14ac:dyDescent="0.25">
      <c r="A5926" t="s">
        <v>150</v>
      </c>
      <c r="B5926">
        <f>42086.5589903048*(1/100/100)</f>
        <v>4.2086558990304805</v>
      </c>
      <c r="C5926">
        <v>64214</v>
      </c>
      <c r="D5926" t="s">
        <v>3123</v>
      </c>
      <c r="E5926">
        <v>62266</v>
      </c>
      <c r="F5926" t="s">
        <v>1730</v>
      </c>
      <c r="G5926">
        <v>622</v>
      </c>
      <c r="H5926" t="s">
        <v>112</v>
      </c>
      <c r="I5926">
        <v>6</v>
      </c>
      <c r="J5926" t="s">
        <v>101</v>
      </c>
    </row>
    <row r="5927" spans="1:10" x14ac:dyDescent="0.25">
      <c r="A5927" t="s">
        <v>150</v>
      </c>
      <c r="B5927">
        <f>93945.6788575*(1/100/100)</f>
        <v>9.3945678857499999</v>
      </c>
      <c r="C5927">
        <v>64215</v>
      </c>
      <c r="D5927" t="s">
        <v>1726</v>
      </c>
      <c r="E5927">
        <v>62256</v>
      </c>
      <c r="F5927" t="s">
        <v>1726</v>
      </c>
      <c r="G5927">
        <v>622</v>
      </c>
      <c r="H5927" t="s">
        <v>112</v>
      </c>
      <c r="I5927">
        <v>6</v>
      </c>
      <c r="J5927" t="s">
        <v>101</v>
      </c>
    </row>
    <row r="5928" spans="1:10" x14ac:dyDescent="0.25">
      <c r="A5928" t="s">
        <v>150</v>
      </c>
      <c r="B5928">
        <f>67566.4253344591*(1/100/100)</f>
        <v>6.7566425334459099</v>
      </c>
      <c r="C5928">
        <v>64216</v>
      </c>
      <c r="D5928" t="s">
        <v>6956</v>
      </c>
      <c r="E5928">
        <v>62235</v>
      </c>
      <c r="F5928" t="s">
        <v>1720</v>
      </c>
      <c r="G5928">
        <v>622</v>
      </c>
      <c r="H5928" t="s">
        <v>112</v>
      </c>
      <c r="I5928">
        <v>6</v>
      </c>
      <c r="J5928" t="s">
        <v>101</v>
      </c>
    </row>
    <row r="5929" spans="1:10" x14ac:dyDescent="0.25">
      <c r="A5929" t="s">
        <v>150</v>
      </c>
      <c r="B5929">
        <f>45709.1318816568*(1/100/100)</f>
        <v>4.5709131881656804</v>
      </c>
      <c r="C5929">
        <v>64217</v>
      </c>
      <c r="D5929" t="s">
        <v>4341</v>
      </c>
      <c r="E5929">
        <v>62270</v>
      </c>
      <c r="F5929" t="s">
        <v>1734</v>
      </c>
      <c r="G5929">
        <v>622</v>
      </c>
      <c r="H5929" t="s">
        <v>112</v>
      </c>
      <c r="I5929">
        <v>6</v>
      </c>
      <c r="J5929" t="s">
        <v>101</v>
      </c>
    </row>
    <row r="5930" spans="1:10" x14ac:dyDescent="0.25">
      <c r="A5930" t="s">
        <v>150</v>
      </c>
      <c r="B5930">
        <f>82798.3577510671*(1/100/100)</f>
        <v>8.2798357751067098</v>
      </c>
      <c r="C5930">
        <v>64218</v>
      </c>
      <c r="D5930" t="s">
        <v>6971</v>
      </c>
      <c r="E5930">
        <v>62256</v>
      </c>
      <c r="F5930" t="s">
        <v>1726</v>
      </c>
      <c r="G5930">
        <v>622</v>
      </c>
      <c r="H5930" t="s">
        <v>112</v>
      </c>
      <c r="I5930">
        <v>6</v>
      </c>
      <c r="J5930" t="s">
        <v>101</v>
      </c>
    </row>
    <row r="5931" spans="1:10" x14ac:dyDescent="0.25">
      <c r="A5931" t="s">
        <v>150</v>
      </c>
      <c r="B5931">
        <f>44439.2904299093*(1/100/100)</f>
        <v>4.4439290429909297</v>
      </c>
      <c r="C5931">
        <v>64219</v>
      </c>
      <c r="D5931" t="s">
        <v>3568</v>
      </c>
      <c r="E5931">
        <v>62275</v>
      </c>
      <c r="F5931" t="s">
        <v>1738</v>
      </c>
      <c r="G5931">
        <v>622</v>
      </c>
      <c r="H5931" t="s">
        <v>112</v>
      </c>
      <c r="I5931">
        <v>6</v>
      </c>
      <c r="J5931" t="s">
        <v>101</v>
      </c>
    </row>
    <row r="5932" spans="1:10" x14ac:dyDescent="0.25">
      <c r="A5932" t="s">
        <v>150</v>
      </c>
      <c r="B5932">
        <f>80683.413402626*(1/100/100)</f>
        <v>8.0683413402626005</v>
      </c>
      <c r="C5932">
        <v>64220</v>
      </c>
      <c r="D5932" t="s">
        <v>4896</v>
      </c>
      <c r="E5932">
        <v>62275</v>
      </c>
      <c r="F5932" t="s">
        <v>1738</v>
      </c>
      <c r="G5932">
        <v>622</v>
      </c>
      <c r="H5932" t="s">
        <v>112</v>
      </c>
      <c r="I5932">
        <v>6</v>
      </c>
      <c r="J5932" t="s">
        <v>101</v>
      </c>
    </row>
    <row r="5933" spans="1:10" x14ac:dyDescent="0.25">
      <c r="A5933" t="s">
        <v>150</v>
      </c>
      <c r="B5933">
        <f>97482.552313412*(1/100/100)</f>
        <v>9.7482552313412008</v>
      </c>
      <c r="C5933">
        <v>64221</v>
      </c>
      <c r="D5933" t="s">
        <v>6957</v>
      </c>
      <c r="E5933">
        <v>62235</v>
      </c>
      <c r="F5933" t="s">
        <v>1720</v>
      </c>
      <c r="G5933">
        <v>622</v>
      </c>
      <c r="H5933" t="s">
        <v>112</v>
      </c>
      <c r="I5933">
        <v>6</v>
      </c>
      <c r="J5933" t="s">
        <v>101</v>
      </c>
    </row>
    <row r="5934" spans="1:10" x14ac:dyDescent="0.25">
      <c r="A5934" t="s">
        <v>150</v>
      </c>
      <c r="B5934">
        <f>94542.5917855849*(1/100/100)</f>
        <v>9.4542591785584893</v>
      </c>
      <c r="C5934">
        <v>64222</v>
      </c>
      <c r="D5934" t="s">
        <v>6972</v>
      </c>
      <c r="E5934">
        <v>62256</v>
      </c>
      <c r="F5934" t="s">
        <v>1726</v>
      </c>
      <c r="G5934">
        <v>622</v>
      </c>
      <c r="H5934" t="s">
        <v>112</v>
      </c>
      <c r="I5934">
        <v>6</v>
      </c>
      <c r="J5934" t="s">
        <v>101</v>
      </c>
    </row>
    <row r="5935" spans="1:10" x14ac:dyDescent="0.25">
      <c r="A5935" t="s">
        <v>150</v>
      </c>
      <c r="B5935">
        <f>24713.679190669*(1/100/100)</f>
        <v>2.4713679190669002</v>
      </c>
      <c r="C5935">
        <v>64301</v>
      </c>
      <c r="D5935" t="s">
        <v>6958</v>
      </c>
      <c r="E5935">
        <v>62242</v>
      </c>
      <c r="F5935" t="s">
        <v>1721</v>
      </c>
      <c r="G5935">
        <v>622</v>
      </c>
      <c r="H5935" t="s">
        <v>112</v>
      </c>
      <c r="I5935">
        <v>6</v>
      </c>
      <c r="J5935" t="s">
        <v>101</v>
      </c>
    </row>
    <row r="5936" spans="1:10" x14ac:dyDescent="0.25">
      <c r="A5936" t="s">
        <v>150</v>
      </c>
      <c r="B5936">
        <f>41595.4336660389*(1/100/100)</f>
        <v>4.1595433666038906</v>
      </c>
      <c r="C5936">
        <v>64302</v>
      </c>
      <c r="D5936" t="s">
        <v>5730</v>
      </c>
      <c r="E5936">
        <v>62279</v>
      </c>
      <c r="F5936" t="s">
        <v>1742</v>
      </c>
      <c r="G5936">
        <v>622</v>
      </c>
      <c r="H5936" t="s">
        <v>112</v>
      </c>
      <c r="I5936">
        <v>6</v>
      </c>
      <c r="J5936" t="s">
        <v>101</v>
      </c>
    </row>
    <row r="5937" spans="1:10" x14ac:dyDescent="0.25">
      <c r="A5937" t="s">
        <v>150</v>
      </c>
      <c r="B5937">
        <f>45956.8289314393*(1/100/100)</f>
        <v>4.5956828931439295</v>
      </c>
      <c r="C5937">
        <v>64303</v>
      </c>
      <c r="D5937" t="s">
        <v>3258</v>
      </c>
      <c r="E5937">
        <v>62277</v>
      </c>
      <c r="F5937" t="s">
        <v>1740</v>
      </c>
      <c r="G5937">
        <v>622</v>
      </c>
      <c r="H5937" t="s">
        <v>112</v>
      </c>
      <c r="I5937">
        <v>6</v>
      </c>
      <c r="J5937" t="s">
        <v>101</v>
      </c>
    </row>
    <row r="5938" spans="1:10" x14ac:dyDescent="0.25">
      <c r="A5938" t="s">
        <v>150</v>
      </c>
      <c r="B5938">
        <f>24624.4167494392*(1/100/100)</f>
        <v>2.46244167494392</v>
      </c>
      <c r="C5938">
        <v>64304</v>
      </c>
      <c r="D5938" t="s">
        <v>1435</v>
      </c>
      <c r="E5938">
        <v>62242</v>
      </c>
      <c r="F5938" t="s">
        <v>1721</v>
      </c>
      <c r="G5938">
        <v>622</v>
      </c>
      <c r="H5938" t="s">
        <v>112</v>
      </c>
      <c r="I5938">
        <v>6</v>
      </c>
      <c r="J5938" t="s">
        <v>101</v>
      </c>
    </row>
    <row r="5939" spans="1:10" x14ac:dyDescent="0.25">
      <c r="A5939" t="s">
        <v>150</v>
      </c>
      <c r="B5939">
        <f>31334.0143868795*(1/100/100)</f>
        <v>3.1334014386879501</v>
      </c>
      <c r="C5939">
        <v>64305</v>
      </c>
      <c r="D5939" t="s">
        <v>6973</v>
      </c>
      <c r="E5939">
        <v>62262</v>
      </c>
      <c r="F5939" t="s">
        <v>1727</v>
      </c>
      <c r="G5939">
        <v>622</v>
      </c>
      <c r="H5939" t="s">
        <v>112</v>
      </c>
      <c r="I5939">
        <v>6</v>
      </c>
      <c r="J5939" t="s">
        <v>101</v>
      </c>
    </row>
    <row r="5940" spans="1:10" x14ac:dyDescent="0.25">
      <c r="A5940" t="s">
        <v>150</v>
      </c>
      <c r="B5940">
        <f>72225.2648789602*(1/100/100)</f>
        <v>7.2225264878960198</v>
      </c>
      <c r="C5940">
        <v>64306</v>
      </c>
      <c r="D5940" t="s">
        <v>7023</v>
      </c>
      <c r="E5940">
        <v>62279</v>
      </c>
      <c r="F5940" t="s">
        <v>1742</v>
      </c>
      <c r="G5940">
        <v>622</v>
      </c>
      <c r="H5940" t="s">
        <v>112</v>
      </c>
      <c r="I5940">
        <v>6</v>
      </c>
      <c r="J5940" t="s">
        <v>101</v>
      </c>
    </row>
    <row r="5941" spans="1:10" x14ac:dyDescent="0.25">
      <c r="A5941" t="s">
        <v>150</v>
      </c>
      <c r="B5941">
        <f>60094.7941162221*(1/100/100)</f>
        <v>6.0094794116222108</v>
      </c>
      <c r="C5941">
        <v>64307</v>
      </c>
      <c r="D5941" t="s">
        <v>6959</v>
      </c>
      <c r="E5941">
        <v>62242</v>
      </c>
      <c r="F5941" t="s">
        <v>1721</v>
      </c>
      <c r="G5941">
        <v>622</v>
      </c>
      <c r="H5941" t="s">
        <v>112</v>
      </c>
      <c r="I5941">
        <v>6</v>
      </c>
      <c r="J5941" t="s">
        <v>101</v>
      </c>
    </row>
    <row r="5942" spans="1:10" x14ac:dyDescent="0.25">
      <c r="A5942" t="s">
        <v>150</v>
      </c>
      <c r="B5942">
        <f>28063.6138744464*(1/100/100)</f>
        <v>2.8063613874446403</v>
      </c>
      <c r="C5942">
        <v>64308</v>
      </c>
      <c r="D5942" t="s">
        <v>7017</v>
      </c>
      <c r="E5942">
        <v>62277</v>
      </c>
      <c r="F5942" t="s">
        <v>1740</v>
      </c>
      <c r="G5942">
        <v>622</v>
      </c>
      <c r="H5942" t="s">
        <v>112</v>
      </c>
      <c r="I5942">
        <v>6</v>
      </c>
      <c r="J5942" t="s">
        <v>101</v>
      </c>
    </row>
    <row r="5943" spans="1:10" x14ac:dyDescent="0.25">
      <c r="A5943" t="s">
        <v>150</v>
      </c>
      <c r="B5943">
        <f>54983.1968020938*(1/100/100)</f>
        <v>5.4983196802093799</v>
      </c>
      <c r="C5943">
        <v>64309</v>
      </c>
      <c r="D5943" t="s">
        <v>5497</v>
      </c>
      <c r="E5943">
        <v>62277</v>
      </c>
      <c r="F5943" t="s">
        <v>1740</v>
      </c>
      <c r="G5943">
        <v>622</v>
      </c>
      <c r="H5943" t="s">
        <v>112</v>
      </c>
      <c r="I5943">
        <v>6</v>
      </c>
      <c r="J5943" t="s">
        <v>101</v>
      </c>
    </row>
    <row r="5944" spans="1:10" x14ac:dyDescent="0.25">
      <c r="A5944" t="s">
        <v>150</v>
      </c>
      <c r="B5944">
        <f>74424.7849984586*(1/100/100)</f>
        <v>7.4424784998458611</v>
      </c>
      <c r="C5944">
        <v>64310</v>
      </c>
      <c r="D5944" t="s">
        <v>6974</v>
      </c>
      <c r="E5944">
        <v>62262</v>
      </c>
      <c r="F5944" t="s">
        <v>1727</v>
      </c>
      <c r="G5944">
        <v>622</v>
      </c>
      <c r="H5944" t="s">
        <v>112</v>
      </c>
      <c r="I5944">
        <v>6</v>
      </c>
      <c r="J5944" t="s">
        <v>101</v>
      </c>
    </row>
    <row r="5945" spans="1:10" x14ac:dyDescent="0.25">
      <c r="A5945" t="s">
        <v>150</v>
      </c>
      <c r="B5945">
        <f>74405.1367823617*(1/100/100)</f>
        <v>7.4405136782361705</v>
      </c>
      <c r="C5945">
        <v>64311</v>
      </c>
      <c r="D5945" t="s">
        <v>7019</v>
      </c>
      <c r="E5945">
        <v>62278</v>
      </c>
      <c r="F5945" t="s">
        <v>1741</v>
      </c>
      <c r="G5945">
        <v>622</v>
      </c>
      <c r="H5945" t="s">
        <v>112</v>
      </c>
      <c r="I5945">
        <v>6</v>
      </c>
      <c r="J5945" t="s">
        <v>101</v>
      </c>
    </row>
    <row r="5946" spans="1:10" x14ac:dyDescent="0.25">
      <c r="A5946" t="s">
        <v>150</v>
      </c>
      <c r="B5946">
        <f>44343.0047030361*(1/100/100)</f>
        <v>4.4343004703036106</v>
      </c>
      <c r="C5946">
        <v>64312</v>
      </c>
      <c r="D5946" t="s">
        <v>7020</v>
      </c>
      <c r="E5946">
        <v>62278</v>
      </c>
      <c r="F5946" t="s">
        <v>1741</v>
      </c>
      <c r="G5946">
        <v>622</v>
      </c>
      <c r="H5946" t="s">
        <v>112</v>
      </c>
      <c r="I5946">
        <v>6</v>
      </c>
      <c r="J5946" t="s">
        <v>101</v>
      </c>
    </row>
    <row r="5947" spans="1:10" x14ac:dyDescent="0.25">
      <c r="A5947" t="s">
        <v>150</v>
      </c>
      <c r="B5947">
        <f>102571.244524365*(1/100/100)</f>
        <v>10.2571244524365</v>
      </c>
      <c r="C5947">
        <v>64313</v>
      </c>
      <c r="D5947" t="s">
        <v>7021</v>
      </c>
      <c r="E5947">
        <v>62278</v>
      </c>
      <c r="F5947" t="s">
        <v>1741</v>
      </c>
      <c r="G5947">
        <v>622</v>
      </c>
      <c r="H5947" t="s">
        <v>112</v>
      </c>
      <c r="I5947">
        <v>6</v>
      </c>
      <c r="J5947" t="s">
        <v>101</v>
      </c>
    </row>
    <row r="5948" spans="1:10" x14ac:dyDescent="0.25">
      <c r="A5948" t="s">
        <v>150</v>
      </c>
      <c r="B5948">
        <f>26613.2586236042*(1/100/100)</f>
        <v>2.6613258623604201</v>
      </c>
      <c r="C5948">
        <v>64314</v>
      </c>
      <c r="D5948" t="s">
        <v>7024</v>
      </c>
      <c r="E5948">
        <v>62279</v>
      </c>
      <c r="F5948" t="s">
        <v>1742</v>
      </c>
      <c r="G5948">
        <v>622</v>
      </c>
      <c r="H5948" t="s">
        <v>112</v>
      </c>
      <c r="I5948">
        <v>6</v>
      </c>
      <c r="J5948" t="s">
        <v>101</v>
      </c>
    </row>
    <row r="5949" spans="1:10" x14ac:dyDescent="0.25">
      <c r="A5949" t="s">
        <v>150</v>
      </c>
      <c r="B5949">
        <f>151072.854132515*(1/100/100)</f>
        <v>15.107285413251502</v>
      </c>
      <c r="C5949">
        <v>64315</v>
      </c>
      <c r="D5949" t="s">
        <v>6758</v>
      </c>
      <c r="E5949">
        <v>62278</v>
      </c>
      <c r="F5949" t="s">
        <v>1741</v>
      </c>
      <c r="G5949">
        <v>622</v>
      </c>
      <c r="H5949" t="s">
        <v>112</v>
      </c>
      <c r="I5949">
        <v>6</v>
      </c>
      <c r="J5949" t="s">
        <v>101</v>
      </c>
    </row>
    <row r="5950" spans="1:10" x14ac:dyDescent="0.25">
      <c r="A5950" t="s">
        <v>150</v>
      </c>
      <c r="B5950">
        <f>48854.972961047*(1/100/100)</f>
        <v>4.8854972961047007</v>
      </c>
      <c r="C5950">
        <v>64316</v>
      </c>
      <c r="D5950" t="s">
        <v>7025</v>
      </c>
      <c r="E5950">
        <v>62279</v>
      </c>
      <c r="F5950" t="s">
        <v>1742</v>
      </c>
      <c r="G5950">
        <v>622</v>
      </c>
      <c r="H5950" t="s">
        <v>112</v>
      </c>
      <c r="I5950">
        <v>6</v>
      </c>
      <c r="J5950" t="s">
        <v>101</v>
      </c>
    </row>
    <row r="5951" spans="1:10" x14ac:dyDescent="0.25">
      <c r="A5951" t="s">
        <v>150</v>
      </c>
      <c r="B5951">
        <f>39240.3647717769*(1/100/100)</f>
        <v>3.9240364771776899</v>
      </c>
      <c r="C5951">
        <v>64317</v>
      </c>
      <c r="D5951" t="s">
        <v>7018</v>
      </c>
      <c r="E5951">
        <v>62277</v>
      </c>
      <c r="F5951" t="s">
        <v>1740</v>
      </c>
      <c r="G5951">
        <v>622</v>
      </c>
      <c r="H5951" t="s">
        <v>112</v>
      </c>
      <c r="I5951">
        <v>6</v>
      </c>
      <c r="J5951" t="s">
        <v>101</v>
      </c>
    </row>
    <row r="5952" spans="1:10" x14ac:dyDescent="0.25">
      <c r="A5952" t="s">
        <v>150</v>
      </c>
      <c r="B5952">
        <f>17325.8380424081*(1/100/100)</f>
        <v>1.7325838042408102</v>
      </c>
      <c r="C5952">
        <v>64318</v>
      </c>
      <c r="D5952" t="s">
        <v>7026</v>
      </c>
      <c r="E5952">
        <v>62279</v>
      </c>
      <c r="F5952" t="s">
        <v>1742</v>
      </c>
      <c r="G5952">
        <v>622</v>
      </c>
      <c r="H5952" t="s">
        <v>112</v>
      </c>
      <c r="I5952">
        <v>6</v>
      </c>
      <c r="J5952" t="s">
        <v>101</v>
      </c>
    </row>
    <row r="5953" spans="1:10" x14ac:dyDescent="0.25">
      <c r="A5953" t="s">
        <v>150</v>
      </c>
      <c r="B5953">
        <f>42611.20480954*(1/100/100)</f>
        <v>4.2611204809540002</v>
      </c>
      <c r="C5953">
        <v>64319</v>
      </c>
      <c r="D5953" t="s">
        <v>6975</v>
      </c>
      <c r="E5953">
        <v>62262</v>
      </c>
      <c r="F5953" t="s">
        <v>1727</v>
      </c>
      <c r="G5953">
        <v>622</v>
      </c>
      <c r="H5953" t="s">
        <v>112</v>
      </c>
      <c r="I5953">
        <v>6</v>
      </c>
      <c r="J5953" t="s">
        <v>101</v>
      </c>
    </row>
    <row r="5954" spans="1:10" x14ac:dyDescent="0.25">
      <c r="A5954" t="s">
        <v>150</v>
      </c>
      <c r="B5954">
        <f>63467.3423797217*(1/100/100)</f>
        <v>6.3467342379721696</v>
      </c>
      <c r="C5954">
        <v>64320</v>
      </c>
      <c r="D5954" t="s">
        <v>6976</v>
      </c>
      <c r="E5954">
        <v>62262</v>
      </c>
      <c r="F5954" t="s">
        <v>1727</v>
      </c>
      <c r="G5954">
        <v>622</v>
      </c>
      <c r="H5954" t="s">
        <v>112</v>
      </c>
      <c r="I5954">
        <v>6</v>
      </c>
      <c r="J5954" t="s">
        <v>101</v>
      </c>
    </row>
    <row r="5955" spans="1:10" x14ac:dyDescent="0.25">
      <c r="A5955" t="s">
        <v>150</v>
      </c>
      <c r="B5955">
        <f>30422.9793906696*(1/100/100)</f>
        <v>3.0422979390669602</v>
      </c>
      <c r="C5955">
        <v>64321</v>
      </c>
      <c r="D5955" t="s">
        <v>6960</v>
      </c>
      <c r="E5955">
        <v>62242</v>
      </c>
      <c r="F5955" t="s">
        <v>1721</v>
      </c>
      <c r="G5955">
        <v>622</v>
      </c>
      <c r="H5955" t="s">
        <v>112</v>
      </c>
      <c r="I5955">
        <v>6</v>
      </c>
      <c r="J5955" t="s">
        <v>101</v>
      </c>
    </row>
    <row r="5956" spans="1:10" x14ac:dyDescent="0.25">
      <c r="A5956" t="s">
        <v>150</v>
      </c>
      <c r="B5956">
        <f>166357.328128203*(1/100/100)</f>
        <v>16.635732812820301</v>
      </c>
      <c r="C5956">
        <v>64322</v>
      </c>
      <c r="D5956" t="s">
        <v>1741</v>
      </c>
      <c r="E5956">
        <v>62278</v>
      </c>
      <c r="F5956" t="s">
        <v>1741</v>
      </c>
      <c r="G5956">
        <v>622</v>
      </c>
      <c r="H5956" t="s">
        <v>112</v>
      </c>
      <c r="I5956">
        <v>6</v>
      </c>
      <c r="J5956" t="s">
        <v>101</v>
      </c>
    </row>
    <row r="5957" spans="1:10" x14ac:dyDescent="0.25">
      <c r="A5957" t="s">
        <v>150</v>
      </c>
      <c r="B5957">
        <f>101152.749028204*(1/100/100)</f>
        <v>10.115274902820399</v>
      </c>
      <c r="C5957">
        <v>64323</v>
      </c>
      <c r="D5957" t="s">
        <v>7022</v>
      </c>
      <c r="E5957">
        <v>62278</v>
      </c>
      <c r="F5957" t="s">
        <v>1741</v>
      </c>
      <c r="G5957">
        <v>622</v>
      </c>
      <c r="H5957" t="s">
        <v>112</v>
      </c>
      <c r="I5957">
        <v>6</v>
      </c>
      <c r="J5957" t="s">
        <v>101</v>
      </c>
    </row>
    <row r="5958" spans="1:10" x14ac:dyDescent="0.25">
      <c r="A5958" t="s">
        <v>150</v>
      </c>
      <c r="B5958">
        <f>70934.5268934784*(1/100/100)</f>
        <v>7.0934526893478402</v>
      </c>
      <c r="C5958">
        <v>65001</v>
      </c>
      <c r="D5958" t="s">
        <v>6771</v>
      </c>
      <c r="E5958">
        <v>62007</v>
      </c>
      <c r="F5958" t="s">
        <v>1669</v>
      </c>
      <c r="G5958">
        <v>620</v>
      </c>
      <c r="H5958" t="s">
        <v>110</v>
      </c>
      <c r="I5958">
        <v>6</v>
      </c>
      <c r="J5958" t="s">
        <v>101</v>
      </c>
    </row>
    <row r="5959" spans="1:10" x14ac:dyDescent="0.25">
      <c r="A5959" t="s">
        <v>150</v>
      </c>
      <c r="B5959">
        <f>39535.7115081249*(1/100/100)</f>
        <v>3.9535711508124902</v>
      </c>
      <c r="C5959">
        <v>65002</v>
      </c>
      <c r="D5959" t="s">
        <v>5496</v>
      </c>
      <c r="E5959">
        <v>62043</v>
      </c>
      <c r="F5959" t="s">
        <v>1683</v>
      </c>
      <c r="G5959">
        <v>620</v>
      </c>
      <c r="H5959" t="s">
        <v>110</v>
      </c>
      <c r="I5959">
        <v>6</v>
      </c>
      <c r="J5959" t="s">
        <v>101</v>
      </c>
    </row>
    <row r="5960" spans="1:10" x14ac:dyDescent="0.25">
      <c r="A5960" t="s">
        <v>150</v>
      </c>
      <c r="B5960">
        <f>42226.3154423278*(1/100/100)</f>
        <v>4.2226315442327804</v>
      </c>
      <c r="C5960">
        <v>65003</v>
      </c>
      <c r="D5960" t="s">
        <v>2288</v>
      </c>
      <c r="E5960">
        <v>62048</v>
      </c>
      <c r="F5960" t="s">
        <v>1688</v>
      </c>
      <c r="G5960">
        <v>620</v>
      </c>
      <c r="H5960" t="s">
        <v>110</v>
      </c>
      <c r="I5960">
        <v>6</v>
      </c>
      <c r="J5960" t="s">
        <v>101</v>
      </c>
    </row>
    <row r="5961" spans="1:10" x14ac:dyDescent="0.25">
      <c r="A5961" t="s">
        <v>150</v>
      </c>
      <c r="B5961">
        <f>150092.995454727*(1/100/100)</f>
        <v>15.0092995454727</v>
      </c>
      <c r="C5961">
        <v>65004</v>
      </c>
      <c r="D5961" t="s">
        <v>3389</v>
      </c>
      <c r="E5961">
        <v>62007</v>
      </c>
      <c r="F5961" t="s">
        <v>1669</v>
      </c>
      <c r="G5961">
        <v>620</v>
      </c>
      <c r="H5961" t="s">
        <v>110</v>
      </c>
      <c r="I5961">
        <v>6</v>
      </c>
      <c r="J5961" t="s">
        <v>101</v>
      </c>
    </row>
    <row r="5962" spans="1:10" x14ac:dyDescent="0.25">
      <c r="A5962" t="s">
        <v>150</v>
      </c>
      <c r="B5962">
        <f>28965.4422832089*(1/100/100)</f>
        <v>2.8965442283208902</v>
      </c>
      <c r="C5962">
        <v>65005</v>
      </c>
      <c r="D5962" t="s">
        <v>6799</v>
      </c>
      <c r="E5962">
        <v>62043</v>
      </c>
      <c r="F5962" t="s">
        <v>1683</v>
      </c>
      <c r="G5962">
        <v>620</v>
      </c>
      <c r="H5962" t="s">
        <v>110</v>
      </c>
      <c r="I5962">
        <v>6</v>
      </c>
      <c r="J5962" t="s">
        <v>101</v>
      </c>
    </row>
    <row r="5963" spans="1:10" x14ac:dyDescent="0.25">
      <c r="A5963" t="s">
        <v>150</v>
      </c>
      <c r="B5963">
        <f>244852.359036534*(1/100/100)</f>
        <v>24.4852359036534</v>
      </c>
      <c r="C5963">
        <v>65006</v>
      </c>
      <c r="D5963" t="s">
        <v>6778</v>
      </c>
      <c r="E5963">
        <v>62038</v>
      </c>
      <c r="F5963" t="s">
        <v>1678</v>
      </c>
      <c r="G5963">
        <v>620</v>
      </c>
      <c r="H5963" t="s">
        <v>110</v>
      </c>
      <c r="I5963">
        <v>6</v>
      </c>
      <c r="J5963" t="s">
        <v>101</v>
      </c>
    </row>
    <row r="5964" spans="1:10" x14ac:dyDescent="0.25">
      <c r="A5964" t="s">
        <v>150</v>
      </c>
      <c r="B5964">
        <f>94956.5434217853*(1/100/100)</f>
        <v>9.4956543421785309</v>
      </c>
      <c r="C5964">
        <v>65007</v>
      </c>
      <c r="D5964" t="s">
        <v>2511</v>
      </c>
      <c r="E5964">
        <v>62048</v>
      </c>
      <c r="F5964" t="s">
        <v>1688</v>
      </c>
      <c r="G5964">
        <v>620</v>
      </c>
      <c r="H5964" t="s">
        <v>110</v>
      </c>
      <c r="I5964">
        <v>6</v>
      </c>
      <c r="J5964" t="s">
        <v>101</v>
      </c>
    </row>
    <row r="5965" spans="1:10" x14ac:dyDescent="0.25">
      <c r="A5965" t="s">
        <v>150</v>
      </c>
      <c r="B5965">
        <f>12226.100066197*(1/100/100)</f>
        <v>1.2226100066196999</v>
      </c>
      <c r="C5965">
        <v>65008</v>
      </c>
      <c r="D5965" t="s">
        <v>6783</v>
      </c>
      <c r="E5965">
        <v>62032</v>
      </c>
      <c r="F5965" t="s">
        <v>1675</v>
      </c>
      <c r="G5965">
        <v>620</v>
      </c>
      <c r="H5965" t="s">
        <v>110</v>
      </c>
      <c r="I5965">
        <v>6</v>
      </c>
      <c r="J5965" t="s">
        <v>101</v>
      </c>
    </row>
    <row r="5966" spans="1:10" x14ac:dyDescent="0.25">
      <c r="A5966" t="s">
        <v>150</v>
      </c>
      <c r="B5966">
        <f>92534.1591597028*(1/100/100)</f>
        <v>9.2534159159702813</v>
      </c>
      <c r="C5966">
        <v>65009</v>
      </c>
      <c r="D5966" t="s">
        <v>6822</v>
      </c>
      <c r="E5966">
        <v>62048</v>
      </c>
      <c r="F5966" t="s">
        <v>1688</v>
      </c>
      <c r="G5966">
        <v>620</v>
      </c>
      <c r="H5966" t="s">
        <v>110</v>
      </c>
      <c r="I5966">
        <v>6</v>
      </c>
      <c r="J5966" t="s">
        <v>101</v>
      </c>
    </row>
    <row r="5967" spans="1:10" x14ac:dyDescent="0.25">
      <c r="A5967" t="s">
        <v>150</v>
      </c>
      <c r="B5967">
        <f>275225.679713257*(1/100/100)</f>
        <v>27.522567971325703</v>
      </c>
      <c r="C5967">
        <v>65010</v>
      </c>
      <c r="D5967" t="s">
        <v>1669</v>
      </c>
      <c r="E5967">
        <v>62007</v>
      </c>
      <c r="F5967" t="s">
        <v>1669</v>
      </c>
      <c r="G5967">
        <v>620</v>
      </c>
      <c r="H5967" t="s">
        <v>110</v>
      </c>
      <c r="I5967">
        <v>6</v>
      </c>
      <c r="J5967" t="s">
        <v>101</v>
      </c>
    </row>
    <row r="5968" spans="1:10" x14ac:dyDescent="0.25">
      <c r="A5968" t="s">
        <v>150</v>
      </c>
      <c r="B5968">
        <f>76228.7881591142*(1/100/100)</f>
        <v>7.6228788159114211</v>
      </c>
      <c r="C5968">
        <v>65011</v>
      </c>
      <c r="D5968" t="s">
        <v>6786</v>
      </c>
      <c r="E5968">
        <v>62036</v>
      </c>
      <c r="F5968" t="s">
        <v>1677</v>
      </c>
      <c r="G5968">
        <v>620</v>
      </c>
      <c r="H5968" t="s">
        <v>110</v>
      </c>
      <c r="I5968">
        <v>6</v>
      </c>
      <c r="J5968" t="s">
        <v>101</v>
      </c>
    </row>
    <row r="5969" spans="1:10" x14ac:dyDescent="0.25">
      <c r="A5969" t="s">
        <v>150</v>
      </c>
      <c r="B5969">
        <f>160447.1247159*(1/100/100)</f>
        <v>16.04471247159</v>
      </c>
      <c r="C5969">
        <v>65012</v>
      </c>
      <c r="D5969" t="s">
        <v>6772</v>
      </c>
      <c r="E5969">
        <v>62007</v>
      </c>
      <c r="F5969" t="s">
        <v>1669</v>
      </c>
      <c r="G5969">
        <v>620</v>
      </c>
      <c r="H5969" t="s">
        <v>110</v>
      </c>
      <c r="I5969">
        <v>6</v>
      </c>
      <c r="J5969" t="s">
        <v>101</v>
      </c>
    </row>
    <row r="5970" spans="1:10" x14ac:dyDescent="0.25">
      <c r="A5970" t="s">
        <v>150</v>
      </c>
      <c r="B5970">
        <f>567084.878310574*(1/100/100)</f>
        <v>56.708487831057404</v>
      </c>
      <c r="C5970">
        <v>65013</v>
      </c>
      <c r="D5970" t="s">
        <v>1680</v>
      </c>
      <c r="E5970">
        <v>62040</v>
      </c>
      <c r="F5970" t="s">
        <v>1680</v>
      </c>
      <c r="G5970">
        <v>620</v>
      </c>
      <c r="H5970" t="s">
        <v>110</v>
      </c>
      <c r="I5970">
        <v>6</v>
      </c>
      <c r="J5970" t="s">
        <v>101</v>
      </c>
    </row>
    <row r="5971" spans="1:10" x14ac:dyDescent="0.25">
      <c r="A5971" t="s">
        <v>150</v>
      </c>
      <c r="B5971">
        <f>11565.0016640372*(1/100/100)</f>
        <v>1.15650016640372</v>
      </c>
      <c r="C5971">
        <v>65014</v>
      </c>
      <c r="D5971" t="s">
        <v>6823</v>
      </c>
      <c r="E5971">
        <v>62048</v>
      </c>
      <c r="F5971" t="s">
        <v>1688</v>
      </c>
      <c r="G5971">
        <v>620</v>
      </c>
      <c r="H5971" t="s">
        <v>110</v>
      </c>
      <c r="I5971">
        <v>6</v>
      </c>
      <c r="J5971" t="s">
        <v>101</v>
      </c>
    </row>
    <row r="5972" spans="1:10" x14ac:dyDescent="0.25">
      <c r="A5972" t="s">
        <v>150</v>
      </c>
      <c r="B5972">
        <f>23174.2779144145*(1/100/100)</f>
        <v>2.3174277914414501</v>
      </c>
      <c r="C5972">
        <v>65015</v>
      </c>
      <c r="D5972" t="s">
        <v>6773</v>
      </c>
      <c r="E5972">
        <v>62007</v>
      </c>
      <c r="F5972" t="s">
        <v>1669</v>
      </c>
      <c r="G5972">
        <v>620</v>
      </c>
      <c r="H5972" t="s">
        <v>110</v>
      </c>
      <c r="I5972">
        <v>6</v>
      </c>
      <c r="J5972" t="s">
        <v>101</v>
      </c>
    </row>
    <row r="5973" spans="1:10" x14ac:dyDescent="0.25">
      <c r="A5973" t="s">
        <v>150</v>
      </c>
      <c r="B5973">
        <f>16720.1476759382*(1/100/100)</f>
        <v>1.67201476759382</v>
      </c>
      <c r="C5973">
        <v>65016</v>
      </c>
      <c r="D5973" t="s">
        <v>6784</v>
      </c>
      <c r="E5973">
        <v>62032</v>
      </c>
      <c r="F5973" t="s">
        <v>1675</v>
      </c>
      <c r="G5973">
        <v>620</v>
      </c>
      <c r="H5973" t="s">
        <v>110</v>
      </c>
      <c r="I5973">
        <v>6</v>
      </c>
      <c r="J5973" t="s">
        <v>101</v>
      </c>
    </row>
    <row r="5974" spans="1:10" x14ac:dyDescent="0.25">
      <c r="A5974" t="s">
        <v>150</v>
      </c>
      <c r="B5974">
        <f>46044.1904345241*(1/100/100)</f>
        <v>4.6044190434524097</v>
      </c>
      <c r="C5974">
        <v>65017</v>
      </c>
      <c r="D5974" t="s">
        <v>6824</v>
      </c>
      <c r="E5974">
        <v>62048</v>
      </c>
      <c r="F5974" t="s">
        <v>1688</v>
      </c>
      <c r="G5974">
        <v>620</v>
      </c>
      <c r="H5974" t="s">
        <v>110</v>
      </c>
      <c r="I5974">
        <v>6</v>
      </c>
      <c r="J5974" t="s">
        <v>101</v>
      </c>
    </row>
    <row r="5975" spans="1:10" x14ac:dyDescent="0.25">
      <c r="A5975" t="s">
        <v>150</v>
      </c>
      <c r="B5975">
        <f>90265.2319309115*(1/100/100)</f>
        <v>9.0265231930911494</v>
      </c>
      <c r="C5975">
        <v>65018</v>
      </c>
      <c r="D5975" t="s">
        <v>399</v>
      </c>
      <c r="E5975">
        <v>62048</v>
      </c>
      <c r="F5975" t="s">
        <v>1688</v>
      </c>
      <c r="G5975">
        <v>620</v>
      </c>
      <c r="H5975" t="s">
        <v>110</v>
      </c>
      <c r="I5975">
        <v>6</v>
      </c>
      <c r="J5975" t="s">
        <v>101</v>
      </c>
    </row>
    <row r="5976" spans="1:10" x14ac:dyDescent="0.25">
      <c r="A5976" t="s">
        <v>150</v>
      </c>
      <c r="B5976">
        <f>38715.7176525203*(1/100/100)</f>
        <v>3.8715717652520305</v>
      </c>
      <c r="C5976">
        <v>65019</v>
      </c>
      <c r="D5976" t="s">
        <v>6791</v>
      </c>
      <c r="E5976">
        <v>62040</v>
      </c>
      <c r="F5976" t="s">
        <v>1680</v>
      </c>
      <c r="G5976">
        <v>620</v>
      </c>
      <c r="H5976" t="s">
        <v>110</v>
      </c>
      <c r="I5976">
        <v>6</v>
      </c>
      <c r="J5976" t="s">
        <v>101</v>
      </c>
    </row>
    <row r="5977" spans="1:10" x14ac:dyDescent="0.25">
      <c r="A5977" t="s">
        <v>150</v>
      </c>
      <c r="B5977">
        <f>20647.9796926541*(1/100/100)</f>
        <v>2.0647979692654101</v>
      </c>
      <c r="C5977">
        <v>65020</v>
      </c>
      <c r="D5977" t="s">
        <v>6792</v>
      </c>
      <c r="E5977">
        <v>62040</v>
      </c>
      <c r="F5977" t="s">
        <v>1680</v>
      </c>
      <c r="G5977">
        <v>620</v>
      </c>
      <c r="H5977" t="s">
        <v>110</v>
      </c>
      <c r="I5977">
        <v>6</v>
      </c>
      <c r="J5977" t="s">
        <v>101</v>
      </c>
    </row>
    <row r="5978" spans="1:10" x14ac:dyDescent="0.25">
      <c r="A5978" t="s">
        <v>150</v>
      </c>
      <c r="B5978">
        <f>26575.8017031893*(1/100/100)</f>
        <v>2.6575801703189299</v>
      </c>
      <c r="C5978">
        <v>65021</v>
      </c>
      <c r="D5978" t="s">
        <v>6780</v>
      </c>
      <c r="E5978">
        <v>62026</v>
      </c>
      <c r="F5978" t="s">
        <v>1674</v>
      </c>
      <c r="G5978">
        <v>620</v>
      </c>
      <c r="H5978" t="s">
        <v>110</v>
      </c>
      <c r="I5978">
        <v>6</v>
      </c>
      <c r="J5978" t="s">
        <v>101</v>
      </c>
    </row>
    <row r="5979" spans="1:10" x14ac:dyDescent="0.25">
      <c r="A5979" t="s">
        <v>150</v>
      </c>
      <c r="B5979">
        <f>169224.849211221*(1/100/100)</f>
        <v>16.922484921122102</v>
      </c>
      <c r="C5979">
        <v>65022</v>
      </c>
      <c r="D5979" t="s">
        <v>6305</v>
      </c>
      <c r="E5979">
        <v>62043</v>
      </c>
      <c r="F5979" t="s">
        <v>1683</v>
      </c>
      <c r="G5979">
        <v>620</v>
      </c>
      <c r="H5979" t="s">
        <v>110</v>
      </c>
      <c r="I5979">
        <v>6</v>
      </c>
      <c r="J5979" t="s">
        <v>101</v>
      </c>
    </row>
    <row r="5980" spans="1:10" x14ac:dyDescent="0.25">
      <c r="A5980" t="s">
        <v>150</v>
      </c>
      <c r="B5980">
        <f>45873.208364193*(1/100/100)</f>
        <v>4.5873208364193001</v>
      </c>
      <c r="C5980">
        <v>65023</v>
      </c>
      <c r="D5980" t="s">
        <v>1887</v>
      </c>
      <c r="E5980">
        <v>62007</v>
      </c>
      <c r="F5980" t="s">
        <v>1669</v>
      </c>
      <c r="G5980">
        <v>620</v>
      </c>
      <c r="H5980" t="s">
        <v>110</v>
      </c>
      <c r="I5980">
        <v>6</v>
      </c>
      <c r="J5980" t="s">
        <v>101</v>
      </c>
    </row>
    <row r="5981" spans="1:10" x14ac:dyDescent="0.25">
      <c r="A5981" t="s">
        <v>150</v>
      </c>
      <c r="B5981">
        <f>44971.4084370462*(1/100/100)</f>
        <v>4.4971408437046199</v>
      </c>
      <c r="C5981">
        <v>65024</v>
      </c>
      <c r="D5981" t="s">
        <v>6793</v>
      </c>
      <c r="E5981">
        <v>62040</v>
      </c>
      <c r="F5981" t="s">
        <v>1680</v>
      </c>
      <c r="G5981">
        <v>620</v>
      </c>
      <c r="H5981" t="s">
        <v>110</v>
      </c>
      <c r="I5981">
        <v>6</v>
      </c>
      <c r="J5981" t="s">
        <v>101</v>
      </c>
    </row>
    <row r="5982" spans="1:10" x14ac:dyDescent="0.25">
      <c r="A5982" t="s">
        <v>150</v>
      </c>
      <c r="B5982">
        <f>20954.2411871847*(1/100/100)</f>
        <v>2.0954241187184701</v>
      </c>
      <c r="C5982">
        <v>65025</v>
      </c>
      <c r="D5982" t="s">
        <v>6825</v>
      </c>
      <c r="E5982">
        <v>62048</v>
      </c>
      <c r="F5982" t="s">
        <v>1688</v>
      </c>
      <c r="G5982">
        <v>620</v>
      </c>
      <c r="H5982" t="s">
        <v>110</v>
      </c>
      <c r="I5982">
        <v>6</v>
      </c>
      <c r="J5982" t="s">
        <v>101</v>
      </c>
    </row>
    <row r="5983" spans="1:10" x14ac:dyDescent="0.25">
      <c r="A5983" t="s">
        <v>150</v>
      </c>
      <c r="B5983">
        <f>50101.3761236033*(1/100/100)</f>
        <v>5.0101376123603307</v>
      </c>
      <c r="C5983">
        <v>65026</v>
      </c>
      <c r="D5983" t="s">
        <v>6785</v>
      </c>
      <c r="E5983">
        <v>62032</v>
      </c>
      <c r="F5983" t="s">
        <v>1675</v>
      </c>
      <c r="G5983">
        <v>620</v>
      </c>
      <c r="H5983" t="s">
        <v>110</v>
      </c>
      <c r="I5983">
        <v>6</v>
      </c>
      <c r="J5983" t="s">
        <v>101</v>
      </c>
    </row>
    <row r="5984" spans="1:10" x14ac:dyDescent="0.25">
      <c r="A5984" t="s">
        <v>150</v>
      </c>
      <c r="B5984">
        <f>38900.3640720957*(1/100/100)</f>
        <v>3.8900364072095699</v>
      </c>
      <c r="C5984">
        <v>65027</v>
      </c>
      <c r="D5984" t="s">
        <v>2122</v>
      </c>
      <c r="E5984">
        <v>62026</v>
      </c>
      <c r="F5984" t="s">
        <v>1674</v>
      </c>
      <c r="G5984">
        <v>620</v>
      </c>
      <c r="H5984" t="s">
        <v>110</v>
      </c>
      <c r="I5984">
        <v>6</v>
      </c>
      <c r="J5984" t="s">
        <v>101</v>
      </c>
    </row>
    <row r="5985" spans="1:10" x14ac:dyDescent="0.25">
      <c r="A5985" t="s">
        <v>150</v>
      </c>
      <c r="B5985">
        <f>64405.8425582325*(1/100/100)</f>
        <v>6.44058425582325</v>
      </c>
      <c r="C5985">
        <v>65028</v>
      </c>
      <c r="D5985" t="s">
        <v>2595</v>
      </c>
      <c r="E5985">
        <v>62032</v>
      </c>
      <c r="F5985" t="s">
        <v>1675</v>
      </c>
      <c r="G5985">
        <v>620</v>
      </c>
      <c r="H5985" t="s">
        <v>110</v>
      </c>
      <c r="I5985">
        <v>6</v>
      </c>
      <c r="J5985" t="s">
        <v>101</v>
      </c>
    </row>
    <row r="5986" spans="1:10" x14ac:dyDescent="0.25">
      <c r="A5986" t="s">
        <v>150</v>
      </c>
      <c r="B5986">
        <f>29650.4254145088*(1/100/100)</f>
        <v>2.9650425414508801</v>
      </c>
      <c r="C5986">
        <v>65029</v>
      </c>
      <c r="D5986" t="s">
        <v>6781</v>
      </c>
      <c r="E5986">
        <v>62026</v>
      </c>
      <c r="F5986" t="s">
        <v>1674</v>
      </c>
      <c r="G5986">
        <v>620</v>
      </c>
      <c r="H5986" t="s">
        <v>110</v>
      </c>
      <c r="I5986">
        <v>6</v>
      </c>
      <c r="J5986" t="s">
        <v>101</v>
      </c>
    </row>
    <row r="5987" spans="1:10" x14ac:dyDescent="0.25">
      <c r="A5987" t="s">
        <v>150</v>
      </c>
      <c r="B5987">
        <f>65770.3720073085*(1/100/100)</f>
        <v>6.5770372007308504</v>
      </c>
      <c r="C5987">
        <v>65030</v>
      </c>
      <c r="D5987" t="s">
        <v>6826</v>
      </c>
      <c r="E5987">
        <v>62048</v>
      </c>
      <c r="F5987" t="s">
        <v>1688</v>
      </c>
      <c r="G5987">
        <v>620</v>
      </c>
      <c r="H5987" t="s">
        <v>110</v>
      </c>
      <c r="I5987">
        <v>6</v>
      </c>
      <c r="J5987" t="s">
        <v>101</v>
      </c>
    </row>
    <row r="5988" spans="1:10" x14ac:dyDescent="0.25">
      <c r="A5988" t="s">
        <v>150</v>
      </c>
      <c r="B5988">
        <f>36378.9293605501*(1/100/100)</f>
        <v>3.6378929360550103</v>
      </c>
      <c r="C5988">
        <v>65031</v>
      </c>
      <c r="D5988" t="s">
        <v>6774</v>
      </c>
      <c r="E5988">
        <v>62007</v>
      </c>
      <c r="F5988" t="s">
        <v>1669</v>
      </c>
      <c r="G5988">
        <v>620</v>
      </c>
      <c r="H5988" t="s">
        <v>110</v>
      </c>
      <c r="I5988">
        <v>6</v>
      </c>
      <c r="J5988" t="s">
        <v>101</v>
      </c>
    </row>
    <row r="5989" spans="1:10" x14ac:dyDescent="0.25">
      <c r="A5989" t="s">
        <v>150</v>
      </c>
      <c r="B5989">
        <f>43945.4414445716*(1/100/100)</f>
        <v>4.3945441444571607</v>
      </c>
      <c r="C5989">
        <v>65032</v>
      </c>
      <c r="D5989" t="s">
        <v>4407</v>
      </c>
      <c r="E5989">
        <v>62043</v>
      </c>
      <c r="F5989" t="s">
        <v>1683</v>
      </c>
      <c r="G5989">
        <v>620</v>
      </c>
      <c r="H5989" t="s">
        <v>110</v>
      </c>
      <c r="I5989">
        <v>6</v>
      </c>
      <c r="J5989" t="s">
        <v>101</v>
      </c>
    </row>
    <row r="5990" spans="1:10" x14ac:dyDescent="0.25">
      <c r="A5990" t="s">
        <v>150</v>
      </c>
      <c r="B5990">
        <f>12730.5058316912*(1/100/100)</f>
        <v>1.2730505831691201</v>
      </c>
      <c r="C5990">
        <v>65033</v>
      </c>
      <c r="D5990" t="s">
        <v>3737</v>
      </c>
      <c r="E5990">
        <v>62040</v>
      </c>
      <c r="F5990" t="s">
        <v>1680</v>
      </c>
      <c r="G5990">
        <v>620</v>
      </c>
      <c r="H5990" t="s">
        <v>110</v>
      </c>
      <c r="I5990">
        <v>6</v>
      </c>
      <c r="J5990" t="s">
        <v>101</v>
      </c>
    </row>
    <row r="5991" spans="1:10" x14ac:dyDescent="0.25">
      <c r="A5991" t="s">
        <v>150</v>
      </c>
      <c r="B5991">
        <f>65158.7650513068*(1/100/100)</f>
        <v>6.51587650513068</v>
      </c>
      <c r="C5991">
        <v>65034</v>
      </c>
      <c r="D5991" t="s">
        <v>6787</v>
      </c>
      <c r="E5991">
        <v>62036</v>
      </c>
      <c r="F5991" t="s">
        <v>1677</v>
      </c>
      <c r="G5991">
        <v>620</v>
      </c>
      <c r="H5991" t="s">
        <v>110</v>
      </c>
      <c r="I5991">
        <v>6</v>
      </c>
      <c r="J5991" t="s">
        <v>101</v>
      </c>
    </row>
    <row r="5992" spans="1:10" x14ac:dyDescent="0.25">
      <c r="A5992" t="s">
        <v>150</v>
      </c>
      <c r="B5992">
        <f>127798.339736613*(1/100/100)</f>
        <v>12.779833973661299</v>
      </c>
      <c r="C5992">
        <v>65035</v>
      </c>
      <c r="D5992" t="s">
        <v>4204</v>
      </c>
      <c r="E5992">
        <v>62040</v>
      </c>
      <c r="F5992" t="s">
        <v>1680</v>
      </c>
      <c r="G5992">
        <v>620</v>
      </c>
      <c r="H5992" t="s">
        <v>110</v>
      </c>
      <c r="I5992">
        <v>6</v>
      </c>
      <c r="J5992" t="s">
        <v>101</v>
      </c>
    </row>
    <row r="5993" spans="1:10" x14ac:dyDescent="0.25">
      <c r="A5993" t="s">
        <v>150</v>
      </c>
      <c r="B5993">
        <f>135996.536386512*(1/100/100)</f>
        <v>13.599653638651199</v>
      </c>
      <c r="C5993">
        <v>65036</v>
      </c>
      <c r="D5993" t="s">
        <v>5881</v>
      </c>
      <c r="E5993">
        <v>62048</v>
      </c>
      <c r="F5993" t="s">
        <v>1688</v>
      </c>
      <c r="G5993">
        <v>620</v>
      </c>
      <c r="H5993" t="s">
        <v>110</v>
      </c>
      <c r="I5993">
        <v>6</v>
      </c>
      <c r="J5993" t="s">
        <v>101</v>
      </c>
    </row>
    <row r="5994" spans="1:10" x14ac:dyDescent="0.25">
      <c r="A5994" t="s">
        <v>150</v>
      </c>
      <c r="B5994">
        <f>21182.792017061*(1/100/100)</f>
        <v>2.1182792017061001</v>
      </c>
      <c r="C5994">
        <v>65037</v>
      </c>
      <c r="D5994" t="s">
        <v>6782</v>
      </c>
      <c r="E5994">
        <v>62026</v>
      </c>
      <c r="F5994" t="s">
        <v>1674</v>
      </c>
      <c r="G5994">
        <v>620</v>
      </c>
      <c r="H5994" t="s">
        <v>110</v>
      </c>
      <c r="I5994">
        <v>6</v>
      </c>
      <c r="J5994" t="s">
        <v>101</v>
      </c>
    </row>
    <row r="5995" spans="1:10" x14ac:dyDescent="0.25">
      <c r="A5995" t="s">
        <v>150</v>
      </c>
      <c r="B5995">
        <f>432509.680680335*(1/100/100)</f>
        <v>43.250968068033501</v>
      </c>
      <c r="C5995">
        <v>65038</v>
      </c>
      <c r="D5995" t="s">
        <v>1678</v>
      </c>
      <c r="E5995">
        <v>62038</v>
      </c>
      <c r="F5995" t="s">
        <v>1678</v>
      </c>
      <c r="G5995">
        <v>620</v>
      </c>
      <c r="H5995" t="s">
        <v>110</v>
      </c>
      <c r="I5995">
        <v>6</v>
      </c>
      <c r="J5995" t="s">
        <v>101</v>
      </c>
    </row>
    <row r="5996" spans="1:10" x14ac:dyDescent="0.25">
      <c r="A5996" t="s">
        <v>150</v>
      </c>
      <c r="B5996">
        <f>102851.920999287*(1/100/100)</f>
        <v>10.2851920999287</v>
      </c>
      <c r="C5996">
        <v>65101</v>
      </c>
      <c r="D5996" t="s">
        <v>6794</v>
      </c>
      <c r="E5996">
        <v>62041</v>
      </c>
      <c r="F5996" t="s">
        <v>1681</v>
      </c>
      <c r="G5996">
        <v>620</v>
      </c>
      <c r="H5996" t="s">
        <v>110</v>
      </c>
      <c r="I5996">
        <v>6</v>
      </c>
      <c r="J5996" t="s">
        <v>101</v>
      </c>
    </row>
    <row r="5997" spans="1:10" x14ac:dyDescent="0.25">
      <c r="A5997" t="s">
        <v>150</v>
      </c>
      <c r="B5997">
        <f>52457.4811573744*(1/100/100)</f>
        <v>5.2457481157374399</v>
      </c>
      <c r="C5997">
        <v>65102</v>
      </c>
      <c r="D5997" t="s">
        <v>5910</v>
      </c>
      <c r="E5997">
        <v>62034</v>
      </c>
      <c r="F5997" t="s">
        <v>1676</v>
      </c>
      <c r="G5997">
        <v>620</v>
      </c>
      <c r="H5997" t="s">
        <v>110</v>
      </c>
      <c r="I5997">
        <v>6</v>
      </c>
      <c r="J5997" t="s">
        <v>101</v>
      </c>
    </row>
    <row r="5998" spans="1:10" x14ac:dyDescent="0.25">
      <c r="A5998" t="s">
        <v>150</v>
      </c>
      <c r="B5998">
        <f>23597.7663505619*(1/100/100)</f>
        <v>2.35977663505619</v>
      </c>
      <c r="C5998">
        <v>65103</v>
      </c>
      <c r="D5998" t="s">
        <v>6814</v>
      </c>
      <c r="E5998">
        <v>62047</v>
      </c>
      <c r="F5998" t="s">
        <v>1687</v>
      </c>
      <c r="G5998">
        <v>620</v>
      </c>
      <c r="H5998" t="s">
        <v>110</v>
      </c>
      <c r="I5998">
        <v>6</v>
      </c>
      <c r="J5998" t="s">
        <v>101</v>
      </c>
    </row>
    <row r="5999" spans="1:10" x14ac:dyDescent="0.25">
      <c r="A5999" t="s">
        <v>150</v>
      </c>
      <c r="B5999">
        <f>44691.9828763274*(1/100/100)</f>
        <v>4.4691982876327403</v>
      </c>
      <c r="C5999">
        <v>65104</v>
      </c>
      <c r="D5999" t="s">
        <v>6778</v>
      </c>
      <c r="E5999">
        <v>62014</v>
      </c>
      <c r="F5999" t="s">
        <v>1672</v>
      </c>
      <c r="G5999">
        <v>620</v>
      </c>
      <c r="H5999" t="s">
        <v>110</v>
      </c>
      <c r="I5999">
        <v>6</v>
      </c>
      <c r="J5999" t="s">
        <v>101</v>
      </c>
    </row>
    <row r="6000" spans="1:10" x14ac:dyDescent="0.25">
      <c r="A6000" t="s">
        <v>150</v>
      </c>
      <c r="B6000">
        <f>102596.267641374*(1/100/100)</f>
        <v>10.259626764137399</v>
      </c>
      <c r="C6000">
        <v>65105</v>
      </c>
      <c r="D6000" t="s">
        <v>2511</v>
      </c>
      <c r="E6000">
        <v>62045</v>
      </c>
      <c r="F6000" t="s">
        <v>1685</v>
      </c>
      <c r="G6000">
        <v>620</v>
      </c>
      <c r="H6000" t="s">
        <v>110</v>
      </c>
      <c r="I6000">
        <v>6</v>
      </c>
      <c r="J6000" t="s">
        <v>101</v>
      </c>
    </row>
    <row r="6001" spans="1:10" x14ac:dyDescent="0.25">
      <c r="A6001" t="s">
        <v>150</v>
      </c>
      <c r="B6001">
        <f>54689.1540124737*(1/100/100)</f>
        <v>5.4689154012473704</v>
      </c>
      <c r="C6001">
        <v>65106</v>
      </c>
      <c r="D6001" t="s">
        <v>6815</v>
      </c>
      <c r="E6001">
        <v>62047</v>
      </c>
      <c r="F6001" t="s">
        <v>1687</v>
      </c>
      <c r="G6001">
        <v>620</v>
      </c>
      <c r="H6001" t="s">
        <v>110</v>
      </c>
      <c r="I6001">
        <v>6</v>
      </c>
      <c r="J6001" t="s">
        <v>101</v>
      </c>
    </row>
    <row r="6002" spans="1:10" x14ac:dyDescent="0.25">
      <c r="A6002" t="s">
        <v>150</v>
      </c>
      <c r="B6002">
        <f>31095.5395201347*(1/100/100)</f>
        <v>3.1095539520134698</v>
      </c>
      <c r="C6002">
        <v>65107</v>
      </c>
      <c r="D6002" t="s">
        <v>6807</v>
      </c>
      <c r="E6002">
        <v>62045</v>
      </c>
      <c r="F6002" t="s">
        <v>1685</v>
      </c>
      <c r="G6002">
        <v>620</v>
      </c>
      <c r="H6002" t="s">
        <v>110</v>
      </c>
      <c r="I6002">
        <v>6</v>
      </c>
      <c r="J6002" t="s">
        <v>101</v>
      </c>
    </row>
    <row r="6003" spans="1:10" x14ac:dyDescent="0.25">
      <c r="A6003" t="s">
        <v>150</v>
      </c>
      <c r="B6003">
        <f>51241.305622606*(1/100/100)</f>
        <v>5.1241305622605999</v>
      </c>
      <c r="C6003">
        <v>65108</v>
      </c>
      <c r="D6003" t="s">
        <v>1670</v>
      </c>
      <c r="E6003">
        <v>62008</v>
      </c>
      <c r="F6003" t="s">
        <v>1670</v>
      </c>
      <c r="G6003">
        <v>620</v>
      </c>
      <c r="H6003" t="s">
        <v>110</v>
      </c>
      <c r="I6003">
        <v>6</v>
      </c>
      <c r="J6003" t="s">
        <v>101</v>
      </c>
    </row>
    <row r="6004" spans="1:10" x14ac:dyDescent="0.25">
      <c r="A6004" t="s">
        <v>150</v>
      </c>
      <c r="B6004">
        <f>43947.1347931375*(1/100/100)</f>
        <v>4.3947134793137499</v>
      </c>
      <c r="C6004">
        <v>65109</v>
      </c>
      <c r="D6004" t="s">
        <v>6810</v>
      </c>
      <c r="E6004">
        <v>62046</v>
      </c>
      <c r="F6004" t="s">
        <v>1686</v>
      </c>
      <c r="G6004">
        <v>620</v>
      </c>
      <c r="H6004" t="s">
        <v>110</v>
      </c>
      <c r="I6004">
        <v>6</v>
      </c>
      <c r="J6004" t="s">
        <v>101</v>
      </c>
    </row>
    <row r="6005" spans="1:10" x14ac:dyDescent="0.25">
      <c r="A6005" t="s">
        <v>150</v>
      </c>
      <c r="B6005">
        <f>79737.2381461671*(1/100/100)</f>
        <v>7.9737238146167106</v>
      </c>
      <c r="C6005">
        <v>65110</v>
      </c>
      <c r="D6005" t="s">
        <v>6775</v>
      </c>
      <c r="E6005">
        <v>62008</v>
      </c>
      <c r="F6005" t="s">
        <v>1670</v>
      </c>
      <c r="G6005">
        <v>620</v>
      </c>
      <c r="H6005" t="s">
        <v>110</v>
      </c>
      <c r="I6005">
        <v>6</v>
      </c>
      <c r="J6005" t="s">
        <v>101</v>
      </c>
    </row>
    <row r="6006" spans="1:10" x14ac:dyDescent="0.25">
      <c r="A6006" t="s">
        <v>150</v>
      </c>
      <c r="B6006">
        <f>33850.4158296278*(1/100/100)</f>
        <v>3.38504158296278</v>
      </c>
      <c r="C6006">
        <v>65111</v>
      </c>
      <c r="D6006" t="s">
        <v>2644</v>
      </c>
      <c r="E6006">
        <v>62045</v>
      </c>
      <c r="F6006" t="s">
        <v>1685</v>
      </c>
      <c r="G6006">
        <v>620</v>
      </c>
      <c r="H6006" t="s">
        <v>110</v>
      </c>
      <c r="I6006">
        <v>6</v>
      </c>
      <c r="J6006" t="s">
        <v>101</v>
      </c>
    </row>
    <row r="6007" spans="1:10" x14ac:dyDescent="0.25">
      <c r="A6007" t="s">
        <v>150</v>
      </c>
      <c r="B6007">
        <f>104790.087286867*(1/100/100)</f>
        <v>10.479008728686701</v>
      </c>
      <c r="C6007">
        <v>65112</v>
      </c>
      <c r="D6007" t="s">
        <v>6788</v>
      </c>
      <c r="E6007">
        <v>62039</v>
      </c>
      <c r="F6007" t="s">
        <v>1679</v>
      </c>
      <c r="G6007">
        <v>620</v>
      </c>
      <c r="H6007" t="s">
        <v>110</v>
      </c>
      <c r="I6007">
        <v>6</v>
      </c>
      <c r="J6007" t="s">
        <v>101</v>
      </c>
    </row>
    <row r="6008" spans="1:10" x14ac:dyDescent="0.25">
      <c r="A6008" t="s">
        <v>150</v>
      </c>
      <c r="B6008">
        <f>16646.6453461756*(1/100/100)</f>
        <v>1.6646645346175599</v>
      </c>
      <c r="C6008">
        <v>65113</v>
      </c>
      <c r="D6008" t="s">
        <v>6816</v>
      </c>
      <c r="E6008">
        <v>62047</v>
      </c>
      <c r="F6008" t="s">
        <v>1687</v>
      </c>
      <c r="G6008">
        <v>620</v>
      </c>
      <c r="H6008" t="s">
        <v>110</v>
      </c>
      <c r="I6008">
        <v>6</v>
      </c>
      <c r="J6008" t="s">
        <v>101</v>
      </c>
    </row>
    <row r="6009" spans="1:10" x14ac:dyDescent="0.25">
      <c r="A6009" t="s">
        <v>150</v>
      </c>
      <c r="B6009">
        <f>41648.4735706826*(1/100/100)</f>
        <v>4.1648473570682603</v>
      </c>
      <c r="C6009">
        <v>65114</v>
      </c>
      <c r="D6009" t="s">
        <v>6776</v>
      </c>
      <c r="E6009">
        <v>62008</v>
      </c>
      <c r="F6009" t="s">
        <v>1670</v>
      </c>
      <c r="G6009">
        <v>620</v>
      </c>
      <c r="H6009" t="s">
        <v>110</v>
      </c>
      <c r="I6009">
        <v>6</v>
      </c>
      <c r="J6009" t="s">
        <v>101</v>
      </c>
    </row>
    <row r="6010" spans="1:10" x14ac:dyDescent="0.25">
      <c r="A6010" t="s">
        <v>150</v>
      </c>
      <c r="B6010">
        <f>64845.6621021757*(1/100/100)</f>
        <v>6.4845662102175705</v>
      </c>
      <c r="C6010">
        <v>65115</v>
      </c>
      <c r="D6010" t="s">
        <v>6789</v>
      </c>
      <c r="E6010">
        <v>62039</v>
      </c>
      <c r="F6010" t="s">
        <v>1679</v>
      </c>
      <c r="G6010">
        <v>620</v>
      </c>
      <c r="H6010" t="s">
        <v>110</v>
      </c>
      <c r="I6010">
        <v>6</v>
      </c>
      <c r="J6010" t="s">
        <v>101</v>
      </c>
    </row>
    <row r="6011" spans="1:10" x14ac:dyDescent="0.25">
      <c r="A6011" t="s">
        <v>150</v>
      </c>
      <c r="B6011">
        <f>714441.665666936*(1/100/100)</f>
        <v>71.444166566693596</v>
      </c>
      <c r="C6011">
        <v>65116</v>
      </c>
      <c r="D6011" t="s">
        <v>1681</v>
      </c>
      <c r="E6011">
        <v>62041</v>
      </c>
      <c r="F6011" t="s">
        <v>1681</v>
      </c>
      <c r="G6011">
        <v>620</v>
      </c>
      <c r="H6011" t="s">
        <v>110</v>
      </c>
      <c r="I6011">
        <v>6</v>
      </c>
      <c r="J6011" t="s">
        <v>101</v>
      </c>
    </row>
    <row r="6012" spans="1:10" x14ac:dyDescent="0.25">
      <c r="A6012" t="s">
        <v>150</v>
      </c>
      <c r="B6012">
        <f>67547.8643349076*(1/100/100)</f>
        <v>6.7547864334907608</v>
      </c>
      <c r="C6012">
        <v>65117</v>
      </c>
      <c r="D6012" t="s">
        <v>1672</v>
      </c>
      <c r="E6012">
        <v>62014</v>
      </c>
      <c r="F6012" t="s">
        <v>1672</v>
      </c>
      <c r="G6012">
        <v>620</v>
      </c>
      <c r="H6012" t="s">
        <v>110</v>
      </c>
      <c r="I6012">
        <v>6</v>
      </c>
      <c r="J6012" t="s">
        <v>101</v>
      </c>
    </row>
    <row r="6013" spans="1:10" x14ac:dyDescent="0.25">
      <c r="A6013" t="s">
        <v>150</v>
      </c>
      <c r="B6013">
        <f>12755.7761899572*(1/100/100)</f>
        <v>1.27557761899572</v>
      </c>
      <c r="C6013">
        <v>65118</v>
      </c>
      <c r="D6013" t="s">
        <v>6817</v>
      </c>
      <c r="E6013">
        <v>62047</v>
      </c>
      <c r="F6013" t="s">
        <v>1687</v>
      </c>
      <c r="G6013">
        <v>620</v>
      </c>
      <c r="H6013" t="s">
        <v>110</v>
      </c>
      <c r="I6013">
        <v>6</v>
      </c>
      <c r="J6013" t="s">
        <v>101</v>
      </c>
    </row>
    <row r="6014" spans="1:10" x14ac:dyDescent="0.25">
      <c r="A6014" t="s">
        <v>150</v>
      </c>
      <c r="B6014">
        <f>137334.409469521*(1/100/100)</f>
        <v>13.733440946952101</v>
      </c>
      <c r="C6014">
        <v>65119</v>
      </c>
      <c r="D6014" t="s">
        <v>2573</v>
      </c>
      <c r="E6014">
        <v>62047</v>
      </c>
      <c r="F6014" t="s">
        <v>1687</v>
      </c>
      <c r="G6014">
        <v>620</v>
      </c>
      <c r="H6014" t="s">
        <v>110</v>
      </c>
      <c r="I6014">
        <v>6</v>
      </c>
      <c r="J6014" t="s">
        <v>101</v>
      </c>
    </row>
    <row r="6015" spans="1:10" x14ac:dyDescent="0.25">
      <c r="A6015" t="s">
        <v>150</v>
      </c>
      <c r="B6015">
        <f>81276.3907660998*(1/100/100)</f>
        <v>8.1276390766099791</v>
      </c>
      <c r="C6015">
        <v>65120</v>
      </c>
      <c r="D6015" t="s">
        <v>6818</v>
      </c>
      <c r="E6015">
        <v>62047</v>
      </c>
      <c r="F6015" t="s">
        <v>1687</v>
      </c>
      <c r="G6015">
        <v>620</v>
      </c>
      <c r="H6015" t="s">
        <v>110</v>
      </c>
      <c r="I6015">
        <v>6</v>
      </c>
      <c r="J6015" t="s">
        <v>101</v>
      </c>
    </row>
    <row r="6016" spans="1:10" x14ac:dyDescent="0.25">
      <c r="A6016" t="s">
        <v>150</v>
      </c>
      <c r="B6016">
        <f>34410.7914393504*(1/100/100)</f>
        <v>3.4410791439350406</v>
      </c>
      <c r="C6016">
        <v>65121</v>
      </c>
      <c r="D6016" t="s">
        <v>6672</v>
      </c>
      <c r="E6016">
        <v>62046</v>
      </c>
      <c r="F6016" t="s">
        <v>1686</v>
      </c>
      <c r="G6016">
        <v>620</v>
      </c>
      <c r="H6016" t="s">
        <v>110</v>
      </c>
      <c r="I6016">
        <v>6</v>
      </c>
      <c r="J6016" t="s">
        <v>101</v>
      </c>
    </row>
    <row r="6017" spans="1:10" x14ac:dyDescent="0.25">
      <c r="A6017" t="s">
        <v>150</v>
      </c>
      <c r="B6017">
        <f>42279.5625275471*(1/100/100)</f>
        <v>4.2279562527547103</v>
      </c>
      <c r="C6017">
        <v>65122</v>
      </c>
      <c r="D6017" t="s">
        <v>6790</v>
      </c>
      <c r="E6017">
        <v>62039</v>
      </c>
      <c r="F6017" t="s">
        <v>1679</v>
      </c>
      <c r="G6017">
        <v>620</v>
      </c>
      <c r="H6017" t="s">
        <v>110</v>
      </c>
      <c r="I6017">
        <v>6</v>
      </c>
      <c r="J6017" t="s">
        <v>101</v>
      </c>
    </row>
    <row r="6018" spans="1:10" x14ac:dyDescent="0.25">
      <c r="A6018" t="s">
        <v>150</v>
      </c>
      <c r="B6018">
        <f>50129.3232222319*(1/100/100)</f>
        <v>5.0129323222231905</v>
      </c>
      <c r="C6018">
        <v>65123</v>
      </c>
      <c r="D6018" t="s">
        <v>3949</v>
      </c>
      <c r="E6018">
        <v>62034</v>
      </c>
      <c r="F6018" t="s">
        <v>1676</v>
      </c>
      <c r="G6018">
        <v>620</v>
      </c>
      <c r="H6018" t="s">
        <v>110</v>
      </c>
      <c r="I6018">
        <v>6</v>
      </c>
      <c r="J6018" t="s">
        <v>101</v>
      </c>
    </row>
    <row r="6019" spans="1:10" x14ac:dyDescent="0.25">
      <c r="A6019" t="s">
        <v>150</v>
      </c>
      <c r="B6019">
        <f>115643.91356677*(1/100/100)</f>
        <v>11.564391356677001</v>
      </c>
      <c r="C6019">
        <v>65124</v>
      </c>
      <c r="D6019" t="s">
        <v>6819</v>
      </c>
      <c r="E6019">
        <v>62047</v>
      </c>
      <c r="F6019" t="s">
        <v>1687</v>
      </c>
      <c r="G6019">
        <v>620</v>
      </c>
      <c r="H6019" t="s">
        <v>110</v>
      </c>
      <c r="I6019">
        <v>6</v>
      </c>
      <c r="J6019" t="s">
        <v>101</v>
      </c>
    </row>
    <row r="6020" spans="1:10" x14ac:dyDescent="0.25">
      <c r="A6020" t="s">
        <v>150</v>
      </c>
      <c r="B6020">
        <f>24305.2553937857*(1/100/100)</f>
        <v>2.4305255393785701</v>
      </c>
      <c r="C6020">
        <v>65125</v>
      </c>
      <c r="D6020" t="s">
        <v>5433</v>
      </c>
      <c r="E6020">
        <v>62046</v>
      </c>
      <c r="F6020" t="s">
        <v>1686</v>
      </c>
      <c r="G6020">
        <v>620</v>
      </c>
      <c r="H6020" t="s">
        <v>110</v>
      </c>
      <c r="I6020">
        <v>6</v>
      </c>
      <c r="J6020" t="s">
        <v>101</v>
      </c>
    </row>
    <row r="6021" spans="1:10" x14ac:dyDescent="0.25">
      <c r="A6021" t="s">
        <v>150</v>
      </c>
      <c r="B6021">
        <f>37111.0251950773*(1/100/100)</f>
        <v>3.7111025195077305</v>
      </c>
      <c r="C6021">
        <v>65126</v>
      </c>
      <c r="D6021" t="s">
        <v>6808</v>
      </c>
      <c r="E6021">
        <v>62045</v>
      </c>
      <c r="F6021" t="s">
        <v>1685</v>
      </c>
      <c r="G6021">
        <v>620</v>
      </c>
      <c r="H6021" t="s">
        <v>110</v>
      </c>
      <c r="I6021">
        <v>6</v>
      </c>
      <c r="J6021" t="s">
        <v>101</v>
      </c>
    </row>
    <row r="6022" spans="1:10" x14ac:dyDescent="0.25">
      <c r="A6022" t="s">
        <v>150</v>
      </c>
      <c r="B6022">
        <f>35890.2798741533*(1/100/100)</f>
        <v>3.5890279874153297</v>
      </c>
      <c r="C6022">
        <v>65127</v>
      </c>
      <c r="D6022" t="s">
        <v>6811</v>
      </c>
      <c r="E6022">
        <v>62046</v>
      </c>
      <c r="F6022" t="s">
        <v>1686</v>
      </c>
      <c r="G6022">
        <v>620</v>
      </c>
      <c r="H6022" t="s">
        <v>110</v>
      </c>
      <c r="I6022">
        <v>6</v>
      </c>
      <c r="J6022" t="s">
        <v>101</v>
      </c>
    </row>
    <row r="6023" spans="1:10" x14ac:dyDescent="0.25">
      <c r="A6023" t="s">
        <v>150</v>
      </c>
      <c r="B6023">
        <f>30256.4557471815*(1/100/100)</f>
        <v>3.0256455747181499</v>
      </c>
      <c r="C6023">
        <v>65128</v>
      </c>
      <c r="D6023" t="s">
        <v>6777</v>
      </c>
      <c r="E6023">
        <v>62008</v>
      </c>
      <c r="F6023" t="s">
        <v>1670</v>
      </c>
      <c r="G6023">
        <v>620</v>
      </c>
      <c r="H6023" t="s">
        <v>110</v>
      </c>
      <c r="I6023">
        <v>6</v>
      </c>
      <c r="J6023" t="s">
        <v>101</v>
      </c>
    </row>
    <row r="6024" spans="1:10" x14ac:dyDescent="0.25">
      <c r="A6024" t="s">
        <v>150</v>
      </c>
      <c r="B6024">
        <f>14212.7650041178*(1/100/100)</f>
        <v>1.42127650041178</v>
      </c>
      <c r="C6024">
        <v>65129</v>
      </c>
      <c r="D6024" t="s">
        <v>6812</v>
      </c>
      <c r="E6024">
        <v>62046</v>
      </c>
      <c r="F6024" t="s">
        <v>1686</v>
      </c>
      <c r="G6024">
        <v>620</v>
      </c>
      <c r="H6024" t="s">
        <v>110</v>
      </c>
      <c r="I6024">
        <v>6</v>
      </c>
      <c r="J6024" t="s">
        <v>101</v>
      </c>
    </row>
    <row r="6025" spans="1:10" x14ac:dyDescent="0.25">
      <c r="A6025" t="s">
        <v>150</v>
      </c>
      <c r="B6025">
        <f>25830.5575261678*(1/100/100)</f>
        <v>2.5830557526167799</v>
      </c>
      <c r="C6025">
        <v>65130</v>
      </c>
      <c r="D6025" t="s">
        <v>6813</v>
      </c>
      <c r="E6025">
        <v>62046</v>
      </c>
      <c r="F6025" t="s">
        <v>1686</v>
      </c>
      <c r="G6025">
        <v>620</v>
      </c>
      <c r="H6025" t="s">
        <v>110</v>
      </c>
      <c r="I6025">
        <v>6</v>
      </c>
      <c r="J6025" t="s">
        <v>101</v>
      </c>
    </row>
    <row r="6026" spans="1:10" x14ac:dyDescent="0.25">
      <c r="A6026" t="s">
        <v>150</v>
      </c>
      <c r="B6026">
        <f>122391.919631959*(1/100/100)</f>
        <v>12.2391919631959</v>
      </c>
      <c r="C6026">
        <v>65131</v>
      </c>
      <c r="D6026" t="s">
        <v>6779</v>
      </c>
      <c r="E6026">
        <v>62014</v>
      </c>
      <c r="F6026" t="s">
        <v>1672</v>
      </c>
      <c r="G6026">
        <v>620</v>
      </c>
      <c r="H6026" t="s">
        <v>110</v>
      </c>
      <c r="I6026">
        <v>6</v>
      </c>
      <c r="J6026" t="s">
        <v>101</v>
      </c>
    </row>
    <row r="6027" spans="1:10" x14ac:dyDescent="0.25">
      <c r="A6027" t="s">
        <v>150</v>
      </c>
      <c r="B6027">
        <f>46572.4313665766*(1/100/100)</f>
        <v>4.6572431366576605</v>
      </c>
      <c r="C6027">
        <v>65132</v>
      </c>
      <c r="D6027" t="s">
        <v>6820</v>
      </c>
      <c r="E6027">
        <v>62047</v>
      </c>
      <c r="F6027" t="s">
        <v>1687</v>
      </c>
      <c r="G6027">
        <v>620</v>
      </c>
      <c r="H6027" t="s">
        <v>110</v>
      </c>
      <c r="I6027">
        <v>6</v>
      </c>
      <c r="J6027" t="s">
        <v>101</v>
      </c>
    </row>
    <row r="6028" spans="1:10" x14ac:dyDescent="0.25">
      <c r="A6028" t="s">
        <v>150</v>
      </c>
      <c r="B6028">
        <f>75793.9107711459*(1/100/100)</f>
        <v>7.5793910771145896</v>
      </c>
      <c r="C6028">
        <v>65133</v>
      </c>
      <c r="D6028" t="s">
        <v>2897</v>
      </c>
      <c r="E6028">
        <v>62046</v>
      </c>
      <c r="F6028" t="s">
        <v>1686</v>
      </c>
      <c r="G6028">
        <v>620</v>
      </c>
      <c r="H6028" t="s">
        <v>110</v>
      </c>
      <c r="I6028">
        <v>6</v>
      </c>
      <c r="J6028" t="s">
        <v>101</v>
      </c>
    </row>
    <row r="6029" spans="1:10" x14ac:dyDescent="0.25">
      <c r="A6029" t="s">
        <v>150</v>
      </c>
      <c r="B6029">
        <f>56885.7074527039*(1/100/100)</f>
        <v>5.6885707452703906</v>
      </c>
      <c r="C6029">
        <v>65134</v>
      </c>
      <c r="D6029" t="s">
        <v>2863</v>
      </c>
      <c r="E6029">
        <v>62045</v>
      </c>
      <c r="F6029" t="s">
        <v>1685</v>
      </c>
      <c r="G6029">
        <v>620</v>
      </c>
      <c r="H6029" t="s">
        <v>110</v>
      </c>
      <c r="I6029">
        <v>6</v>
      </c>
      <c r="J6029" t="s">
        <v>101</v>
      </c>
    </row>
    <row r="6030" spans="1:10" x14ac:dyDescent="0.25">
      <c r="A6030" t="s">
        <v>150</v>
      </c>
      <c r="B6030">
        <f>133760.448584153*(1/100/100)</f>
        <v>13.3760448584153</v>
      </c>
      <c r="C6030">
        <v>65135</v>
      </c>
      <c r="D6030" t="s">
        <v>2125</v>
      </c>
      <c r="E6030">
        <v>62046</v>
      </c>
      <c r="F6030" t="s">
        <v>1686</v>
      </c>
      <c r="G6030">
        <v>620</v>
      </c>
      <c r="H6030" t="s">
        <v>110</v>
      </c>
      <c r="I6030">
        <v>6</v>
      </c>
      <c r="J6030" t="s">
        <v>101</v>
      </c>
    </row>
    <row r="6031" spans="1:10" x14ac:dyDescent="0.25">
      <c r="A6031" t="s">
        <v>150</v>
      </c>
      <c r="B6031">
        <f>36808.7646832395*(1/100/100)</f>
        <v>3.6808764683239499</v>
      </c>
      <c r="C6031">
        <v>65136</v>
      </c>
      <c r="D6031" t="s">
        <v>2778</v>
      </c>
      <c r="E6031">
        <v>62047</v>
      </c>
      <c r="F6031" t="s">
        <v>1687</v>
      </c>
      <c r="G6031">
        <v>620</v>
      </c>
      <c r="H6031" t="s">
        <v>110</v>
      </c>
      <c r="I6031">
        <v>6</v>
      </c>
      <c r="J6031" t="s">
        <v>101</v>
      </c>
    </row>
    <row r="6032" spans="1:10" x14ac:dyDescent="0.25">
      <c r="A6032" t="s">
        <v>150</v>
      </c>
      <c r="B6032">
        <f>68697.3805102036*(1/100/100)</f>
        <v>6.8697380510203603</v>
      </c>
      <c r="C6032">
        <v>65137</v>
      </c>
      <c r="D6032" t="s">
        <v>1676</v>
      </c>
      <c r="E6032">
        <v>62034</v>
      </c>
      <c r="F6032" t="s">
        <v>1676</v>
      </c>
      <c r="G6032">
        <v>620</v>
      </c>
      <c r="H6032" t="s">
        <v>110</v>
      </c>
      <c r="I6032">
        <v>6</v>
      </c>
      <c r="J6032" t="s">
        <v>101</v>
      </c>
    </row>
    <row r="6033" spans="1:10" x14ac:dyDescent="0.25">
      <c r="A6033" t="s">
        <v>150</v>
      </c>
      <c r="B6033">
        <f>58848.4005437956*(1/100/100)</f>
        <v>5.88484005437956</v>
      </c>
      <c r="C6033">
        <v>65138</v>
      </c>
      <c r="D6033" t="s">
        <v>1687</v>
      </c>
      <c r="E6033">
        <v>62047</v>
      </c>
      <c r="F6033" t="s">
        <v>1687</v>
      </c>
      <c r="G6033">
        <v>620</v>
      </c>
      <c r="H6033" t="s">
        <v>110</v>
      </c>
      <c r="I6033">
        <v>6</v>
      </c>
      <c r="J6033" t="s">
        <v>101</v>
      </c>
    </row>
    <row r="6034" spans="1:10" x14ac:dyDescent="0.25">
      <c r="A6034" t="s">
        <v>150</v>
      </c>
      <c r="B6034">
        <f>19869.1714373887*(1/100/100)</f>
        <v>1.9869171437388702</v>
      </c>
      <c r="C6034">
        <v>65139</v>
      </c>
      <c r="D6034" t="s">
        <v>6809</v>
      </c>
      <c r="E6034">
        <v>62045</v>
      </c>
      <c r="F6034" t="s">
        <v>1685</v>
      </c>
      <c r="G6034">
        <v>620</v>
      </c>
      <c r="H6034" t="s">
        <v>110</v>
      </c>
      <c r="I6034">
        <v>6</v>
      </c>
      <c r="J6034" t="s">
        <v>101</v>
      </c>
    </row>
    <row r="6035" spans="1:10" x14ac:dyDescent="0.25">
      <c r="A6035" t="s">
        <v>150</v>
      </c>
      <c r="B6035">
        <f>28824.2827654691*(1/100/100)</f>
        <v>2.8824282765469103</v>
      </c>
      <c r="C6035">
        <v>65140</v>
      </c>
      <c r="D6035" t="s">
        <v>6821</v>
      </c>
      <c r="E6035">
        <v>62047</v>
      </c>
      <c r="F6035" t="s">
        <v>1687</v>
      </c>
      <c r="G6035">
        <v>620</v>
      </c>
      <c r="H6035" t="s">
        <v>110</v>
      </c>
      <c r="I6035">
        <v>6</v>
      </c>
      <c r="J6035" t="s">
        <v>101</v>
      </c>
    </row>
    <row r="6036" spans="1:10" x14ac:dyDescent="0.25">
      <c r="A6036" t="s">
        <v>150</v>
      </c>
      <c r="B6036">
        <f>38375.1359798414*(1/100/100)</f>
        <v>3.8375135979841399</v>
      </c>
      <c r="C6036">
        <v>65201</v>
      </c>
      <c r="D6036" t="s">
        <v>3426</v>
      </c>
      <c r="E6036">
        <v>61428</v>
      </c>
      <c r="F6036" t="s">
        <v>1617</v>
      </c>
      <c r="G6036">
        <v>614</v>
      </c>
      <c r="H6036" t="s">
        <v>107</v>
      </c>
      <c r="I6036">
        <v>6</v>
      </c>
      <c r="J6036" t="s">
        <v>101</v>
      </c>
    </row>
    <row r="6037" spans="1:10" x14ac:dyDescent="0.25">
      <c r="A6037" t="s">
        <v>150</v>
      </c>
      <c r="B6037">
        <f>26774.7401372898*(1/100/100)</f>
        <v>2.6774740137289799</v>
      </c>
      <c r="C6037">
        <v>65202</v>
      </c>
      <c r="D6037" t="s">
        <v>5502</v>
      </c>
      <c r="E6037">
        <v>61442</v>
      </c>
      <c r="F6037" t="s">
        <v>1622</v>
      </c>
      <c r="G6037">
        <v>614</v>
      </c>
      <c r="H6037" t="s">
        <v>107</v>
      </c>
      <c r="I6037">
        <v>6</v>
      </c>
      <c r="J6037" t="s">
        <v>101</v>
      </c>
    </row>
    <row r="6038" spans="1:10" x14ac:dyDescent="0.25">
      <c r="A6038" t="s">
        <v>150</v>
      </c>
      <c r="B6038">
        <f>32764.0207005364*(1/100/100)</f>
        <v>3.2764020700536403</v>
      </c>
      <c r="C6038">
        <v>65203</v>
      </c>
      <c r="D6038" t="s">
        <v>6608</v>
      </c>
      <c r="E6038">
        <v>61445</v>
      </c>
      <c r="F6038" t="s">
        <v>1625</v>
      </c>
      <c r="G6038">
        <v>614</v>
      </c>
      <c r="H6038" t="s">
        <v>107</v>
      </c>
      <c r="I6038">
        <v>6</v>
      </c>
      <c r="J6038" t="s">
        <v>101</v>
      </c>
    </row>
    <row r="6039" spans="1:10" x14ac:dyDescent="0.25">
      <c r="A6039" t="s">
        <v>150</v>
      </c>
      <c r="B6039">
        <f>90071.112539748*(1/100/100)</f>
        <v>9.0071112539748004</v>
      </c>
      <c r="C6039">
        <v>65204</v>
      </c>
      <c r="D6039" t="s">
        <v>6587</v>
      </c>
      <c r="E6039">
        <v>61438</v>
      </c>
      <c r="F6039" t="s">
        <v>107</v>
      </c>
      <c r="G6039">
        <v>614</v>
      </c>
      <c r="H6039" t="s">
        <v>107</v>
      </c>
      <c r="I6039">
        <v>6</v>
      </c>
      <c r="J6039" t="s">
        <v>101</v>
      </c>
    </row>
    <row r="6040" spans="1:10" x14ac:dyDescent="0.25">
      <c r="A6040" t="s">
        <v>150</v>
      </c>
      <c r="B6040">
        <f>24607.1938577279*(1/100/100)</f>
        <v>2.4607193857727903</v>
      </c>
      <c r="C6040">
        <v>65205</v>
      </c>
      <c r="D6040" t="s">
        <v>3245</v>
      </c>
      <c r="E6040">
        <v>61442</v>
      </c>
      <c r="F6040" t="s">
        <v>1622</v>
      </c>
      <c r="G6040">
        <v>614</v>
      </c>
      <c r="H6040" t="s">
        <v>107</v>
      </c>
      <c r="I6040">
        <v>6</v>
      </c>
      <c r="J6040" t="s">
        <v>101</v>
      </c>
    </row>
    <row r="6041" spans="1:10" x14ac:dyDescent="0.25">
      <c r="A6041" t="s">
        <v>150</v>
      </c>
      <c r="B6041">
        <f>27790.6634098599*(1/100/100)</f>
        <v>2.7790663409859899</v>
      </c>
      <c r="C6041">
        <v>65206</v>
      </c>
      <c r="D6041" t="s">
        <v>6599</v>
      </c>
      <c r="E6041">
        <v>61441</v>
      </c>
      <c r="F6041" t="s">
        <v>1621</v>
      </c>
      <c r="G6041">
        <v>614</v>
      </c>
      <c r="H6041" t="s">
        <v>107</v>
      </c>
      <c r="I6041">
        <v>6</v>
      </c>
      <c r="J6041" t="s">
        <v>101</v>
      </c>
    </row>
    <row r="6042" spans="1:10" x14ac:dyDescent="0.25">
      <c r="A6042" t="s">
        <v>150</v>
      </c>
      <c r="B6042">
        <f>75948.2780737414*(1/100/100)</f>
        <v>7.5948278073741404</v>
      </c>
      <c r="C6042">
        <v>65207</v>
      </c>
      <c r="D6042" t="s">
        <v>6610</v>
      </c>
      <c r="E6042">
        <v>61446</v>
      </c>
      <c r="F6042" t="s">
        <v>1626</v>
      </c>
      <c r="G6042">
        <v>614</v>
      </c>
      <c r="H6042" t="s">
        <v>107</v>
      </c>
      <c r="I6042">
        <v>6</v>
      </c>
      <c r="J6042" t="s">
        <v>101</v>
      </c>
    </row>
    <row r="6043" spans="1:10" x14ac:dyDescent="0.25">
      <c r="A6043" t="s">
        <v>150</v>
      </c>
      <c r="B6043">
        <f>91373.214127726*(1/100/100)</f>
        <v>9.1373214127726001</v>
      </c>
      <c r="C6043">
        <v>65208</v>
      </c>
      <c r="D6043" t="s">
        <v>6611</v>
      </c>
      <c r="E6043">
        <v>61446</v>
      </c>
      <c r="F6043" t="s">
        <v>1626</v>
      </c>
      <c r="G6043">
        <v>614</v>
      </c>
      <c r="H6043" t="s">
        <v>107</v>
      </c>
      <c r="I6043">
        <v>6</v>
      </c>
      <c r="J6043" t="s">
        <v>101</v>
      </c>
    </row>
    <row r="6044" spans="1:10" x14ac:dyDescent="0.25">
      <c r="A6044" t="s">
        <v>150</v>
      </c>
      <c r="B6044">
        <f>65960.3204152005*(1/100/100)</f>
        <v>6.5960320415200506</v>
      </c>
      <c r="C6044">
        <v>65209</v>
      </c>
      <c r="D6044" t="s">
        <v>6584</v>
      </c>
      <c r="E6044">
        <v>61437</v>
      </c>
      <c r="F6044" t="s">
        <v>1618</v>
      </c>
      <c r="G6044">
        <v>614</v>
      </c>
      <c r="H6044" t="s">
        <v>107</v>
      </c>
      <c r="I6044">
        <v>6</v>
      </c>
      <c r="J6044" t="s">
        <v>101</v>
      </c>
    </row>
    <row r="6045" spans="1:10" x14ac:dyDescent="0.25">
      <c r="A6045" t="s">
        <v>150</v>
      </c>
      <c r="B6045">
        <f>79674.4620382119*(1/100/100)</f>
        <v>7.9674462038211908</v>
      </c>
      <c r="C6045">
        <v>65210</v>
      </c>
      <c r="D6045" t="s">
        <v>6585</v>
      </c>
      <c r="E6045">
        <v>61437</v>
      </c>
      <c r="F6045" t="s">
        <v>1618</v>
      </c>
      <c r="G6045">
        <v>614</v>
      </c>
      <c r="H6045" t="s">
        <v>107</v>
      </c>
      <c r="I6045">
        <v>6</v>
      </c>
      <c r="J6045" t="s">
        <v>101</v>
      </c>
    </row>
    <row r="6046" spans="1:10" x14ac:dyDescent="0.25">
      <c r="A6046" t="s">
        <v>150</v>
      </c>
      <c r="B6046">
        <f>35432.4144914259*(1/100/100)</f>
        <v>3.5432414491425903</v>
      </c>
      <c r="C6046">
        <v>65211</v>
      </c>
      <c r="D6046" t="s">
        <v>6586</v>
      </c>
      <c r="E6046">
        <v>61437</v>
      </c>
      <c r="F6046" t="s">
        <v>1618</v>
      </c>
      <c r="G6046">
        <v>614</v>
      </c>
      <c r="H6046" t="s">
        <v>107</v>
      </c>
      <c r="I6046">
        <v>6</v>
      </c>
      <c r="J6046" t="s">
        <v>101</v>
      </c>
    </row>
    <row r="6047" spans="1:10" x14ac:dyDescent="0.25">
      <c r="A6047" t="s">
        <v>150</v>
      </c>
      <c r="B6047">
        <f>39428.4060129024*(1/100/100)</f>
        <v>3.9428406012902402</v>
      </c>
      <c r="C6047">
        <v>65212</v>
      </c>
      <c r="D6047" t="s">
        <v>6588</v>
      </c>
      <c r="E6047">
        <v>61438</v>
      </c>
      <c r="F6047" t="s">
        <v>107</v>
      </c>
      <c r="G6047">
        <v>614</v>
      </c>
      <c r="H6047" t="s">
        <v>107</v>
      </c>
      <c r="I6047">
        <v>6</v>
      </c>
      <c r="J6047" t="s">
        <v>101</v>
      </c>
    </row>
    <row r="6048" spans="1:10" x14ac:dyDescent="0.25">
      <c r="A6048" t="s">
        <v>150</v>
      </c>
      <c r="B6048">
        <f>33428.6856849301*(1/100/100)</f>
        <v>3.3428685684930097</v>
      </c>
      <c r="C6048">
        <v>65213</v>
      </c>
      <c r="D6048" t="s">
        <v>6589</v>
      </c>
      <c r="E6048">
        <v>61438</v>
      </c>
      <c r="F6048" t="s">
        <v>107</v>
      </c>
      <c r="G6048">
        <v>614</v>
      </c>
      <c r="H6048" t="s">
        <v>107</v>
      </c>
      <c r="I6048">
        <v>6</v>
      </c>
      <c r="J6048" t="s">
        <v>101</v>
      </c>
    </row>
    <row r="6049" spans="1:10" x14ac:dyDescent="0.25">
      <c r="A6049" t="s">
        <v>150</v>
      </c>
      <c r="B6049">
        <f>30042.5974374312*(1/100/100)</f>
        <v>3.0042597437431202</v>
      </c>
      <c r="C6049">
        <v>65214</v>
      </c>
      <c r="D6049" t="s">
        <v>6602</v>
      </c>
      <c r="E6049">
        <v>61442</v>
      </c>
      <c r="F6049" t="s">
        <v>1622</v>
      </c>
      <c r="G6049">
        <v>614</v>
      </c>
      <c r="H6049" t="s">
        <v>107</v>
      </c>
      <c r="I6049">
        <v>6</v>
      </c>
      <c r="J6049" t="s">
        <v>101</v>
      </c>
    </row>
    <row r="6050" spans="1:10" x14ac:dyDescent="0.25">
      <c r="A6050" t="s">
        <v>150</v>
      </c>
      <c r="B6050">
        <f>219807.449072232*(1/100/100)</f>
        <v>21.980744907223201</v>
      </c>
      <c r="C6050">
        <v>65215</v>
      </c>
      <c r="D6050" t="s">
        <v>107</v>
      </c>
      <c r="E6050">
        <v>61438</v>
      </c>
      <c r="F6050" t="s">
        <v>107</v>
      </c>
      <c r="G6050">
        <v>614</v>
      </c>
      <c r="H6050" t="s">
        <v>107</v>
      </c>
      <c r="I6050">
        <v>6</v>
      </c>
      <c r="J6050" t="s">
        <v>101</v>
      </c>
    </row>
    <row r="6051" spans="1:10" x14ac:dyDescent="0.25">
      <c r="A6051" t="s">
        <v>150</v>
      </c>
      <c r="B6051">
        <f>125617.246929832*(1/100/100)</f>
        <v>12.561724692983201</v>
      </c>
      <c r="C6051">
        <v>65216</v>
      </c>
      <c r="D6051" t="s">
        <v>6609</v>
      </c>
      <c r="E6051">
        <v>61445</v>
      </c>
      <c r="F6051" t="s">
        <v>1625</v>
      </c>
      <c r="G6051">
        <v>614</v>
      </c>
      <c r="H6051" t="s">
        <v>107</v>
      </c>
      <c r="I6051">
        <v>6</v>
      </c>
      <c r="J6051" t="s">
        <v>101</v>
      </c>
    </row>
    <row r="6052" spans="1:10" x14ac:dyDescent="0.25">
      <c r="A6052" t="s">
        <v>150</v>
      </c>
      <c r="B6052">
        <f>45863.0348257943*(1/100/100)</f>
        <v>4.5863034825794298</v>
      </c>
      <c r="C6052">
        <v>65217</v>
      </c>
      <c r="D6052" t="s">
        <v>1621</v>
      </c>
      <c r="E6052">
        <v>61441</v>
      </c>
      <c r="F6052" t="s">
        <v>1621</v>
      </c>
      <c r="G6052">
        <v>614</v>
      </c>
      <c r="H6052" t="s">
        <v>107</v>
      </c>
      <c r="I6052">
        <v>6</v>
      </c>
      <c r="J6052" t="s">
        <v>101</v>
      </c>
    </row>
    <row r="6053" spans="1:10" x14ac:dyDescent="0.25">
      <c r="A6053" t="s">
        <v>150</v>
      </c>
      <c r="B6053">
        <f>27764.899930905*(1/100/100)</f>
        <v>2.7764899930905003</v>
      </c>
      <c r="C6053">
        <v>65218</v>
      </c>
      <c r="D6053" t="s">
        <v>6600</v>
      </c>
      <c r="E6053">
        <v>61441</v>
      </c>
      <c r="F6053" t="s">
        <v>1621</v>
      </c>
      <c r="G6053">
        <v>614</v>
      </c>
      <c r="H6053" t="s">
        <v>107</v>
      </c>
      <c r="I6053">
        <v>6</v>
      </c>
      <c r="J6053" t="s">
        <v>101</v>
      </c>
    </row>
    <row r="6054" spans="1:10" x14ac:dyDescent="0.25">
      <c r="A6054" t="s">
        <v>150</v>
      </c>
      <c r="B6054">
        <f>41285.1945025589*(1/100/100)</f>
        <v>4.1285194502558902</v>
      </c>
      <c r="C6054">
        <v>65219</v>
      </c>
      <c r="D6054" t="s">
        <v>6603</v>
      </c>
      <c r="E6054">
        <v>61442</v>
      </c>
      <c r="F6054" t="s">
        <v>1622</v>
      </c>
      <c r="G6054">
        <v>614</v>
      </c>
      <c r="H6054" t="s">
        <v>107</v>
      </c>
      <c r="I6054">
        <v>6</v>
      </c>
      <c r="J6054" t="s">
        <v>101</v>
      </c>
    </row>
    <row r="6055" spans="1:10" x14ac:dyDescent="0.25">
      <c r="A6055" t="s">
        <v>150</v>
      </c>
      <c r="B6055">
        <f>108722.842791299*(1/100/100)</f>
        <v>10.8722842791299</v>
      </c>
      <c r="C6055">
        <v>65220</v>
      </c>
      <c r="D6055" t="s">
        <v>2897</v>
      </c>
      <c r="E6055">
        <v>61442</v>
      </c>
      <c r="F6055" t="s">
        <v>1622</v>
      </c>
      <c r="G6055">
        <v>614</v>
      </c>
      <c r="H6055" t="s">
        <v>107</v>
      </c>
      <c r="I6055">
        <v>6</v>
      </c>
      <c r="J6055" t="s">
        <v>101</v>
      </c>
    </row>
    <row r="6056" spans="1:10" x14ac:dyDescent="0.25">
      <c r="A6056" t="s">
        <v>150</v>
      </c>
      <c r="B6056">
        <f>37245.8789996422*(1/100/100)</f>
        <v>3.7245878999642201</v>
      </c>
      <c r="C6056">
        <v>65221</v>
      </c>
      <c r="D6056" t="s">
        <v>2331</v>
      </c>
      <c r="E6056">
        <v>61442</v>
      </c>
      <c r="F6056" t="s">
        <v>1622</v>
      </c>
      <c r="G6056">
        <v>614</v>
      </c>
      <c r="H6056" t="s">
        <v>107</v>
      </c>
      <c r="I6056">
        <v>6</v>
      </c>
      <c r="J6056" t="s">
        <v>101</v>
      </c>
    </row>
    <row r="6057" spans="1:10" x14ac:dyDescent="0.25">
      <c r="A6057" t="s">
        <v>150</v>
      </c>
      <c r="B6057">
        <f>61259.577256218*(1/100/100)</f>
        <v>6.1259577256218005</v>
      </c>
      <c r="C6057">
        <v>65222</v>
      </c>
      <c r="D6057" t="s">
        <v>1617</v>
      </c>
      <c r="E6057">
        <v>61428</v>
      </c>
      <c r="F6057" t="s">
        <v>1617</v>
      </c>
      <c r="G6057">
        <v>614</v>
      </c>
      <c r="H6057" t="s">
        <v>107</v>
      </c>
      <c r="I6057">
        <v>6</v>
      </c>
      <c r="J6057" t="s">
        <v>101</v>
      </c>
    </row>
    <row r="6058" spans="1:10" x14ac:dyDescent="0.25">
      <c r="A6058" t="s">
        <v>150</v>
      </c>
      <c r="B6058">
        <f>37750.3199517863*(1/100/100)</f>
        <v>3.7750319951786304</v>
      </c>
      <c r="C6058">
        <v>65223</v>
      </c>
      <c r="D6058" t="s">
        <v>6583</v>
      </c>
      <c r="E6058">
        <v>61428</v>
      </c>
      <c r="F6058" t="s">
        <v>1617</v>
      </c>
      <c r="G6058">
        <v>614</v>
      </c>
      <c r="H6058" t="s">
        <v>107</v>
      </c>
      <c r="I6058">
        <v>6</v>
      </c>
      <c r="J6058" t="s">
        <v>101</v>
      </c>
    </row>
    <row r="6059" spans="1:10" x14ac:dyDescent="0.25">
      <c r="A6059" t="s">
        <v>150</v>
      </c>
      <c r="B6059">
        <f>31536.0507485544*(1/100/100)</f>
        <v>3.1536050748554403</v>
      </c>
      <c r="C6059">
        <v>65224</v>
      </c>
      <c r="D6059" t="s">
        <v>2332</v>
      </c>
      <c r="E6059">
        <v>61441</v>
      </c>
      <c r="F6059" t="s">
        <v>1621</v>
      </c>
      <c r="G6059">
        <v>614</v>
      </c>
      <c r="H6059" t="s">
        <v>107</v>
      </c>
      <c r="I6059">
        <v>6</v>
      </c>
      <c r="J6059" t="s">
        <v>101</v>
      </c>
    </row>
    <row r="6060" spans="1:10" x14ac:dyDescent="0.25">
      <c r="A6060" t="s">
        <v>150</v>
      </c>
      <c r="B6060">
        <f>131166.261134454*(1/100/100)</f>
        <v>13.116626113445399</v>
      </c>
      <c r="C6060">
        <v>65225</v>
      </c>
      <c r="D6060" t="s">
        <v>5212</v>
      </c>
      <c r="E6060">
        <v>61445</v>
      </c>
      <c r="F6060" t="s">
        <v>1625</v>
      </c>
      <c r="G6060">
        <v>614</v>
      </c>
      <c r="H6060" t="s">
        <v>107</v>
      </c>
      <c r="I6060">
        <v>6</v>
      </c>
      <c r="J6060" t="s">
        <v>101</v>
      </c>
    </row>
    <row r="6061" spans="1:10" x14ac:dyDescent="0.25">
      <c r="A6061" t="s">
        <v>150</v>
      </c>
      <c r="B6061">
        <f>60832.8113629339*(1/100/100)</f>
        <v>6.0832811362933903</v>
      </c>
      <c r="C6061">
        <v>65226</v>
      </c>
      <c r="D6061" t="s">
        <v>6590</v>
      </c>
      <c r="E6061">
        <v>61438</v>
      </c>
      <c r="F6061" t="s">
        <v>107</v>
      </c>
      <c r="G6061">
        <v>614</v>
      </c>
      <c r="H6061" t="s">
        <v>107</v>
      </c>
      <c r="I6061">
        <v>6</v>
      </c>
      <c r="J6061" t="s">
        <v>101</v>
      </c>
    </row>
    <row r="6062" spans="1:10" x14ac:dyDescent="0.25">
      <c r="A6062" t="s">
        <v>150</v>
      </c>
      <c r="B6062">
        <f>27184.144402091*(1/100/100)</f>
        <v>2.7184144402090999</v>
      </c>
      <c r="C6062">
        <v>65227</v>
      </c>
      <c r="D6062" t="s">
        <v>6601</v>
      </c>
      <c r="E6062">
        <v>61441</v>
      </c>
      <c r="F6062" t="s">
        <v>1621</v>
      </c>
      <c r="G6062">
        <v>614</v>
      </c>
      <c r="H6062" t="s">
        <v>107</v>
      </c>
      <c r="I6062">
        <v>6</v>
      </c>
      <c r="J6062" t="s">
        <v>101</v>
      </c>
    </row>
    <row r="6063" spans="1:10" x14ac:dyDescent="0.25">
      <c r="A6063" t="s">
        <v>150</v>
      </c>
      <c r="B6063">
        <f>20558.3560209553*(1/100/100)</f>
        <v>2.05583560209553</v>
      </c>
      <c r="C6063">
        <v>65228</v>
      </c>
      <c r="D6063" t="s">
        <v>6591</v>
      </c>
      <c r="E6063">
        <v>61438</v>
      </c>
      <c r="F6063" t="s">
        <v>107</v>
      </c>
      <c r="G6063">
        <v>614</v>
      </c>
      <c r="H6063" t="s">
        <v>107</v>
      </c>
      <c r="I6063">
        <v>6</v>
      </c>
      <c r="J6063" t="s">
        <v>101</v>
      </c>
    </row>
    <row r="6064" spans="1:10" x14ac:dyDescent="0.25">
      <c r="A6064" t="s">
        <v>150</v>
      </c>
      <c r="B6064">
        <f>163761.661288383*(1/100/100)</f>
        <v>16.376166128838303</v>
      </c>
      <c r="C6064">
        <v>65301</v>
      </c>
      <c r="D6064" t="s">
        <v>6592</v>
      </c>
      <c r="E6064">
        <v>61439</v>
      </c>
      <c r="F6064" t="s">
        <v>1619</v>
      </c>
      <c r="G6064">
        <v>614</v>
      </c>
      <c r="H6064" t="s">
        <v>107</v>
      </c>
      <c r="I6064">
        <v>6</v>
      </c>
      <c r="J6064" t="s">
        <v>101</v>
      </c>
    </row>
    <row r="6065" spans="1:10" x14ac:dyDescent="0.25">
      <c r="A6065" t="s">
        <v>150</v>
      </c>
      <c r="B6065">
        <f>17965.3197966726*(1/100/100)</f>
        <v>1.7965319796672601</v>
      </c>
      <c r="C6065">
        <v>65302</v>
      </c>
      <c r="D6065" t="s">
        <v>3426</v>
      </c>
      <c r="E6065">
        <v>61439</v>
      </c>
      <c r="F6065" t="s">
        <v>1619</v>
      </c>
      <c r="G6065">
        <v>614</v>
      </c>
      <c r="H6065" t="s">
        <v>107</v>
      </c>
      <c r="I6065">
        <v>6</v>
      </c>
      <c r="J6065" t="s">
        <v>101</v>
      </c>
    </row>
    <row r="6066" spans="1:10" x14ac:dyDescent="0.25">
      <c r="A6066" t="s">
        <v>150</v>
      </c>
      <c r="B6066">
        <f>50259.2304183516*(1/100/100)</f>
        <v>5.0259230418351608</v>
      </c>
      <c r="C6066">
        <v>65303</v>
      </c>
      <c r="D6066" t="s">
        <v>672</v>
      </c>
      <c r="E6066">
        <v>61439</v>
      </c>
      <c r="F6066" t="s">
        <v>1619</v>
      </c>
      <c r="G6066">
        <v>614</v>
      </c>
      <c r="H6066" t="s">
        <v>107</v>
      </c>
      <c r="I6066">
        <v>6</v>
      </c>
      <c r="J6066" t="s">
        <v>101</v>
      </c>
    </row>
    <row r="6067" spans="1:10" x14ac:dyDescent="0.25">
      <c r="A6067" t="s">
        <v>150</v>
      </c>
      <c r="B6067">
        <f>19019.7403274442*(1/100/100)</f>
        <v>1.9019740327444201</v>
      </c>
      <c r="C6067">
        <v>65304</v>
      </c>
      <c r="D6067" t="s">
        <v>6606</v>
      </c>
      <c r="E6067">
        <v>61444</v>
      </c>
      <c r="F6067" t="s">
        <v>1624</v>
      </c>
      <c r="G6067">
        <v>614</v>
      </c>
      <c r="H6067" t="s">
        <v>107</v>
      </c>
      <c r="I6067">
        <v>6</v>
      </c>
      <c r="J6067" t="s">
        <v>101</v>
      </c>
    </row>
    <row r="6068" spans="1:10" x14ac:dyDescent="0.25">
      <c r="A6068" t="s">
        <v>150</v>
      </c>
      <c r="B6068">
        <f>17208.9246787411*(1/100/100)</f>
        <v>1.72089246787411</v>
      </c>
      <c r="C6068">
        <v>65305</v>
      </c>
      <c r="D6068" t="s">
        <v>2644</v>
      </c>
      <c r="E6068">
        <v>61439</v>
      </c>
      <c r="F6068" t="s">
        <v>1619</v>
      </c>
      <c r="G6068">
        <v>614</v>
      </c>
      <c r="H6068" t="s">
        <v>107</v>
      </c>
      <c r="I6068">
        <v>6</v>
      </c>
      <c r="J6068" t="s">
        <v>101</v>
      </c>
    </row>
    <row r="6069" spans="1:10" x14ac:dyDescent="0.25">
      <c r="A6069" t="s">
        <v>150</v>
      </c>
      <c r="B6069">
        <f>31590.8852314556*(1/100/100)</f>
        <v>3.1590885231455599</v>
      </c>
      <c r="C6069">
        <v>65306</v>
      </c>
      <c r="D6069" t="s">
        <v>6577</v>
      </c>
      <c r="E6069">
        <v>61410</v>
      </c>
      <c r="F6069" t="s">
        <v>1615</v>
      </c>
      <c r="G6069">
        <v>614</v>
      </c>
      <c r="H6069" t="s">
        <v>107</v>
      </c>
      <c r="I6069">
        <v>6</v>
      </c>
      <c r="J6069" t="s">
        <v>101</v>
      </c>
    </row>
    <row r="6070" spans="1:10" x14ac:dyDescent="0.25">
      <c r="A6070" t="s">
        <v>150</v>
      </c>
      <c r="B6070">
        <f>56036.8618679236*(1/100/100)</f>
        <v>5.6036861867923609</v>
      </c>
      <c r="C6070">
        <v>65307</v>
      </c>
      <c r="D6070" t="s">
        <v>2130</v>
      </c>
      <c r="E6070">
        <v>61439</v>
      </c>
      <c r="F6070" t="s">
        <v>1619</v>
      </c>
      <c r="G6070">
        <v>614</v>
      </c>
      <c r="H6070" t="s">
        <v>107</v>
      </c>
      <c r="I6070">
        <v>6</v>
      </c>
      <c r="J6070" t="s">
        <v>101</v>
      </c>
    </row>
    <row r="6071" spans="1:10" x14ac:dyDescent="0.25">
      <c r="A6071" t="s">
        <v>150</v>
      </c>
      <c r="B6071">
        <f>60060.3574374047*(1/100/100)</f>
        <v>6.0060357437404708</v>
      </c>
      <c r="C6071">
        <v>65308</v>
      </c>
      <c r="D6071" t="s">
        <v>2573</v>
      </c>
      <c r="E6071">
        <v>61444</v>
      </c>
      <c r="F6071" t="s">
        <v>1624</v>
      </c>
      <c r="G6071">
        <v>614</v>
      </c>
      <c r="H6071" t="s">
        <v>107</v>
      </c>
      <c r="I6071">
        <v>6</v>
      </c>
      <c r="J6071" t="s">
        <v>101</v>
      </c>
    </row>
    <row r="6072" spans="1:10" x14ac:dyDescent="0.25">
      <c r="A6072" t="s">
        <v>150</v>
      </c>
      <c r="B6072">
        <f>26557.9619129556*(1/100/100)</f>
        <v>2.6557961912955603</v>
      </c>
      <c r="C6072">
        <v>65309</v>
      </c>
      <c r="D6072" t="s">
        <v>1615</v>
      </c>
      <c r="E6072">
        <v>61410</v>
      </c>
      <c r="F6072" t="s">
        <v>1615</v>
      </c>
      <c r="G6072">
        <v>614</v>
      </c>
      <c r="H6072" t="s">
        <v>107</v>
      </c>
      <c r="I6072">
        <v>6</v>
      </c>
      <c r="J6072" t="s">
        <v>101</v>
      </c>
    </row>
    <row r="6073" spans="1:10" x14ac:dyDescent="0.25">
      <c r="A6073" t="s">
        <v>150</v>
      </c>
      <c r="B6073">
        <f>169824.814206331*(1/100/100)</f>
        <v>16.9824814206331</v>
      </c>
      <c r="C6073">
        <v>65310</v>
      </c>
      <c r="D6073" t="s">
        <v>4021</v>
      </c>
      <c r="E6073">
        <v>61439</v>
      </c>
      <c r="F6073" t="s">
        <v>1619</v>
      </c>
      <c r="G6073">
        <v>614</v>
      </c>
      <c r="H6073" t="s">
        <v>107</v>
      </c>
      <c r="I6073">
        <v>6</v>
      </c>
      <c r="J6073" t="s">
        <v>101</v>
      </c>
    </row>
    <row r="6074" spans="1:10" x14ac:dyDescent="0.25">
      <c r="A6074" t="s">
        <v>150</v>
      </c>
      <c r="B6074">
        <f>21697.4916315196*(1/100/100)</f>
        <v>2.1697491631519599</v>
      </c>
      <c r="C6074">
        <v>65311</v>
      </c>
      <c r="D6074" t="s">
        <v>6578</v>
      </c>
      <c r="E6074">
        <v>61410</v>
      </c>
      <c r="F6074" t="s">
        <v>1615</v>
      </c>
      <c r="G6074">
        <v>614</v>
      </c>
      <c r="H6074" t="s">
        <v>107</v>
      </c>
      <c r="I6074">
        <v>6</v>
      </c>
      <c r="J6074" t="s">
        <v>101</v>
      </c>
    </row>
    <row r="6075" spans="1:10" x14ac:dyDescent="0.25">
      <c r="A6075" t="s">
        <v>150</v>
      </c>
      <c r="B6075">
        <f>53711.4504440617*(1/100/100)</f>
        <v>5.3711450444061706</v>
      </c>
      <c r="C6075">
        <v>65312</v>
      </c>
      <c r="D6075" t="s">
        <v>6593</v>
      </c>
      <c r="E6075">
        <v>61439</v>
      </c>
      <c r="F6075" t="s">
        <v>1619</v>
      </c>
      <c r="G6075">
        <v>614</v>
      </c>
      <c r="H6075" t="s">
        <v>107</v>
      </c>
      <c r="I6075">
        <v>6</v>
      </c>
      <c r="J6075" t="s">
        <v>101</v>
      </c>
    </row>
    <row r="6076" spans="1:10" x14ac:dyDescent="0.25">
      <c r="A6076" t="s">
        <v>150</v>
      </c>
      <c r="B6076">
        <f>24202.4002316453*(1/100/100)</f>
        <v>2.42024002316453</v>
      </c>
      <c r="C6076">
        <v>65313</v>
      </c>
      <c r="D6076" t="s">
        <v>6607</v>
      </c>
      <c r="E6076">
        <v>61444</v>
      </c>
      <c r="F6076" t="s">
        <v>1624</v>
      </c>
      <c r="G6076">
        <v>614</v>
      </c>
      <c r="H6076" t="s">
        <v>107</v>
      </c>
      <c r="I6076">
        <v>6</v>
      </c>
      <c r="J6076" t="s">
        <v>101</v>
      </c>
    </row>
    <row r="6077" spans="1:10" x14ac:dyDescent="0.25">
      <c r="A6077" t="s">
        <v>150</v>
      </c>
      <c r="B6077">
        <f>73890.7560069044*(1/100/100)</f>
        <v>7.3890756006904397</v>
      </c>
      <c r="C6077">
        <v>65314</v>
      </c>
      <c r="D6077" t="s">
        <v>6604</v>
      </c>
      <c r="E6077">
        <v>61443</v>
      </c>
      <c r="F6077" t="s">
        <v>1623</v>
      </c>
      <c r="G6077">
        <v>614</v>
      </c>
      <c r="H6077" t="s">
        <v>107</v>
      </c>
      <c r="I6077">
        <v>6</v>
      </c>
      <c r="J6077" t="s">
        <v>101</v>
      </c>
    </row>
    <row r="6078" spans="1:10" x14ac:dyDescent="0.25">
      <c r="A6078" t="s">
        <v>150</v>
      </c>
      <c r="B6078">
        <f>70436.311340998*(1/100/100)</f>
        <v>7.0436311340998001</v>
      </c>
      <c r="C6078">
        <v>65315</v>
      </c>
      <c r="D6078" t="s">
        <v>2122</v>
      </c>
      <c r="E6078">
        <v>61439</v>
      </c>
      <c r="F6078" t="s">
        <v>1619</v>
      </c>
      <c r="G6078">
        <v>614</v>
      </c>
      <c r="H6078" t="s">
        <v>107</v>
      </c>
      <c r="I6078">
        <v>6</v>
      </c>
      <c r="J6078" t="s">
        <v>101</v>
      </c>
    </row>
    <row r="6079" spans="1:10" x14ac:dyDescent="0.25">
      <c r="A6079" t="s">
        <v>150</v>
      </c>
      <c r="B6079">
        <f>209396.474269913*(1/100/100)</f>
        <v>20.9396474269913</v>
      </c>
      <c r="C6079">
        <v>65316</v>
      </c>
      <c r="D6079" t="s">
        <v>6605</v>
      </c>
      <c r="E6079">
        <v>61443</v>
      </c>
      <c r="F6079" t="s">
        <v>1623</v>
      </c>
      <c r="G6079">
        <v>614</v>
      </c>
      <c r="H6079" t="s">
        <v>107</v>
      </c>
      <c r="I6079">
        <v>6</v>
      </c>
      <c r="J6079" t="s">
        <v>101</v>
      </c>
    </row>
    <row r="6080" spans="1:10" x14ac:dyDescent="0.25">
      <c r="A6080" t="s">
        <v>150</v>
      </c>
      <c r="B6080">
        <f>44839.1129467183*(1/100/100)</f>
        <v>4.48391129467183</v>
      </c>
      <c r="C6080">
        <v>65317</v>
      </c>
      <c r="D6080" t="s">
        <v>2897</v>
      </c>
      <c r="E6080">
        <v>61444</v>
      </c>
      <c r="F6080" t="s">
        <v>1624</v>
      </c>
      <c r="G6080">
        <v>614</v>
      </c>
      <c r="H6080" t="s">
        <v>107</v>
      </c>
      <c r="I6080">
        <v>6</v>
      </c>
      <c r="J6080" t="s">
        <v>101</v>
      </c>
    </row>
    <row r="6081" spans="1:10" x14ac:dyDescent="0.25">
      <c r="A6081" t="s">
        <v>150</v>
      </c>
      <c r="B6081">
        <f>55877.4845196806*(1/100/100)</f>
        <v>5.5877484519680598</v>
      </c>
      <c r="C6081">
        <v>65318</v>
      </c>
      <c r="D6081" t="s">
        <v>2863</v>
      </c>
      <c r="E6081">
        <v>61439</v>
      </c>
      <c r="F6081" t="s">
        <v>1619</v>
      </c>
      <c r="G6081">
        <v>614</v>
      </c>
      <c r="H6081" t="s">
        <v>107</v>
      </c>
      <c r="I6081">
        <v>6</v>
      </c>
      <c r="J6081" t="s">
        <v>101</v>
      </c>
    </row>
    <row r="6082" spans="1:10" x14ac:dyDescent="0.25">
      <c r="A6082" t="s">
        <v>150</v>
      </c>
      <c r="B6082">
        <f>52342.4509370609*(1/100/100)</f>
        <v>5.2342450937060905</v>
      </c>
      <c r="C6082">
        <v>65319</v>
      </c>
      <c r="D6082" t="s">
        <v>5611</v>
      </c>
      <c r="E6082">
        <v>61410</v>
      </c>
      <c r="F6082" t="s">
        <v>1615</v>
      </c>
      <c r="G6082">
        <v>614</v>
      </c>
      <c r="H6082" t="s">
        <v>107</v>
      </c>
      <c r="I6082">
        <v>6</v>
      </c>
      <c r="J6082" t="s">
        <v>101</v>
      </c>
    </row>
    <row r="6083" spans="1:10" x14ac:dyDescent="0.25">
      <c r="A6083" t="s">
        <v>150</v>
      </c>
      <c r="B6083">
        <f>128147.431677905*(1/100/100)</f>
        <v>12.8147431677905</v>
      </c>
      <c r="C6083">
        <v>65320</v>
      </c>
      <c r="D6083" t="s">
        <v>1624</v>
      </c>
      <c r="E6083">
        <v>61444</v>
      </c>
      <c r="F6083" t="s">
        <v>1624</v>
      </c>
      <c r="G6083">
        <v>614</v>
      </c>
      <c r="H6083" t="s">
        <v>107</v>
      </c>
      <c r="I6083">
        <v>6</v>
      </c>
      <c r="J6083" t="s">
        <v>101</v>
      </c>
    </row>
    <row r="6084" spans="1:10" x14ac:dyDescent="0.25">
      <c r="A6084" t="s">
        <v>150</v>
      </c>
      <c r="B6084">
        <f>93071.9314270108*(1/100/100)</f>
        <v>9.307193142701081</v>
      </c>
      <c r="C6084">
        <v>65321</v>
      </c>
      <c r="D6084" t="s">
        <v>6247</v>
      </c>
      <c r="E6084">
        <v>61446</v>
      </c>
      <c r="F6084" t="s">
        <v>1626</v>
      </c>
      <c r="G6084">
        <v>614</v>
      </c>
      <c r="H6084" t="s">
        <v>107</v>
      </c>
      <c r="I6084">
        <v>6</v>
      </c>
      <c r="J6084" t="s">
        <v>101</v>
      </c>
    </row>
    <row r="6085" spans="1:10" x14ac:dyDescent="0.25">
      <c r="A6085" t="s">
        <v>150</v>
      </c>
      <c r="B6085">
        <f>44756.2716854527*(1/100/100)</f>
        <v>4.4756271685452704</v>
      </c>
      <c r="C6085">
        <v>65322</v>
      </c>
      <c r="D6085" t="s">
        <v>6594</v>
      </c>
      <c r="E6085">
        <v>61439</v>
      </c>
      <c r="F6085" t="s">
        <v>1619</v>
      </c>
      <c r="G6085">
        <v>614</v>
      </c>
      <c r="H6085" t="s">
        <v>107</v>
      </c>
      <c r="I6085">
        <v>6</v>
      </c>
      <c r="J6085" t="s">
        <v>101</v>
      </c>
    </row>
    <row r="6086" spans="1:10" x14ac:dyDescent="0.25">
      <c r="A6086" t="s">
        <v>150</v>
      </c>
      <c r="B6086">
        <f>108895.796336646*(1/100/100)</f>
        <v>10.889579633664601</v>
      </c>
      <c r="C6086">
        <v>65401</v>
      </c>
      <c r="D6086" t="s">
        <v>6795</v>
      </c>
      <c r="E6086">
        <v>62042</v>
      </c>
      <c r="F6086" t="s">
        <v>1682</v>
      </c>
      <c r="G6086">
        <v>620</v>
      </c>
      <c r="H6086" t="s">
        <v>110</v>
      </c>
      <c r="I6086">
        <v>6</v>
      </c>
      <c r="J6086" t="s">
        <v>101</v>
      </c>
    </row>
    <row r="6087" spans="1:10" x14ac:dyDescent="0.25">
      <c r="A6087" t="s">
        <v>150</v>
      </c>
      <c r="B6087">
        <f>95751.5192911292*(1/100/100)</f>
        <v>9.5751519291129199</v>
      </c>
      <c r="C6087">
        <v>65402</v>
      </c>
      <c r="D6087" t="s">
        <v>4578</v>
      </c>
      <c r="E6087">
        <v>62042</v>
      </c>
      <c r="F6087" t="s">
        <v>1682</v>
      </c>
      <c r="G6087">
        <v>620</v>
      </c>
      <c r="H6087" t="s">
        <v>110</v>
      </c>
      <c r="I6087">
        <v>6</v>
      </c>
      <c r="J6087" t="s">
        <v>101</v>
      </c>
    </row>
    <row r="6088" spans="1:10" x14ac:dyDescent="0.25">
      <c r="A6088" t="s">
        <v>150</v>
      </c>
      <c r="B6088">
        <f>84921.8970878697*(1/100/100)</f>
        <v>8.4921897087869702</v>
      </c>
      <c r="C6088">
        <v>65403</v>
      </c>
      <c r="D6088" t="s">
        <v>6796</v>
      </c>
      <c r="E6088">
        <v>62042</v>
      </c>
      <c r="F6088" t="s">
        <v>1682</v>
      </c>
      <c r="G6088">
        <v>620</v>
      </c>
      <c r="H6088" t="s">
        <v>110</v>
      </c>
      <c r="I6088">
        <v>6</v>
      </c>
      <c r="J6088" t="s">
        <v>101</v>
      </c>
    </row>
    <row r="6089" spans="1:10" x14ac:dyDescent="0.25">
      <c r="A6089" t="s">
        <v>150</v>
      </c>
      <c r="B6089">
        <f>168512.440203409*(1/100/100)</f>
        <v>16.8512440203409</v>
      </c>
      <c r="C6089">
        <v>65404</v>
      </c>
      <c r="D6089" t="s">
        <v>1682</v>
      </c>
      <c r="E6089">
        <v>62042</v>
      </c>
      <c r="F6089" t="s">
        <v>1682</v>
      </c>
      <c r="G6089">
        <v>620</v>
      </c>
      <c r="H6089" t="s">
        <v>110</v>
      </c>
      <c r="I6089">
        <v>6</v>
      </c>
      <c r="J6089" t="s">
        <v>101</v>
      </c>
    </row>
    <row r="6090" spans="1:10" x14ac:dyDescent="0.25">
      <c r="A6090" t="s">
        <v>150</v>
      </c>
      <c r="B6090">
        <f>120024.150965784*(1/100/100)</f>
        <v>12.002415096578401</v>
      </c>
      <c r="C6090">
        <v>65405</v>
      </c>
      <c r="D6090" t="s">
        <v>6797</v>
      </c>
      <c r="E6090">
        <v>62042</v>
      </c>
      <c r="F6090" t="s">
        <v>1682</v>
      </c>
      <c r="G6090">
        <v>620</v>
      </c>
      <c r="H6090" t="s">
        <v>110</v>
      </c>
      <c r="I6090">
        <v>6</v>
      </c>
      <c r="J6090" t="s">
        <v>101</v>
      </c>
    </row>
    <row r="6091" spans="1:10" x14ac:dyDescent="0.25">
      <c r="A6091" t="s">
        <v>150</v>
      </c>
      <c r="B6091">
        <f>43198.1822291278*(1/100/100)</f>
        <v>4.3198182229127804</v>
      </c>
      <c r="C6091">
        <v>65406</v>
      </c>
      <c r="D6091" t="s">
        <v>6798</v>
      </c>
      <c r="E6091">
        <v>62042</v>
      </c>
      <c r="F6091" t="s">
        <v>1682</v>
      </c>
      <c r="G6091">
        <v>620</v>
      </c>
      <c r="H6091" t="s">
        <v>110</v>
      </c>
      <c r="I6091">
        <v>6</v>
      </c>
      <c r="J6091" t="s">
        <v>101</v>
      </c>
    </row>
    <row r="6092" spans="1:10" x14ac:dyDescent="0.25">
      <c r="A6092" t="s">
        <v>150</v>
      </c>
      <c r="B6092">
        <f>56145.54904638*(1/100/100)</f>
        <v>5.6145549046380001</v>
      </c>
      <c r="C6092">
        <v>65407</v>
      </c>
      <c r="D6092" t="s">
        <v>954</v>
      </c>
      <c r="E6092">
        <v>62048</v>
      </c>
      <c r="F6092" t="s">
        <v>1688</v>
      </c>
      <c r="G6092">
        <v>620</v>
      </c>
      <c r="H6092" t="s">
        <v>110</v>
      </c>
      <c r="I6092">
        <v>6</v>
      </c>
      <c r="J6092" t="s">
        <v>101</v>
      </c>
    </row>
    <row r="6093" spans="1:10" x14ac:dyDescent="0.25">
      <c r="A6093" t="s">
        <v>150</v>
      </c>
      <c r="B6093">
        <f>33026.8095396897*(1/100/100)</f>
        <v>3.3026809539689697</v>
      </c>
      <c r="C6093">
        <v>65501</v>
      </c>
      <c r="D6093" t="s">
        <v>366</v>
      </c>
      <c r="E6093">
        <v>61425</v>
      </c>
      <c r="F6093" t="s">
        <v>6579</v>
      </c>
      <c r="G6093">
        <v>614</v>
      </c>
      <c r="H6093" t="s">
        <v>107</v>
      </c>
      <c r="I6093">
        <v>6</v>
      </c>
      <c r="J6093" t="s">
        <v>101</v>
      </c>
    </row>
    <row r="6094" spans="1:10" x14ac:dyDescent="0.25">
      <c r="A6094" t="s">
        <v>150</v>
      </c>
      <c r="B6094">
        <f>41246.7495891069*(1/100/100)</f>
        <v>4.1246749589106901</v>
      </c>
      <c r="C6094">
        <v>65502</v>
      </c>
      <c r="D6094" t="s">
        <v>2511</v>
      </c>
      <c r="E6094">
        <v>61425</v>
      </c>
      <c r="F6094" t="s">
        <v>6579</v>
      </c>
      <c r="G6094">
        <v>614</v>
      </c>
      <c r="H6094" t="s">
        <v>107</v>
      </c>
      <c r="I6094">
        <v>6</v>
      </c>
      <c r="J6094" t="s">
        <v>101</v>
      </c>
    </row>
    <row r="6095" spans="1:10" x14ac:dyDescent="0.25">
      <c r="A6095" t="s">
        <v>150</v>
      </c>
      <c r="B6095">
        <f>25905.7032520315*(1/100/100)</f>
        <v>2.5905703252031502</v>
      </c>
      <c r="C6095">
        <v>65503</v>
      </c>
      <c r="D6095" t="s">
        <v>6595</v>
      </c>
      <c r="E6095">
        <v>61440</v>
      </c>
      <c r="F6095" t="s">
        <v>1620</v>
      </c>
      <c r="G6095">
        <v>614</v>
      </c>
      <c r="H6095" t="s">
        <v>107</v>
      </c>
      <c r="I6095">
        <v>6</v>
      </c>
      <c r="J6095" t="s">
        <v>101</v>
      </c>
    </row>
    <row r="6096" spans="1:10" x14ac:dyDescent="0.25">
      <c r="A6096" t="s">
        <v>150</v>
      </c>
      <c r="B6096">
        <f>26144.783848852*(1/100/100)</f>
        <v>2.6144783848852002</v>
      </c>
      <c r="C6096">
        <v>65504</v>
      </c>
      <c r="D6096" t="s">
        <v>6580</v>
      </c>
      <c r="E6096">
        <v>61425</v>
      </c>
      <c r="F6096" t="s">
        <v>6579</v>
      </c>
      <c r="G6096">
        <v>614</v>
      </c>
      <c r="H6096" t="s">
        <v>107</v>
      </c>
      <c r="I6096">
        <v>6</v>
      </c>
      <c r="J6096" t="s">
        <v>101</v>
      </c>
    </row>
    <row r="6097" spans="1:10" x14ac:dyDescent="0.25">
      <c r="A6097" t="s">
        <v>150</v>
      </c>
      <c r="B6097">
        <f>28620.9476402025*(1/100/100)</f>
        <v>2.8620947640202501</v>
      </c>
      <c r="C6097">
        <v>65505</v>
      </c>
      <c r="D6097" t="s">
        <v>6581</v>
      </c>
      <c r="E6097">
        <v>61425</v>
      </c>
      <c r="F6097" t="s">
        <v>6579</v>
      </c>
      <c r="G6097">
        <v>614</v>
      </c>
      <c r="H6097" t="s">
        <v>107</v>
      </c>
      <c r="I6097">
        <v>6</v>
      </c>
      <c r="J6097" t="s">
        <v>101</v>
      </c>
    </row>
    <row r="6098" spans="1:10" x14ac:dyDescent="0.25">
      <c r="A6098" t="s">
        <v>150</v>
      </c>
      <c r="B6098">
        <f>72973.1586800086*(1/100/100)</f>
        <v>7.2973158680008599</v>
      </c>
      <c r="C6098">
        <v>65506</v>
      </c>
      <c r="D6098" t="s">
        <v>1616</v>
      </c>
      <c r="E6098">
        <v>61413</v>
      </c>
      <c r="F6098" t="s">
        <v>1616</v>
      </c>
      <c r="G6098">
        <v>614</v>
      </c>
      <c r="H6098" t="s">
        <v>107</v>
      </c>
      <c r="I6098">
        <v>6</v>
      </c>
      <c r="J6098" t="s">
        <v>101</v>
      </c>
    </row>
    <row r="6099" spans="1:10" x14ac:dyDescent="0.25">
      <c r="A6099" t="s">
        <v>150</v>
      </c>
      <c r="B6099">
        <f>95940.3664719357*(1/100/100)</f>
        <v>9.5940366471935707</v>
      </c>
      <c r="C6099">
        <v>65507</v>
      </c>
      <c r="D6099" t="s">
        <v>1620</v>
      </c>
      <c r="E6099">
        <v>61440</v>
      </c>
      <c r="F6099" t="s">
        <v>1620</v>
      </c>
      <c r="G6099">
        <v>614</v>
      </c>
      <c r="H6099" t="s">
        <v>107</v>
      </c>
      <c r="I6099">
        <v>6</v>
      </c>
      <c r="J6099" t="s">
        <v>101</v>
      </c>
    </row>
    <row r="6100" spans="1:10" x14ac:dyDescent="0.25">
      <c r="A6100" t="s">
        <v>150</v>
      </c>
      <c r="B6100">
        <f>35939.1155348975*(1/100/100)</f>
        <v>3.5939115534897503</v>
      </c>
      <c r="C6100">
        <v>65508</v>
      </c>
      <c r="D6100" t="s">
        <v>6582</v>
      </c>
      <c r="E6100">
        <v>61425</v>
      </c>
      <c r="F6100" t="s">
        <v>6579</v>
      </c>
      <c r="G6100">
        <v>614</v>
      </c>
      <c r="H6100" t="s">
        <v>107</v>
      </c>
      <c r="I6100">
        <v>6</v>
      </c>
      <c r="J6100" t="s">
        <v>101</v>
      </c>
    </row>
    <row r="6101" spans="1:10" x14ac:dyDescent="0.25">
      <c r="A6101" t="s">
        <v>150</v>
      </c>
      <c r="B6101">
        <f>48602.7338531849*(1/100/100)</f>
        <v>4.8602733853184903</v>
      </c>
      <c r="C6101">
        <v>65509</v>
      </c>
      <c r="D6101" t="s">
        <v>1738</v>
      </c>
      <c r="E6101">
        <v>61425</v>
      </c>
      <c r="F6101" t="s">
        <v>6579</v>
      </c>
      <c r="G6101">
        <v>614</v>
      </c>
      <c r="H6101" t="s">
        <v>107</v>
      </c>
      <c r="I6101">
        <v>6</v>
      </c>
      <c r="J6101" t="s">
        <v>101</v>
      </c>
    </row>
    <row r="6102" spans="1:10" x14ac:dyDescent="0.25">
      <c r="A6102" t="s">
        <v>150</v>
      </c>
      <c r="B6102">
        <f>50092.7085912161*(1/100/100)</f>
        <v>5.0092708591216102</v>
      </c>
      <c r="C6102">
        <v>65510</v>
      </c>
      <c r="D6102" t="s">
        <v>6596</v>
      </c>
      <c r="E6102">
        <v>61440</v>
      </c>
      <c r="F6102" t="s">
        <v>1620</v>
      </c>
      <c r="G6102">
        <v>614</v>
      </c>
      <c r="H6102" t="s">
        <v>107</v>
      </c>
      <c r="I6102">
        <v>6</v>
      </c>
      <c r="J6102" t="s">
        <v>101</v>
      </c>
    </row>
    <row r="6103" spans="1:10" x14ac:dyDescent="0.25">
      <c r="A6103" t="s">
        <v>150</v>
      </c>
      <c r="B6103">
        <f>43586.1085558091*(1/100/100)</f>
        <v>4.3586108555809098</v>
      </c>
      <c r="C6103">
        <v>65511</v>
      </c>
      <c r="D6103" t="s">
        <v>6597</v>
      </c>
      <c r="E6103">
        <v>61440</v>
      </c>
      <c r="F6103" t="s">
        <v>1620</v>
      </c>
      <c r="G6103">
        <v>614</v>
      </c>
      <c r="H6103" t="s">
        <v>107</v>
      </c>
      <c r="I6103">
        <v>6</v>
      </c>
      <c r="J6103" t="s">
        <v>101</v>
      </c>
    </row>
    <row r="6104" spans="1:10" x14ac:dyDescent="0.25">
      <c r="A6104" t="s">
        <v>150</v>
      </c>
      <c r="B6104">
        <f>23319.7515989815*(1/100/100)</f>
        <v>2.3319751598981502</v>
      </c>
      <c r="C6104">
        <v>65512</v>
      </c>
      <c r="D6104" t="s">
        <v>6598</v>
      </c>
      <c r="E6104">
        <v>61440</v>
      </c>
      <c r="F6104" t="s">
        <v>1620</v>
      </c>
      <c r="G6104">
        <v>614</v>
      </c>
      <c r="H6104" t="s">
        <v>107</v>
      </c>
      <c r="I6104">
        <v>6</v>
      </c>
      <c r="J6104" t="s">
        <v>101</v>
      </c>
    </row>
    <row r="6105" spans="1:10" x14ac:dyDescent="0.25">
      <c r="A6105" t="s">
        <v>150</v>
      </c>
      <c r="B6105">
        <f>96238.1811762758*(1/100/100)</f>
        <v>9.6238181176275805</v>
      </c>
      <c r="C6105">
        <v>65513</v>
      </c>
      <c r="D6105" t="s">
        <v>2778</v>
      </c>
      <c r="E6105">
        <v>61440</v>
      </c>
      <c r="F6105" t="s">
        <v>1620</v>
      </c>
      <c r="G6105">
        <v>614</v>
      </c>
      <c r="H6105" t="s">
        <v>107</v>
      </c>
      <c r="I6105">
        <v>6</v>
      </c>
      <c r="J6105" t="s">
        <v>101</v>
      </c>
    </row>
    <row r="6106" spans="1:10" x14ac:dyDescent="0.25">
      <c r="A6106" t="s">
        <v>150</v>
      </c>
      <c r="B6106">
        <f>60143.8789030384*(1/100/100)</f>
        <v>6.0143878903038406</v>
      </c>
      <c r="C6106">
        <v>65514</v>
      </c>
      <c r="D6106" t="s">
        <v>2595</v>
      </c>
      <c r="E6106">
        <v>61425</v>
      </c>
      <c r="F6106" t="s">
        <v>6579</v>
      </c>
      <c r="G6106">
        <v>614</v>
      </c>
      <c r="H6106" t="s">
        <v>107</v>
      </c>
      <c r="I6106">
        <v>6</v>
      </c>
      <c r="J6106" t="s">
        <v>101</v>
      </c>
    </row>
    <row r="6107" spans="1:10" x14ac:dyDescent="0.25">
      <c r="A6107" t="s">
        <v>150</v>
      </c>
      <c r="B6107">
        <f>122405.295427858*(1/100/100)</f>
        <v>12.240529542785801</v>
      </c>
      <c r="C6107">
        <v>65515</v>
      </c>
      <c r="D6107" t="s">
        <v>411</v>
      </c>
      <c r="E6107">
        <v>61440</v>
      </c>
      <c r="F6107" t="s">
        <v>1620</v>
      </c>
      <c r="G6107">
        <v>614</v>
      </c>
      <c r="H6107" t="s">
        <v>107</v>
      </c>
      <c r="I6107">
        <v>6</v>
      </c>
      <c r="J6107" t="s">
        <v>101</v>
      </c>
    </row>
    <row r="6108" spans="1:10" x14ac:dyDescent="0.25">
      <c r="A6108" t="s">
        <v>150</v>
      </c>
      <c r="B6108">
        <f>62057.8940184096*(1/100/100)</f>
        <v>6.2057894018409598</v>
      </c>
      <c r="C6108">
        <v>65601</v>
      </c>
      <c r="D6108" t="s">
        <v>6802</v>
      </c>
      <c r="E6108">
        <v>62044</v>
      </c>
      <c r="F6108" t="s">
        <v>1684</v>
      </c>
      <c r="G6108">
        <v>620</v>
      </c>
      <c r="H6108" t="s">
        <v>110</v>
      </c>
      <c r="I6108">
        <v>6</v>
      </c>
      <c r="J6108" t="s">
        <v>101</v>
      </c>
    </row>
    <row r="6109" spans="1:10" x14ac:dyDescent="0.25">
      <c r="A6109" t="s">
        <v>150</v>
      </c>
      <c r="B6109">
        <f>69567.0910077036*(1/100/100)</f>
        <v>6.9567091007703601</v>
      </c>
      <c r="C6109">
        <v>65602</v>
      </c>
      <c r="D6109" t="s">
        <v>1671</v>
      </c>
      <c r="E6109">
        <v>62010</v>
      </c>
      <c r="F6109" t="s">
        <v>1671</v>
      </c>
      <c r="G6109">
        <v>620</v>
      </c>
      <c r="H6109" t="s">
        <v>110</v>
      </c>
      <c r="I6109">
        <v>6</v>
      </c>
      <c r="J6109" t="s">
        <v>101</v>
      </c>
    </row>
    <row r="6110" spans="1:10" x14ac:dyDescent="0.25">
      <c r="A6110" t="s">
        <v>150</v>
      </c>
      <c r="B6110">
        <f>94814.951854614*(1/100/100)</f>
        <v>9.4814951854614016</v>
      </c>
      <c r="C6110">
        <v>65603</v>
      </c>
      <c r="D6110" t="s">
        <v>6803</v>
      </c>
      <c r="E6110">
        <v>62044</v>
      </c>
      <c r="F6110" t="s">
        <v>1684</v>
      </c>
      <c r="G6110">
        <v>620</v>
      </c>
      <c r="H6110" t="s">
        <v>110</v>
      </c>
      <c r="I6110">
        <v>6</v>
      </c>
      <c r="J6110" t="s">
        <v>101</v>
      </c>
    </row>
    <row r="6111" spans="1:10" x14ac:dyDescent="0.25">
      <c r="A6111" t="s">
        <v>150</v>
      </c>
      <c r="B6111">
        <f>34185.6047635874*(1/100/100)</f>
        <v>3.4185604763587398</v>
      </c>
      <c r="C6111">
        <v>65604</v>
      </c>
      <c r="D6111" t="s">
        <v>6800</v>
      </c>
      <c r="E6111">
        <v>62043</v>
      </c>
      <c r="F6111" t="s">
        <v>1683</v>
      </c>
      <c r="G6111">
        <v>620</v>
      </c>
      <c r="H6111" t="s">
        <v>110</v>
      </c>
      <c r="I6111">
        <v>6</v>
      </c>
      <c r="J6111" t="s">
        <v>101</v>
      </c>
    </row>
    <row r="6112" spans="1:10" x14ac:dyDescent="0.25">
      <c r="A6112" t="s">
        <v>150</v>
      </c>
      <c r="B6112">
        <f>103658.124579344*(1/100/100)</f>
        <v>10.365812457934402</v>
      </c>
      <c r="C6112">
        <v>65605</v>
      </c>
      <c r="D6112" t="s">
        <v>6804</v>
      </c>
      <c r="E6112">
        <v>62044</v>
      </c>
      <c r="F6112" t="s">
        <v>1684</v>
      </c>
      <c r="G6112">
        <v>620</v>
      </c>
      <c r="H6112" t="s">
        <v>110</v>
      </c>
      <c r="I6112">
        <v>6</v>
      </c>
      <c r="J6112" t="s">
        <v>101</v>
      </c>
    </row>
    <row r="6113" spans="1:10" x14ac:dyDescent="0.25">
      <c r="A6113" t="s">
        <v>150</v>
      </c>
      <c r="B6113">
        <f>84881.2776018548*(1/100/100)</f>
        <v>8.4881277601854812</v>
      </c>
      <c r="C6113">
        <v>65606</v>
      </c>
      <c r="D6113" t="s">
        <v>1673</v>
      </c>
      <c r="E6113">
        <v>62021</v>
      </c>
      <c r="F6113" t="s">
        <v>1673</v>
      </c>
      <c r="G6113">
        <v>620</v>
      </c>
      <c r="H6113" t="s">
        <v>110</v>
      </c>
      <c r="I6113">
        <v>6</v>
      </c>
      <c r="J6113" t="s">
        <v>101</v>
      </c>
    </row>
    <row r="6114" spans="1:10" x14ac:dyDescent="0.25">
      <c r="A6114" t="s">
        <v>150</v>
      </c>
      <c r="B6114">
        <f>63803.648929784*(1/100/100)</f>
        <v>6.3803648929784007</v>
      </c>
      <c r="C6114">
        <v>65607</v>
      </c>
      <c r="D6114" t="s">
        <v>6805</v>
      </c>
      <c r="E6114">
        <v>62044</v>
      </c>
      <c r="F6114" t="s">
        <v>1684</v>
      </c>
      <c r="G6114">
        <v>620</v>
      </c>
      <c r="H6114" t="s">
        <v>110</v>
      </c>
      <c r="I6114">
        <v>6</v>
      </c>
      <c r="J6114" t="s">
        <v>101</v>
      </c>
    </row>
    <row r="6115" spans="1:10" x14ac:dyDescent="0.25">
      <c r="A6115" t="s">
        <v>150</v>
      </c>
      <c r="B6115">
        <f>26258.9180702016*(1/100/100)</f>
        <v>2.6258918070201598</v>
      </c>
      <c r="C6115">
        <v>65608</v>
      </c>
      <c r="D6115" t="s">
        <v>6806</v>
      </c>
      <c r="E6115">
        <v>62044</v>
      </c>
      <c r="F6115" t="s">
        <v>1684</v>
      </c>
      <c r="G6115">
        <v>620</v>
      </c>
      <c r="H6115" t="s">
        <v>110</v>
      </c>
      <c r="I6115">
        <v>6</v>
      </c>
      <c r="J6115" t="s">
        <v>101</v>
      </c>
    </row>
    <row r="6116" spans="1:10" x14ac:dyDescent="0.25">
      <c r="A6116" t="s">
        <v>150</v>
      </c>
      <c r="B6116">
        <f>73887.9073002717*(1/100/100)</f>
        <v>7.3887907300271705</v>
      </c>
      <c r="C6116">
        <v>65609</v>
      </c>
      <c r="D6116" t="s">
        <v>2468</v>
      </c>
      <c r="E6116">
        <v>62044</v>
      </c>
      <c r="F6116" t="s">
        <v>1684</v>
      </c>
      <c r="G6116">
        <v>620</v>
      </c>
      <c r="H6116" t="s">
        <v>110</v>
      </c>
      <c r="I6116">
        <v>6</v>
      </c>
      <c r="J6116" t="s">
        <v>101</v>
      </c>
    </row>
    <row r="6117" spans="1:10" x14ac:dyDescent="0.25">
      <c r="A6117" t="s">
        <v>150</v>
      </c>
      <c r="B6117">
        <f>58372.3947588472*(1/100/100)</f>
        <v>5.8372394758847204</v>
      </c>
      <c r="C6117">
        <v>65610</v>
      </c>
      <c r="D6117" t="s">
        <v>6801</v>
      </c>
      <c r="E6117">
        <v>62043</v>
      </c>
      <c r="F6117" t="s">
        <v>1683</v>
      </c>
      <c r="G6117">
        <v>620</v>
      </c>
      <c r="H6117" t="s">
        <v>110</v>
      </c>
      <c r="I6117">
        <v>6</v>
      </c>
      <c r="J6117" t="s">
        <v>101</v>
      </c>
    </row>
    <row r="6118" spans="1:10" x14ac:dyDescent="0.25">
      <c r="A6118" t="s">
        <v>150</v>
      </c>
      <c r="B6118">
        <f>31528.0236113696*(1/100/100)</f>
        <v>3.1528023611369602</v>
      </c>
      <c r="C6118">
        <v>66001</v>
      </c>
      <c r="D6118" t="s">
        <v>6379</v>
      </c>
      <c r="E6118">
        <v>61024</v>
      </c>
      <c r="F6118" t="s">
        <v>1556</v>
      </c>
      <c r="G6118">
        <v>610</v>
      </c>
      <c r="H6118" t="s">
        <v>104</v>
      </c>
      <c r="I6118">
        <v>6</v>
      </c>
      <c r="J6118" t="s">
        <v>101</v>
      </c>
    </row>
    <row r="6119" spans="1:10" x14ac:dyDescent="0.25">
      <c r="A6119" t="s">
        <v>150</v>
      </c>
      <c r="B6119">
        <f>100467.853531712*(1/100/100)</f>
        <v>10.046785353171201</v>
      </c>
      <c r="C6119">
        <v>66002</v>
      </c>
      <c r="D6119" t="s">
        <v>1546</v>
      </c>
      <c r="E6119">
        <v>61002</v>
      </c>
      <c r="F6119" t="s">
        <v>1546</v>
      </c>
      <c r="G6119">
        <v>610</v>
      </c>
      <c r="H6119" t="s">
        <v>104</v>
      </c>
      <c r="I6119">
        <v>6</v>
      </c>
      <c r="J6119" t="s">
        <v>101</v>
      </c>
    </row>
    <row r="6120" spans="1:10" x14ac:dyDescent="0.25">
      <c r="A6120" t="s">
        <v>150</v>
      </c>
      <c r="B6120">
        <f>19777.9487909523*(1/100/100)</f>
        <v>1.9777948790952302</v>
      </c>
      <c r="C6120">
        <v>66003</v>
      </c>
      <c r="D6120" t="s">
        <v>6355</v>
      </c>
      <c r="E6120">
        <v>61013</v>
      </c>
      <c r="F6120" t="s">
        <v>1550</v>
      </c>
      <c r="G6120">
        <v>610</v>
      </c>
      <c r="H6120" t="s">
        <v>104</v>
      </c>
      <c r="I6120">
        <v>6</v>
      </c>
      <c r="J6120" t="s">
        <v>101</v>
      </c>
    </row>
    <row r="6121" spans="1:10" x14ac:dyDescent="0.25">
      <c r="A6121" t="s">
        <v>150</v>
      </c>
      <c r="B6121">
        <f>17800.2868117255*(1/100/100)</f>
        <v>1.7800286811725499</v>
      </c>
      <c r="C6121">
        <v>66004</v>
      </c>
      <c r="D6121" t="s">
        <v>6421</v>
      </c>
      <c r="E6121">
        <v>61051</v>
      </c>
      <c r="F6121" t="s">
        <v>1564</v>
      </c>
      <c r="G6121">
        <v>610</v>
      </c>
      <c r="H6121" t="s">
        <v>104</v>
      </c>
      <c r="I6121">
        <v>6</v>
      </c>
      <c r="J6121" t="s">
        <v>101</v>
      </c>
    </row>
    <row r="6122" spans="1:10" x14ac:dyDescent="0.25">
      <c r="A6122" t="s">
        <v>150</v>
      </c>
      <c r="B6122">
        <f>45786.8878953671*(1/100/100)</f>
        <v>4.5786887895367103</v>
      </c>
      <c r="C6122">
        <v>66005</v>
      </c>
      <c r="D6122" t="s">
        <v>6390</v>
      </c>
      <c r="E6122">
        <v>61032</v>
      </c>
      <c r="F6122" t="s">
        <v>1559</v>
      </c>
      <c r="G6122">
        <v>610</v>
      </c>
      <c r="H6122" t="s">
        <v>104</v>
      </c>
      <c r="I6122">
        <v>6</v>
      </c>
      <c r="J6122" t="s">
        <v>101</v>
      </c>
    </row>
    <row r="6123" spans="1:10" x14ac:dyDescent="0.25">
      <c r="A6123" t="s">
        <v>150</v>
      </c>
      <c r="B6123">
        <f>71582.7114513269*(1/100/100)</f>
        <v>7.1582711451326908</v>
      </c>
      <c r="C6123">
        <v>66006</v>
      </c>
      <c r="D6123" t="s">
        <v>6434</v>
      </c>
      <c r="E6123">
        <v>61054</v>
      </c>
      <c r="F6123" t="s">
        <v>1566</v>
      </c>
      <c r="G6123">
        <v>610</v>
      </c>
      <c r="H6123" t="s">
        <v>104</v>
      </c>
      <c r="I6123">
        <v>6</v>
      </c>
      <c r="J6123" t="s">
        <v>101</v>
      </c>
    </row>
    <row r="6124" spans="1:10" x14ac:dyDescent="0.25">
      <c r="A6124" t="s">
        <v>150</v>
      </c>
      <c r="B6124">
        <f>62975.0107194979*(1/100/100)</f>
        <v>6.2975010719497906</v>
      </c>
      <c r="C6124">
        <v>66007</v>
      </c>
      <c r="D6124" t="s">
        <v>6435</v>
      </c>
      <c r="E6124">
        <v>61054</v>
      </c>
      <c r="F6124" t="s">
        <v>1566</v>
      </c>
      <c r="G6124">
        <v>610</v>
      </c>
      <c r="H6124" t="s">
        <v>104</v>
      </c>
      <c r="I6124">
        <v>6</v>
      </c>
      <c r="J6124" t="s">
        <v>101</v>
      </c>
    </row>
    <row r="6125" spans="1:10" x14ac:dyDescent="0.25">
      <c r="A6125" t="s">
        <v>150</v>
      </c>
      <c r="B6125">
        <f>37054.1196356344*(1/100/100)</f>
        <v>3.7054119635634404</v>
      </c>
      <c r="C6125">
        <v>66008</v>
      </c>
      <c r="D6125" t="s">
        <v>6436</v>
      </c>
      <c r="E6125">
        <v>61054</v>
      </c>
      <c r="F6125" t="s">
        <v>1566</v>
      </c>
      <c r="G6125">
        <v>610</v>
      </c>
      <c r="H6125" t="s">
        <v>104</v>
      </c>
      <c r="I6125">
        <v>6</v>
      </c>
      <c r="J6125" t="s">
        <v>101</v>
      </c>
    </row>
    <row r="6126" spans="1:10" x14ac:dyDescent="0.25">
      <c r="A6126" t="s">
        <v>150</v>
      </c>
      <c r="B6126">
        <f>133962.392904623*(1/100/100)</f>
        <v>13.396239290462301</v>
      </c>
      <c r="C6126">
        <v>66009</v>
      </c>
      <c r="D6126" t="s">
        <v>1564</v>
      </c>
      <c r="E6126">
        <v>61051</v>
      </c>
      <c r="F6126" t="s">
        <v>1564</v>
      </c>
      <c r="G6126">
        <v>610</v>
      </c>
      <c r="H6126" t="s">
        <v>104</v>
      </c>
      <c r="I6126">
        <v>6</v>
      </c>
      <c r="J6126" t="s">
        <v>101</v>
      </c>
    </row>
    <row r="6127" spans="1:10" x14ac:dyDescent="0.25">
      <c r="A6127" t="s">
        <v>150</v>
      </c>
      <c r="B6127">
        <f>40797.3823485715*(1/100/100)</f>
        <v>4.0797382348571496</v>
      </c>
      <c r="C6127">
        <v>66010</v>
      </c>
      <c r="D6127" t="s">
        <v>6356</v>
      </c>
      <c r="E6127">
        <v>61013</v>
      </c>
      <c r="F6127" t="s">
        <v>1550</v>
      </c>
      <c r="G6127">
        <v>610</v>
      </c>
      <c r="H6127" t="s">
        <v>104</v>
      </c>
      <c r="I6127">
        <v>6</v>
      </c>
      <c r="J6127" t="s">
        <v>101</v>
      </c>
    </row>
    <row r="6128" spans="1:10" x14ac:dyDescent="0.25">
      <c r="A6128" t="s">
        <v>150</v>
      </c>
      <c r="B6128">
        <f>76942.8020821691*(1/100/100)</f>
        <v>7.6942802082169104</v>
      </c>
      <c r="C6128">
        <v>66011</v>
      </c>
      <c r="D6128" t="s">
        <v>1550</v>
      </c>
      <c r="E6128">
        <v>61013</v>
      </c>
      <c r="F6128" t="s">
        <v>1550</v>
      </c>
      <c r="G6128">
        <v>610</v>
      </c>
      <c r="H6128" t="s">
        <v>104</v>
      </c>
      <c r="I6128">
        <v>6</v>
      </c>
      <c r="J6128" t="s">
        <v>101</v>
      </c>
    </row>
    <row r="6129" spans="1:10" x14ac:dyDescent="0.25">
      <c r="A6129" t="s">
        <v>150</v>
      </c>
      <c r="B6129">
        <f>28905.782494432*(1/100/100)</f>
        <v>2.8905782494432</v>
      </c>
      <c r="C6129">
        <v>66012</v>
      </c>
      <c r="D6129" t="s">
        <v>6437</v>
      </c>
      <c r="E6129">
        <v>61054</v>
      </c>
      <c r="F6129" t="s">
        <v>1566</v>
      </c>
      <c r="G6129">
        <v>610</v>
      </c>
      <c r="H6129" t="s">
        <v>104</v>
      </c>
      <c r="I6129">
        <v>6</v>
      </c>
      <c r="J6129" t="s">
        <v>101</v>
      </c>
    </row>
    <row r="6130" spans="1:10" x14ac:dyDescent="0.25">
      <c r="A6130" t="s">
        <v>150</v>
      </c>
      <c r="B6130">
        <f>26806.5694068269*(1/100/100)</f>
        <v>2.6806569406826903</v>
      </c>
      <c r="C6130">
        <v>66013</v>
      </c>
      <c r="D6130" t="s">
        <v>6391</v>
      </c>
      <c r="E6130">
        <v>61032</v>
      </c>
      <c r="F6130" t="s">
        <v>1559</v>
      </c>
      <c r="G6130">
        <v>610</v>
      </c>
      <c r="H6130" t="s">
        <v>104</v>
      </c>
      <c r="I6130">
        <v>6</v>
      </c>
      <c r="J6130" t="s">
        <v>101</v>
      </c>
    </row>
    <row r="6131" spans="1:10" x14ac:dyDescent="0.25">
      <c r="A6131" t="s">
        <v>150</v>
      </c>
      <c r="B6131">
        <f>23523.848495741*(1/100/100)</f>
        <v>2.3523848495741002</v>
      </c>
      <c r="C6131">
        <v>66014</v>
      </c>
      <c r="D6131" t="s">
        <v>614</v>
      </c>
      <c r="E6131">
        <v>61024</v>
      </c>
      <c r="F6131" t="s">
        <v>1556</v>
      </c>
      <c r="G6131">
        <v>610</v>
      </c>
      <c r="H6131" t="s">
        <v>104</v>
      </c>
      <c r="I6131">
        <v>6</v>
      </c>
      <c r="J6131" t="s">
        <v>101</v>
      </c>
    </row>
    <row r="6132" spans="1:10" x14ac:dyDescent="0.25">
      <c r="A6132" t="s">
        <v>150</v>
      </c>
      <c r="B6132">
        <f>30508.2033168755*(1/100/100)</f>
        <v>3.0508203316875502</v>
      </c>
      <c r="C6132">
        <v>66015</v>
      </c>
      <c r="D6132" t="s">
        <v>3415</v>
      </c>
      <c r="E6132">
        <v>61051</v>
      </c>
      <c r="F6132" t="s">
        <v>1564</v>
      </c>
      <c r="G6132">
        <v>610</v>
      </c>
      <c r="H6132" t="s">
        <v>104</v>
      </c>
      <c r="I6132">
        <v>6</v>
      </c>
      <c r="J6132" t="s">
        <v>101</v>
      </c>
    </row>
    <row r="6133" spans="1:10" x14ac:dyDescent="0.25">
      <c r="A6133" t="s">
        <v>150</v>
      </c>
      <c r="B6133">
        <f>35946.5203613633*(1/100/100)</f>
        <v>3.5946520361363299</v>
      </c>
      <c r="C6133">
        <v>66016</v>
      </c>
      <c r="D6133" t="s">
        <v>6380</v>
      </c>
      <c r="E6133">
        <v>61024</v>
      </c>
      <c r="F6133" t="s">
        <v>1556</v>
      </c>
      <c r="G6133">
        <v>610</v>
      </c>
      <c r="H6133" t="s">
        <v>104</v>
      </c>
      <c r="I6133">
        <v>6</v>
      </c>
      <c r="J6133" t="s">
        <v>101</v>
      </c>
    </row>
    <row r="6134" spans="1:10" x14ac:dyDescent="0.25">
      <c r="A6134" t="s">
        <v>150</v>
      </c>
      <c r="B6134">
        <f>31863.2232975642*(1/100/100)</f>
        <v>3.18632232975642</v>
      </c>
      <c r="C6134">
        <v>66017</v>
      </c>
      <c r="D6134" t="s">
        <v>6438</v>
      </c>
      <c r="E6134">
        <v>61054</v>
      </c>
      <c r="F6134" t="s">
        <v>1566</v>
      </c>
      <c r="G6134">
        <v>610</v>
      </c>
      <c r="H6134" t="s">
        <v>104</v>
      </c>
      <c r="I6134">
        <v>6</v>
      </c>
      <c r="J6134" t="s">
        <v>101</v>
      </c>
    </row>
    <row r="6135" spans="1:10" x14ac:dyDescent="0.25">
      <c r="A6135" t="s">
        <v>150</v>
      </c>
      <c r="B6135">
        <f>26321.2425645458*(1/100/100)</f>
        <v>2.6321242564545799</v>
      </c>
      <c r="C6135">
        <v>66018</v>
      </c>
      <c r="D6135" t="s">
        <v>6381</v>
      </c>
      <c r="E6135">
        <v>61024</v>
      </c>
      <c r="F6135" t="s">
        <v>1556</v>
      </c>
      <c r="G6135">
        <v>610</v>
      </c>
      <c r="H6135" t="s">
        <v>104</v>
      </c>
      <c r="I6135">
        <v>6</v>
      </c>
      <c r="J6135" t="s">
        <v>101</v>
      </c>
    </row>
    <row r="6136" spans="1:10" x14ac:dyDescent="0.25">
      <c r="A6136" t="s">
        <v>150</v>
      </c>
      <c r="B6136">
        <f>10725.631509877*(1/100/100)</f>
        <v>1.0725631509877001</v>
      </c>
      <c r="C6136">
        <v>66019</v>
      </c>
      <c r="D6136" t="s">
        <v>2821</v>
      </c>
      <c r="E6136">
        <v>61054</v>
      </c>
      <c r="F6136" t="s">
        <v>1566</v>
      </c>
      <c r="G6136">
        <v>610</v>
      </c>
      <c r="H6136" t="s">
        <v>104</v>
      </c>
      <c r="I6136">
        <v>6</v>
      </c>
      <c r="J6136" t="s">
        <v>101</v>
      </c>
    </row>
    <row r="6137" spans="1:10" x14ac:dyDescent="0.25">
      <c r="A6137" t="s">
        <v>150</v>
      </c>
      <c r="B6137">
        <f>58644.2491076719*(1/100/100)</f>
        <v>5.8644249107671902</v>
      </c>
      <c r="C6137">
        <v>66020</v>
      </c>
      <c r="D6137" t="s">
        <v>6439</v>
      </c>
      <c r="E6137">
        <v>61054</v>
      </c>
      <c r="F6137" t="s">
        <v>1566</v>
      </c>
      <c r="G6137">
        <v>610</v>
      </c>
      <c r="H6137" t="s">
        <v>104</v>
      </c>
      <c r="I6137">
        <v>6</v>
      </c>
      <c r="J6137" t="s">
        <v>101</v>
      </c>
    </row>
    <row r="6138" spans="1:10" x14ac:dyDescent="0.25">
      <c r="A6138" t="s">
        <v>150</v>
      </c>
      <c r="B6138">
        <f>33334.8138665394*(1/100/100)</f>
        <v>3.3334813866539403</v>
      </c>
      <c r="C6138">
        <v>66021</v>
      </c>
      <c r="D6138" t="s">
        <v>6382</v>
      </c>
      <c r="E6138">
        <v>61024</v>
      </c>
      <c r="F6138" t="s">
        <v>1556</v>
      </c>
      <c r="G6138">
        <v>610</v>
      </c>
      <c r="H6138" t="s">
        <v>104</v>
      </c>
      <c r="I6138">
        <v>6</v>
      </c>
      <c r="J6138" t="s">
        <v>101</v>
      </c>
    </row>
    <row r="6139" spans="1:10" x14ac:dyDescent="0.25">
      <c r="A6139" t="s">
        <v>150</v>
      </c>
      <c r="B6139">
        <f>29130.6352247504*(1/100/100)</f>
        <v>2.9130635224750403</v>
      </c>
      <c r="C6139">
        <v>66022</v>
      </c>
      <c r="D6139" t="s">
        <v>6350</v>
      </c>
      <c r="E6139">
        <v>61002</v>
      </c>
      <c r="F6139" t="s">
        <v>1546</v>
      </c>
      <c r="G6139">
        <v>610</v>
      </c>
      <c r="H6139" t="s">
        <v>104</v>
      </c>
      <c r="I6139">
        <v>6</v>
      </c>
      <c r="J6139" t="s">
        <v>101</v>
      </c>
    </row>
    <row r="6140" spans="1:10" x14ac:dyDescent="0.25">
      <c r="A6140" t="s">
        <v>150</v>
      </c>
      <c r="B6140">
        <f>48261.4067654575*(1/100/100)</f>
        <v>4.8261406765457497</v>
      </c>
      <c r="C6140">
        <v>66023</v>
      </c>
      <c r="D6140" t="s">
        <v>6357</v>
      </c>
      <c r="E6140">
        <v>61013</v>
      </c>
      <c r="F6140" t="s">
        <v>1550</v>
      </c>
      <c r="G6140">
        <v>610</v>
      </c>
      <c r="H6140" t="s">
        <v>104</v>
      </c>
      <c r="I6140">
        <v>6</v>
      </c>
      <c r="J6140" t="s">
        <v>101</v>
      </c>
    </row>
    <row r="6141" spans="1:10" x14ac:dyDescent="0.25">
      <c r="A6141" t="s">
        <v>150</v>
      </c>
      <c r="B6141">
        <f>32357.6088732089*(1/100/100)</f>
        <v>3.2357608873208901</v>
      </c>
      <c r="C6141">
        <v>66024</v>
      </c>
      <c r="D6141" t="s">
        <v>6358</v>
      </c>
      <c r="E6141">
        <v>61013</v>
      </c>
      <c r="F6141" t="s">
        <v>1550</v>
      </c>
      <c r="G6141">
        <v>610</v>
      </c>
      <c r="H6141" t="s">
        <v>104</v>
      </c>
      <c r="I6141">
        <v>6</v>
      </c>
      <c r="J6141" t="s">
        <v>101</v>
      </c>
    </row>
    <row r="6142" spans="1:10" x14ac:dyDescent="0.25">
      <c r="A6142" t="s">
        <v>150</v>
      </c>
      <c r="B6142">
        <f>38952.2085378745*(1/100/100)</f>
        <v>3.8952208537874506</v>
      </c>
      <c r="C6142">
        <v>66025</v>
      </c>
      <c r="D6142" t="s">
        <v>6422</v>
      </c>
      <c r="E6142">
        <v>61051</v>
      </c>
      <c r="F6142" t="s">
        <v>1564</v>
      </c>
      <c r="G6142">
        <v>610</v>
      </c>
      <c r="H6142" t="s">
        <v>104</v>
      </c>
      <c r="I6142">
        <v>6</v>
      </c>
      <c r="J6142" t="s">
        <v>101</v>
      </c>
    </row>
    <row r="6143" spans="1:10" x14ac:dyDescent="0.25">
      <c r="A6143" t="s">
        <v>150</v>
      </c>
      <c r="B6143">
        <f>23740.6611825445*(1/100/100)</f>
        <v>2.3740661182544502</v>
      </c>
      <c r="C6143">
        <v>66026</v>
      </c>
      <c r="D6143" t="s">
        <v>6337</v>
      </c>
      <c r="E6143">
        <v>61013</v>
      </c>
      <c r="F6143" t="s">
        <v>1550</v>
      </c>
      <c r="G6143">
        <v>610</v>
      </c>
      <c r="H6143" t="s">
        <v>104</v>
      </c>
      <c r="I6143">
        <v>6</v>
      </c>
      <c r="J6143" t="s">
        <v>101</v>
      </c>
    </row>
    <row r="6144" spans="1:10" x14ac:dyDescent="0.25">
      <c r="A6144" t="s">
        <v>150</v>
      </c>
      <c r="B6144">
        <f>48867.9657422705*(1/100/100)</f>
        <v>4.8867965742270503</v>
      </c>
      <c r="C6144">
        <v>66027</v>
      </c>
      <c r="D6144" t="s">
        <v>6359</v>
      </c>
      <c r="E6144">
        <v>61013</v>
      </c>
      <c r="F6144" t="s">
        <v>1550</v>
      </c>
      <c r="G6144">
        <v>610</v>
      </c>
      <c r="H6144" t="s">
        <v>104</v>
      </c>
      <c r="I6144">
        <v>6</v>
      </c>
      <c r="J6144" t="s">
        <v>101</v>
      </c>
    </row>
    <row r="6145" spans="1:10" x14ac:dyDescent="0.25">
      <c r="A6145" t="s">
        <v>150</v>
      </c>
      <c r="B6145">
        <f>48596.906701278*(1/100/100)</f>
        <v>4.8596906701278</v>
      </c>
      <c r="C6145">
        <v>66028</v>
      </c>
      <c r="D6145" t="s">
        <v>6383</v>
      </c>
      <c r="E6145">
        <v>61024</v>
      </c>
      <c r="F6145" t="s">
        <v>1556</v>
      </c>
      <c r="G6145">
        <v>610</v>
      </c>
      <c r="H6145" t="s">
        <v>104</v>
      </c>
      <c r="I6145">
        <v>6</v>
      </c>
      <c r="J6145" t="s">
        <v>101</v>
      </c>
    </row>
    <row r="6146" spans="1:10" x14ac:dyDescent="0.25">
      <c r="A6146" t="s">
        <v>150</v>
      </c>
      <c r="B6146">
        <f>99115.1292658719*(1/100/100)</f>
        <v>9.9115129265871911</v>
      </c>
      <c r="C6146">
        <v>66029</v>
      </c>
      <c r="D6146" t="s">
        <v>1556</v>
      </c>
      <c r="E6146">
        <v>61024</v>
      </c>
      <c r="F6146" t="s">
        <v>1556</v>
      </c>
      <c r="G6146">
        <v>610</v>
      </c>
      <c r="H6146" t="s">
        <v>104</v>
      </c>
      <c r="I6146">
        <v>6</v>
      </c>
      <c r="J6146" t="s">
        <v>101</v>
      </c>
    </row>
    <row r="6147" spans="1:10" x14ac:dyDescent="0.25">
      <c r="A6147" t="s">
        <v>150</v>
      </c>
      <c r="B6147">
        <f>74722.9237065037*(1/100/100)</f>
        <v>7.4722923706503703</v>
      </c>
      <c r="C6147">
        <v>66030</v>
      </c>
      <c r="D6147" t="s">
        <v>6440</v>
      </c>
      <c r="E6147">
        <v>61054</v>
      </c>
      <c r="F6147" t="s">
        <v>1566</v>
      </c>
      <c r="G6147">
        <v>610</v>
      </c>
      <c r="H6147" t="s">
        <v>104</v>
      </c>
      <c r="I6147">
        <v>6</v>
      </c>
      <c r="J6147" t="s">
        <v>101</v>
      </c>
    </row>
    <row r="6148" spans="1:10" x14ac:dyDescent="0.25">
      <c r="A6148" t="s">
        <v>150</v>
      </c>
      <c r="B6148">
        <f>87185.3373874617*(1/100/100)</f>
        <v>8.7185337387461708</v>
      </c>
      <c r="C6148">
        <v>66031</v>
      </c>
      <c r="D6148" t="s">
        <v>6423</v>
      </c>
      <c r="E6148">
        <v>61051</v>
      </c>
      <c r="F6148" t="s">
        <v>1564</v>
      </c>
      <c r="G6148">
        <v>610</v>
      </c>
      <c r="H6148" t="s">
        <v>104</v>
      </c>
      <c r="I6148">
        <v>6</v>
      </c>
      <c r="J6148" t="s">
        <v>101</v>
      </c>
    </row>
    <row r="6149" spans="1:10" x14ac:dyDescent="0.25">
      <c r="A6149" t="s">
        <v>150</v>
      </c>
      <c r="B6149">
        <f>30155.2533038407*(1/100/100)</f>
        <v>3.0155253303840701</v>
      </c>
      <c r="C6149">
        <v>66032</v>
      </c>
      <c r="D6149" t="s">
        <v>6424</v>
      </c>
      <c r="E6149">
        <v>61051</v>
      </c>
      <c r="F6149" t="s">
        <v>1564</v>
      </c>
      <c r="G6149">
        <v>610</v>
      </c>
      <c r="H6149" t="s">
        <v>104</v>
      </c>
      <c r="I6149">
        <v>6</v>
      </c>
      <c r="J6149" t="s">
        <v>101</v>
      </c>
    </row>
    <row r="6150" spans="1:10" x14ac:dyDescent="0.25">
      <c r="A6150" t="s">
        <v>150</v>
      </c>
      <c r="B6150">
        <f>7550.118409918*(1/100/100)</f>
        <v>0.75501184099180008</v>
      </c>
      <c r="C6150">
        <v>66033</v>
      </c>
      <c r="D6150" t="s">
        <v>6392</v>
      </c>
      <c r="E6150">
        <v>61032</v>
      </c>
      <c r="F6150" t="s">
        <v>1559</v>
      </c>
      <c r="G6150">
        <v>610</v>
      </c>
      <c r="H6150" t="s">
        <v>104</v>
      </c>
      <c r="I6150">
        <v>6</v>
      </c>
      <c r="J6150" t="s">
        <v>101</v>
      </c>
    </row>
    <row r="6151" spans="1:10" x14ac:dyDescent="0.25">
      <c r="A6151" t="s">
        <v>150</v>
      </c>
      <c r="B6151">
        <f>26376.1280063199*(1/100/100)</f>
        <v>2.6376128006319903</v>
      </c>
      <c r="C6151">
        <v>66034</v>
      </c>
      <c r="D6151" t="s">
        <v>6393</v>
      </c>
      <c r="E6151">
        <v>61032</v>
      </c>
      <c r="F6151" t="s">
        <v>1559</v>
      </c>
      <c r="G6151">
        <v>610</v>
      </c>
      <c r="H6151" t="s">
        <v>104</v>
      </c>
      <c r="I6151">
        <v>6</v>
      </c>
      <c r="J6151" t="s">
        <v>101</v>
      </c>
    </row>
    <row r="6152" spans="1:10" x14ac:dyDescent="0.25">
      <c r="A6152" t="s">
        <v>150</v>
      </c>
      <c r="B6152">
        <f>37046.5520270728*(1/100/100)</f>
        <v>3.7046552027072801</v>
      </c>
      <c r="C6152">
        <v>66035</v>
      </c>
      <c r="D6152" t="s">
        <v>6441</v>
      </c>
      <c r="E6152">
        <v>61054</v>
      </c>
      <c r="F6152" t="s">
        <v>1566</v>
      </c>
      <c r="G6152">
        <v>610</v>
      </c>
      <c r="H6152" t="s">
        <v>104</v>
      </c>
      <c r="I6152">
        <v>6</v>
      </c>
      <c r="J6152" t="s">
        <v>101</v>
      </c>
    </row>
    <row r="6153" spans="1:10" x14ac:dyDescent="0.25">
      <c r="A6153" t="s">
        <v>150</v>
      </c>
      <c r="B6153">
        <f>48414.8546077054*(1/100/100)</f>
        <v>4.8414854607705404</v>
      </c>
      <c r="C6153">
        <v>66036</v>
      </c>
      <c r="D6153" t="s">
        <v>6394</v>
      </c>
      <c r="E6153">
        <v>61032</v>
      </c>
      <c r="F6153" t="s">
        <v>1559</v>
      </c>
      <c r="G6153">
        <v>610</v>
      </c>
      <c r="H6153" t="s">
        <v>104</v>
      </c>
      <c r="I6153">
        <v>6</v>
      </c>
      <c r="J6153" t="s">
        <v>101</v>
      </c>
    </row>
    <row r="6154" spans="1:10" x14ac:dyDescent="0.25">
      <c r="A6154" t="s">
        <v>150</v>
      </c>
      <c r="B6154">
        <f>46337.9843942176*(1/100/100)</f>
        <v>4.63379843942176</v>
      </c>
      <c r="C6154">
        <v>66037</v>
      </c>
      <c r="D6154" t="s">
        <v>6395</v>
      </c>
      <c r="E6154">
        <v>61032</v>
      </c>
      <c r="F6154" t="s">
        <v>1559</v>
      </c>
      <c r="G6154">
        <v>610</v>
      </c>
      <c r="H6154" t="s">
        <v>104</v>
      </c>
      <c r="I6154">
        <v>6</v>
      </c>
      <c r="J6154" t="s">
        <v>101</v>
      </c>
    </row>
    <row r="6155" spans="1:10" x14ac:dyDescent="0.25">
      <c r="A6155" t="s">
        <v>150</v>
      </c>
      <c r="B6155">
        <f>57135.0526657883*(1/100/100)</f>
        <v>5.7135052665788306</v>
      </c>
      <c r="C6155">
        <v>66038</v>
      </c>
      <c r="D6155" t="s">
        <v>6425</v>
      </c>
      <c r="E6155">
        <v>61051</v>
      </c>
      <c r="F6155" t="s">
        <v>1564</v>
      </c>
      <c r="G6155">
        <v>610</v>
      </c>
      <c r="H6155" t="s">
        <v>104</v>
      </c>
      <c r="I6155">
        <v>6</v>
      </c>
      <c r="J6155" t="s">
        <v>101</v>
      </c>
    </row>
    <row r="6156" spans="1:10" x14ac:dyDescent="0.25">
      <c r="A6156" t="s">
        <v>150</v>
      </c>
      <c r="B6156">
        <f>90692.7678773884*(1/100/100)</f>
        <v>9.0692767877388398</v>
      </c>
      <c r="C6156">
        <v>66039</v>
      </c>
      <c r="D6156" t="s">
        <v>6442</v>
      </c>
      <c r="E6156">
        <v>61054</v>
      </c>
      <c r="F6156" t="s">
        <v>1566</v>
      </c>
      <c r="G6156">
        <v>610</v>
      </c>
      <c r="H6156" t="s">
        <v>104</v>
      </c>
      <c r="I6156">
        <v>6</v>
      </c>
      <c r="J6156" t="s">
        <v>101</v>
      </c>
    </row>
    <row r="6157" spans="1:10" x14ac:dyDescent="0.25">
      <c r="A6157" t="s">
        <v>150</v>
      </c>
      <c r="B6157">
        <f>91988.2202849594*(1/100/100)</f>
        <v>9.1988220284959414</v>
      </c>
      <c r="C6157">
        <v>66040</v>
      </c>
      <c r="D6157" t="s">
        <v>6396</v>
      </c>
      <c r="E6157">
        <v>61032</v>
      </c>
      <c r="F6157" t="s">
        <v>1559</v>
      </c>
      <c r="G6157">
        <v>610</v>
      </c>
      <c r="H6157" t="s">
        <v>104</v>
      </c>
      <c r="I6157">
        <v>6</v>
      </c>
      <c r="J6157" t="s">
        <v>101</v>
      </c>
    </row>
    <row r="6158" spans="1:10" x14ac:dyDescent="0.25">
      <c r="A6158" t="s">
        <v>150</v>
      </c>
      <c r="B6158">
        <f>32261.3819398444*(1/100/100)</f>
        <v>3.2261381939844402</v>
      </c>
      <c r="C6158">
        <v>66041</v>
      </c>
      <c r="D6158" t="s">
        <v>6360</v>
      </c>
      <c r="E6158">
        <v>61013</v>
      </c>
      <c r="F6158" t="s">
        <v>1550</v>
      </c>
      <c r="G6158">
        <v>610</v>
      </c>
      <c r="H6158" t="s">
        <v>104</v>
      </c>
      <c r="I6158">
        <v>6</v>
      </c>
      <c r="J6158" t="s">
        <v>101</v>
      </c>
    </row>
    <row r="6159" spans="1:10" x14ac:dyDescent="0.25">
      <c r="A6159" t="s">
        <v>150</v>
      </c>
      <c r="B6159">
        <f>30699.7601127888*(1/100/100)</f>
        <v>3.0699760112788801</v>
      </c>
      <c r="C6159">
        <v>66101</v>
      </c>
      <c r="D6159" t="s">
        <v>1697</v>
      </c>
      <c r="E6159">
        <v>61045</v>
      </c>
      <c r="F6159" t="s">
        <v>1562</v>
      </c>
      <c r="G6159">
        <v>610</v>
      </c>
      <c r="H6159" t="s">
        <v>104</v>
      </c>
      <c r="I6159">
        <v>6</v>
      </c>
      <c r="J6159" t="s">
        <v>101</v>
      </c>
    </row>
    <row r="6160" spans="1:10" x14ac:dyDescent="0.25">
      <c r="A6160" t="s">
        <v>150</v>
      </c>
      <c r="B6160">
        <f>35403.3328914861*(1/100/100)</f>
        <v>3.5403332891486099</v>
      </c>
      <c r="C6160">
        <v>66102</v>
      </c>
      <c r="D6160" t="s">
        <v>4723</v>
      </c>
      <c r="E6160">
        <v>61043</v>
      </c>
      <c r="F6160" t="s">
        <v>1561</v>
      </c>
      <c r="G6160">
        <v>610</v>
      </c>
      <c r="H6160" t="s">
        <v>104</v>
      </c>
      <c r="I6160">
        <v>6</v>
      </c>
      <c r="J6160" t="s">
        <v>101</v>
      </c>
    </row>
    <row r="6161" spans="1:10" x14ac:dyDescent="0.25">
      <c r="A6161" t="s">
        <v>150</v>
      </c>
      <c r="B6161">
        <f>67030.3459689878*(1/100/100)</f>
        <v>6.7030345968987799</v>
      </c>
      <c r="C6161">
        <v>66103</v>
      </c>
      <c r="D6161" t="s">
        <v>2535</v>
      </c>
      <c r="E6161">
        <v>61053</v>
      </c>
      <c r="F6161" t="s">
        <v>104</v>
      </c>
      <c r="G6161">
        <v>610</v>
      </c>
      <c r="H6161" t="s">
        <v>104</v>
      </c>
      <c r="I6161">
        <v>6</v>
      </c>
      <c r="J6161" t="s">
        <v>101</v>
      </c>
    </row>
    <row r="6162" spans="1:10" x14ac:dyDescent="0.25">
      <c r="A6162" t="s">
        <v>150</v>
      </c>
      <c r="B6162">
        <f>17044.4261230769*(1/100/100)</f>
        <v>1.7044426123076901</v>
      </c>
      <c r="C6162">
        <v>66104</v>
      </c>
      <c r="D6162" t="s">
        <v>6384</v>
      </c>
      <c r="E6162">
        <v>61030</v>
      </c>
      <c r="F6162" t="s">
        <v>1558</v>
      </c>
      <c r="G6162">
        <v>610</v>
      </c>
      <c r="H6162" t="s">
        <v>104</v>
      </c>
      <c r="I6162">
        <v>6</v>
      </c>
      <c r="J6162" t="s">
        <v>101</v>
      </c>
    </row>
    <row r="6163" spans="1:10" x14ac:dyDescent="0.25">
      <c r="A6163" t="s">
        <v>150</v>
      </c>
      <c r="B6163">
        <f>14952.1496945658*(1/100/100)</f>
        <v>1.4952149694565802</v>
      </c>
      <c r="C6163">
        <v>66105</v>
      </c>
      <c r="D6163" t="s">
        <v>6369</v>
      </c>
      <c r="E6163">
        <v>61019</v>
      </c>
      <c r="F6163" t="s">
        <v>1553</v>
      </c>
      <c r="G6163">
        <v>610</v>
      </c>
      <c r="H6163" t="s">
        <v>104</v>
      </c>
      <c r="I6163">
        <v>6</v>
      </c>
      <c r="J6163" t="s">
        <v>101</v>
      </c>
    </row>
    <row r="6164" spans="1:10" x14ac:dyDescent="0.25">
      <c r="A6164" t="s">
        <v>150</v>
      </c>
      <c r="B6164">
        <f>43418.9857436447*(1/100/100)</f>
        <v>4.3418985743644702</v>
      </c>
      <c r="C6164">
        <v>66106</v>
      </c>
      <c r="D6164" t="s">
        <v>6415</v>
      </c>
      <c r="E6164">
        <v>61050</v>
      </c>
      <c r="F6164" t="s">
        <v>1563</v>
      </c>
      <c r="G6164">
        <v>610</v>
      </c>
      <c r="H6164" t="s">
        <v>104</v>
      </c>
      <c r="I6164">
        <v>6</v>
      </c>
      <c r="J6164" t="s">
        <v>101</v>
      </c>
    </row>
    <row r="6165" spans="1:10" x14ac:dyDescent="0.25">
      <c r="A6165" t="s">
        <v>150</v>
      </c>
      <c r="B6165">
        <f>107903.070759417*(1/100/100)</f>
        <v>10.790307075941699</v>
      </c>
      <c r="C6165">
        <v>66107</v>
      </c>
      <c r="D6165" t="s">
        <v>6408</v>
      </c>
      <c r="E6165">
        <v>61049</v>
      </c>
      <c r="F6165" t="s">
        <v>6409</v>
      </c>
      <c r="G6165">
        <v>610</v>
      </c>
      <c r="H6165" t="s">
        <v>104</v>
      </c>
      <c r="I6165">
        <v>6</v>
      </c>
      <c r="J6165" t="s">
        <v>101</v>
      </c>
    </row>
    <row r="6166" spans="1:10" x14ac:dyDescent="0.25">
      <c r="A6166" t="s">
        <v>150</v>
      </c>
      <c r="B6166">
        <f>19276.5813748908*(1/100/100)</f>
        <v>1.9276581374890802</v>
      </c>
      <c r="C6166">
        <v>66108</v>
      </c>
      <c r="D6166" t="s">
        <v>4387</v>
      </c>
      <c r="E6166">
        <v>61019</v>
      </c>
      <c r="F6166" t="s">
        <v>1553</v>
      </c>
      <c r="G6166">
        <v>610</v>
      </c>
      <c r="H6166" t="s">
        <v>104</v>
      </c>
      <c r="I6166">
        <v>6</v>
      </c>
      <c r="J6166" t="s">
        <v>101</v>
      </c>
    </row>
    <row r="6167" spans="1:10" x14ac:dyDescent="0.25">
      <c r="A6167" t="s">
        <v>150</v>
      </c>
      <c r="B6167">
        <f>42298.3316734873*(1/100/100)</f>
        <v>4.2298331673487306</v>
      </c>
      <c r="C6167">
        <v>66109</v>
      </c>
      <c r="D6167" t="s">
        <v>6410</v>
      </c>
      <c r="E6167">
        <v>61049</v>
      </c>
      <c r="F6167" t="s">
        <v>6409</v>
      </c>
      <c r="G6167">
        <v>610</v>
      </c>
      <c r="H6167" t="s">
        <v>104</v>
      </c>
      <c r="I6167">
        <v>6</v>
      </c>
      <c r="J6167" t="s">
        <v>101</v>
      </c>
    </row>
    <row r="6168" spans="1:10" x14ac:dyDescent="0.25">
      <c r="A6168" t="s">
        <v>150</v>
      </c>
      <c r="B6168">
        <f>26539.796187593*(1/100/100)</f>
        <v>2.6539796187593003</v>
      </c>
      <c r="C6168">
        <v>66110</v>
      </c>
      <c r="D6168" t="s">
        <v>6385</v>
      </c>
      <c r="E6168">
        <v>61030</v>
      </c>
      <c r="F6168" t="s">
        <v>1558</v>
      </c>
      <c r="G6168">
        <v>610</v>
      </c>
      <c r="H6168" t="s">
        <v>104</v>
      </c>
      <c r="I6168">
        <v>6</v>
      </c>
      <c r="J6168" t="s">
        <v>101</v>
      </c>
    </row>
    <row r="6169" spans="1:10" x14ac:dyDescent="0.25">
      <c r="A6169" t="s">
        <v>150</v>
      </c>
      <c r="B6169">
        <f>48016.5223571232*(1/100/100)</f>
        <v>4.8016522357123197</v>
      </c>
      <c r="C6169">
        <v>66111</v>
      </c>
      <c r="D6169" t="s">
        <v>6397</v>
      </c>
      <c r="E6169">
        <v>61033</v>
      </c>
      <c r="F6169" t="s">
        <v>1560</v>
      </c>
      <c r="G6169">
        <v>610</v>
      </c>
      <c r="H6169" t="s">
        <v>104</v>
      </c>
      <c r="I6169">
        <v>6</v>
      </c>
      <c r="J6169" t="s">
        <v>101</v>
      </c>
    </row>
    <row r="6170" spans="1:10" x14ac:dyDescent="0.25">
      <c r="A6170" t="s">
        <v>150</v>
      </c>
      <c r="B6170">
        <f>40696.6886733074*(1/100/100)</f>
        <v>4.0696688673307397</v>
      </c>
      <c r="C6170">
        <v>66112</v>
      </c>
      <c r="D6170" t="s">
        <v>6370</v>
      </c>
      <c r="E6170">
        <v>61019</v>
      </c>
      <c r="F6170" t="s">
        <v>1553</v>
      </c>
      <c r="G6170">
        <v>610</v>
      </c>
      <c r="H6170" t="s">
        <v>104</v>
      </c>
      <c r="I6170">
        <v>6</v>
      </c>
      <c r="J6170" t="s">
        <v>101</v>
      </c>
    </row>
    <row r="6171" spans="1:10" x14ac:dyDescent="0.25">
      <c r="A6171" t="s">
        <v>150</v>
      </c>
      <c r="B6171">
        <f>65522.3847792685*(1/100/100)</f>
        <v>6.5522384779268501</v>
      </c>
      <c r="C6171">
        <v>66113</v>
      </c>
      <c r="D6171" t="s">
        <v>1548</v>
      </c>
      <c r="E6171">
        <v>61008</v>
      </c>
      <c r="F6171" t="s">
        <v>1548</v>
      </c>
      <c r="G6171">
        <v>610</v>
      </c>
      <c r="H6171" t="s">
        <v>104</v>
      </c>
      <c r="I6171">
        <v>6</v>
      </c>
      <c r="J6171" t="s">
        <v>101</v>
      </c>
    </row>
    <row r="6172" spans="1:10" x14ac:dyDescent="0.25">
      <c r="A6172" t="s">
        <v>150</v>
      </c>
      <c r="B6172">
        <f>145505.26499453*(1/100/100)</f>
        <v>14.550526499453001</v>
      </c>
      <c r="C6172">
        <v>66114</v>
      </c>
      <c r="D6172" t="s">
        <v>1563</v>
      </c>
      <c r="E6172">
        <v>61050</v>
      </c>
      <c r="F6172" t="s">
        <v>1563</v>
      </c>
      <c r="G6172">
        <v>610</v>
      </c>
      <c r="H6172" t="s">
        <v>104</v>
      </c>
      <c r="I6172">
        <v>6</v>
      </c>
      <c r="J6172" t="s">
        <v>101</v>
      </c>
    </row>
    <row r="6173" spans="1:10" x14ac:dyDescent="0.25">
      <c r="A6173" t="s">
        <v>150</v>
      </c>
      <c r="B6173">
        <f>22871.5131392122*(1/100/100)</f>
        <v>2.2871513139212198</v>
      </c>
      <c r="C6173">
        <v>66115</v>
      </c>
      <c r="D6173" t="s">
        <v>6371</v>
      </c>
      <c r="E6173">
        <v>61019</v>
      </c>
      <c r="F6173" t="s">
        <v>1553</v>
      </c>
      <c r="G6173">
        <v>610</v>
      </c>
      <c r="H6173" t="s">
        <v>104</v>
      </c>
      <c r="I6173">
        <v>6</v>
      </c>
      <c r="J6173" t="s">
        <v>101</v>
      </c>
    </row>
    <row r="6174" spans="1:10" x14ac:dyDescent="0.25">
      <c r="A6174" t="s">
        <v>150</v>
      </c>
      <c r="B6174">
        <f>62057.2077463713*(1/100/100)</f>
        <v>6.2057207746371299</v>
      </c>
      <c r="C6174">
        <v>66116</v>
      </c>
      <c r="D6174" t="s">
        <v>6165</v>
      </c>
      <c r="E6174">
        <v>61061</v>
      </c>
      <c r="F6174" t="s">
        <v>1571</v>
      </c>
      <c r="G6174">
        <v>610</v>
      </c>
      <c r="H6174" t="s">
        <v>104</v>
      </c>
      <c r="I6174">
        <v>6</v>
      </c>
      <c r="J6174" t="s">
        <v>101</v>
      </c>
    </row>
    <row r="6175" spans="1:10" x14ac:dyDescent="0.25">
      <c r="A6175" t="s">
        <v>150</v>
      </c>
      <c r="B6175">
        <f>22151.6355762764*(1/100/100)</f>
        <v>2.2151635576276401</v>
      </c>
      <c r="C6175">
        <v>66117</v>
      </c>
      <c r="D6175" t="s">
        <v>6373</v>
      </c>
      <c r="E6175">
        <v>61020</v>
      </c>
      <c r="F6175" t="s">
        <v>1554</v>
      </c>
      <c r="G6175">
        <v>610</v>
      </c>
      <c r="H6175" t="s">
        <v>104</v>
      </c>
      <c r="I6175">
        <v>6</v>
      </c>
      <c r="J6175" t="s">
        <v>101</v>
      </c>
    </row>
    <row r="6176" spans="1:10" x14ac:dyDescent="0.25">
      <c r="A6176" t="s">
        <v>150</v>
      </c>
      <c r="B6176">
        <f>33250.7380605784*(1/100/100)</f>
        <v>3.3250738060578402</v>
      </c>
      <c r="C6176">
        <v>66118</v>
      </c>
      <c r="D6176" t="s">
        <v>6464</v>
      </c>
      <c r="E6176">
        <v>61061</v>
      </c>
      <c r="F6176" t="s">
        <v>1571</v>
      </c>
      <c r="G6176">
        <v>610</v>
      </c>
      <c r="H6176" t="s">
        <v>104</v>
      </c>
      <c r="I6176">
        <v>6</v>
      </c>
      <c r="J6176" t="s">
        <v>101</v>
      </c>
    </row>
    <row r="6177" spans="1:10" x14ac:dyDescent="0.25">
      <c r="A6177" t="s">
        <v>150</v>
      </c>
      <c r="B6177">
        <f>19302.0733656632*(1/100/100)</f>
        <v>1.9302073365663202</v>
      </c>
      <c r="C6177">
        <v>66119</v>
      </c>
      <c r="D6177" t="s">
        <v>6204</v>
      </c>
      <c r="E6177">
        <v>61019</v>
      </c>
      <c r="F6177" t="s">
        <v>1553</v>
      </c>
      <c r="G6177">
        <v>610</v>
      </c>
      <c r="H6177" t="s">
        <v>104</v>
      </c>
      <c r="I6177">
        <v>6</v>
      </c>
      <c r="J6177" t="s">
        <v>101</v>
      </c>
    </row>
    <row r="6178" spans="1:10" x14ac:dyDescent="0.25">
      <c r="A6178" t="s">
        <v>150</v>
      </c>
      <c r="B6178">
        <f>31952.7975505323*(1/100/100)</f>
        <v>3.1952797550532304</v>
      </c>
      <c r="C6178">
        <v>66120</v>
      </c>
      <c r="D6178" t="s">
        <v>6398</v>
      </c>
      <c r="E6178">
        <v>61033</v>
      </c>
      <c r="F6178" t="s">
        <v>1560</v>
      </c>
      <c r="G6178">
        <v>610</v>
      </c>
      <c r="H6178" t="s">
        <v>104</v>
      </c>
      <c r="I6178">
        <v>6</v>
      </c>
      <c r="J6178" t="s">
        <v>101</v>
      </c>
    </row>
    <row r="6179" spans="1:10" x14ac:dyDescent="0.25">
      <c r="A6179" t="s">
        <v>150</v>
      </c>
      <c r="B6179">
        <f>35326.2562639418*(1/100/100)</f>
        <v>3.5326256263941804</v>
      </c>
      <c r="C6179">
        <v>66121</v>
      </c>
      <c r="D6179" t="s">
        <v>6429</v>
      </c>
      <c r="E6179">
        <v>61053</v>
      </c>
      <c r="F6179" t="s">
        <v>104</v>
      </c>
      <c r="G6179">
        <v>610</v>
      </c>
      <c r="H6179" t="s">
        <v>104</v>
      </c>
      <c r="I6179">
        <v>6</v>
      </c>
      <c r="J6179" t="s">
        <v>101</v>
      </c>
    </row>
    <row r="6180" spans="1:10" x14ac:dyDescent="0.25">
      <c r="A6180" t="s">
        <v>150</v>
      </c>
      <c r="B6180">
        <f>41855.964396997*(1/100/100)</f>
        <v>4.1855964396997001</v>
      </c>
      <c r="C6180">
        <v>66122</v>
      </c>
      <c r="D6180" t="s">
        <v>6416</v>
      </c>
      <c r="E6180">
        <v>61050</v>
      </c>
      <c r="F6180" t="s">
        <v>1563</v>
      </c>
      <c r="G6180">
        <v>610</v>
      </c>
      <c r="H6180" t="s">
        <v>104</v>
      </c>
      <c r="I6180">
        <v>6</v>
      </c>
      <c r="J6180" t="s">
        <v>101</v>
      </c>
    </row>
    <row r="6181" spans="1:10" x14ac:dyDescent="0.25">
      <c r="A6181" t="s">
        <v>150</v>
      </c>
      <c r="B6181">
        <f>47405.7032521433*(1/100/100)</f>
        <v>4.7405703252143301</v>
      </c>
      <c r="C6181">
        <v>66123</v>
      </c>
      <c r="D6181" t="s">
        <v>4695</v>
      </c>
      <c r="E6181">
        <v>61045</v>
      </c>
      <c r="F6181" t="s">
        <v>1562</v>
      </c>
      <c r="G6181">
        <v>610</v>
      </c>
      <c r="H6181" t="s">
        <v>104</v>
      </c>
      <c r="I6181">
        <v>6</v>
      </c>
      <c r="J6181" t="s">
        <v>101</v>
      </c>
    </row>
    <row r="6182" spans="1:10" x14ac:dyDescent="0.25">
      <c r="A6182" t="s">
        <v>150</v>
      </c>
      <c r="B6182">
        <f>123293.081325841*(1/100/100)</f>
        <v>12.329308132584101</v>
      </c>
      <c r="C6182">
        <v>66124</v>
      </c>
      <c r="D6182" t="s">
        <v>1551</v>
      </c>
      <c r="E6182">
        <v>61016</v>
      </c>
      <c r="F6182" t="s">
        <v>1551</v>
      </c>
      <c r="G6182">
        <v>610</v>
      </c>
      <c r="H6182" t="s">
        <v>104</v>
      </c>
      <c r="I6182">
        <v>6</v>
      </c>
      <c r="J6182" t="s">
        <v>101</v>
      </c>
    </row>
    <row r="6183" spans="1:10" x14ac:dyDescent="0.25">
      <c r="A6183" t="s">
        <v>150</v>
      </c>
      <c r="B6183">
        <f>31782.8244572711*(1/100/100)</f>
        <v>3.1782824457271102</v>
      </c>
      <c r="C6183">
        <v>66125</v>
      </c>
      <c r="D6183" t="s">
        <v>5996</v>
      </c>
      <c r="E6183">
        <v>61030</v>
      </c>
      <c r="F6183" t="s">
        <v>1558</v>
      </c>
      <c r="G6183">
        <v>610</v>
      </c>
      <c r="H6183" t="s">
        <v>104</v>
      </c>
      <c r="I6183">
        <v>6</v>
      </c>
      <c r="J6183" t="s">
        <v>101</v>
      </c>
    </row>
    <row r="6184" spans="1:10" x14ac:dyDescent="0.25">
      <c r="A6184" t="s">
        <v>150</v>
      </c>
      <c r="B6184">
        <f>50812.1181302735*(1/100/100)</f>
        <v>5.08121181302735</v>
      </c>
      <c r="C6184">
        <v>66126</v>
      </c>
      <c r="D6184" t="s">
        <v>6454</v>
      </c>
      <c r="E6184">
        <v>61060</v>
      </c>
      <c r="F6184" t="s">
        <v>1570</v>
      </c>
      <c r="G6184">
        <v>610</v>
      </c>
      <c r="H6184" t="s">
        <v>104</v>
      </c>
      <c r="I6184">
        <v>6</v>
      </c>
      <c r="J6184" t="s">
        <v>101</v>
      </c>
    </row>
    <row r="6185" spans="1:10" x14ac:dyDescent="0.25">
      <c r="A6185" t="s">
        <v>150</v>
      </c>
      <c r="B6185">
        <f>39817.7100668847*(1/100/100)</f>
        <v>3.9817710066884699</v>
      </c>
      <c r="C6185">
        <v>66127</v>
      </c>
      <c r="D6185" t="s">
        <v>6374</v>
      </c>
      <c r="E6185">
        <v>61020</v>
      </c>
      <c r="F6185" t="s">
        <v>1554</v>
      </c>
      <c r="G6185">
        <v>610</v>
      </c>
      <c r="H6185" t="s">
        <v>104</v>
      </c>
      <c r="I6185">
        <v>6</v>
      </c>
      <c r="J6185" t="s">
        <v>101</v>
      </c>
    </row>
    <row r="6186" spans="1:10" x14ac:dyDescent="0.25">
      <c r="A6186" t="s">
        <v>150</v>
      </c>
      <c r="B6186">
        <f>204943.334119061*(1/100/100)</f>
        <v>20.494333411906101</v>
      </c>
      <c r="C6186">
        <v>66128</v>
      </c>
      <c r="D6186" t="s">
        <v>6430</v>
      </c>
      <c r="E6186">
        <v>61053</v>
      </c>
      <c r="F6186" t="s">
        <v>104</v>
      </c>
      <c r="G6186">
        <v>610</v>
      </c>
      <c r="H6186" t="s">
        <v>104</v>
      </c>
      <c r="I6186">
        <v>6</v>
      </c>
      <c r="J6186" t="s">
        <v>101</v>
      </c>
    </row>
    <row r="6187" spans="1:10" x14ac:dyDescent="0.25">
      <c r="A6187" t="s">
        <v>150</v>
      </c>
      <c r="B6187">
        <f>6356.16365825564*(1/100/100)</f>
        <v>0.63561636582556402</v>
      </c>
      <c r="C6187">
        <v>66129</v>
      </c>
      <c r="D6187" t="s">
        <v>6361</v>
      </c>
      <c r="E6187">
        <v>61016</v>
      </c>
      <c r="F6187" t="s">
        <v>1551</v>
      </c>
      <c r="G6187">
        <v>610</v>
      </c>
      <c r="H6187" t="s">
        <v>104</v>
      </c>
      <c r="I6187">
        <v>6</v>
      </c>
      <c r="J6187" t="s">
        <v>101</v>
      </c>
    </row>
    <row r="6188" spans="1:10" x14ac:dyDescent="0.25">
      <c r="A6188" t="s">
        <v>150</v>
      </c>
      <c r="B6188">
        <f>19091.431752724*(1/100/100)</f>
        <v>1.9091431752724</v>
      </c>
      <c r="C6188">
        <v>66130</v>
      </c>
      <c r="D6188" t="s">
        <v>6431</v>
      </c>
      <c r="E6188">
        <v>61053</v>
      </c>
      <c r="F6188" t="s">
        <v>104</v>
      </c>
      <c r="G6188">
        <v>610</v>
      </c>
      <c r="H6188" t="s">
        <v>104</v>
      </c>
      <c r="I6188">
        <v>6</v>
      </c>
      <c r="J6188" t="s">
        <v>101</v>
      </c>
    </row>
    <row r="6189" spans="1:10" x14ac:dyDescent="0.25">
      <c r="A6189" t="s">
        <v>150</v>
      </c>
      <c r="B6189">
        <f>48121.7476421752*(1/100/100)</f>
        <v>4.8121747642175201</v>
      </c>
      <c r="C6189">
        <v>66131</v>
      </c>
      <c r="D6189" t="s">
        <v>6417</v>
      </c>
      <c r="E6189">
        <v>61050</v>
      </c>
      <c r="F6189" t="s">
        <v>1563</v>
      </c>
      <c r="G6189">
        <v>610</v>
      </c>
      <c r="H6189" t="s">
        <v>104</v>
      </c>
      <c r="I6189">
        <v>6</v>
      </c>
      <c r="J6189" t="s">
        <v>101</v>
      </c>
    </row>
    <row r="6190" spans="1:10" x14ac:dyDescent="0.25">
      <c r="A6190" t="s">
        <v>150</v>
      </c>
      <c r="B6190">
        <f>24702.9459977833*(1/100/100)</f>
        <v>2.4702945997783301</v>
      </c>
      <c r="C6190">
        <v>66132</v>
      </c>
      <c r="D6190" t="s">
        <v>6418</v>
      </c>
      <c r="E6190">
        <v>61050</v>
      </c>
      <c r="F6190" t="s">
        <v>1563</v>
      </c>
      <c r="G6190">
        <v>610</v>
      </c>
      <c r="H6190" t="s">
        <v>104</v>
      </c>
      <c r="I6190">
        <v>6</v>
      </c>
      <c r="J6190" t="s">
        <v>101</v>
      </c>
    </row>
    <row r="6191" spans="1:10" x14ac:dyDescent="0.25">
      <c r="A6191" t="s">
        <v>150</v>
      </c>
      <c r="B6191">
        <f>39218.6636061449*(1/100/100)</f>
        <v>3.9218663606144903</v>
      </c>
      <c r="C6191">
        <v>66133</v>
      </c>
      <c r="D6191" t="s">
        <v>6455</v>
      </c>
      <c r="E6191">
        <v>61060</v>
      </c>
      <c r="F6191" t="s">
        <v>1570</v>
      </c>
      <c r="G6191">
        <v>610</v>
      </c>
      <c r="H6191" t="s">
        <v>104</v>
      </c>
      <c r="I6191">
        <v>6</v>
      </c>
      <c r="J6191" t="s">
        <v>101</v>
      </c>
    </row>
    <row r="6192" spans="1:10" x14ac:dyDescent="0.25">
      <c r="A6192" t="s">
        <v>150</v>
      </c>
      <c r="B6192">
        <f>40332.5091396492*(1/100/100)</f>
        <v>4.0332509139649204</v>
      </c>
      <c r="C6192">
        <v>66134</v>
      </c>
      <c r="D6192" t="s">
        <v>6399</v>
      </c>
      <c r="E6192">
        <v>61033</v>
      </c>
      <c r="F6192" t="s">
        <v>1560</v>
      </c>
      <c r="G6192">
        <v>610</v>
      </c>
      <c r="H6192" t="s">
        <v>104</v>
      </c>
      <c r="I6192">
        <v>6</v>
      </c>
      <c r="J6192" t="s">
        <v>101</v>
      </c>
    </row>
    <row r="6193" spans="1:10" x14ac:dyDescent="0.25">
      <c r="A6193" t="s">
        <v>150</v>
      </c>
      <c r="B6193">
        <f>88612.4521716907*(1/100/100)</f>
        <v>8.8612452171690705</v>
      </c>
      <c r="C6193">
        <v>66135</v>
      </c>
      <c r="D6193" t="s">
        <v>6351</v>
      </c>
      <c r="E6193">
        <v>61008</v>
      </c>
      <c r="F6193" t="s">
        <v>1548</v>
      </c>
      <c r="G6193">
        <v>610</v>
      </c>
      <c r="H6193" t="s">
        <v>104</v>
      </c>
      <c r="I6193">
        <v>6</v>
      </c>
      <c r="J6193" t="s">
        <v>101</v>
      </c>
    </row>
    <row r="6194" spans="1:10" x14ac:dyDescent="0.25">
      <c r="A6194" t="s">
        <v>150</v>
      </c>
      <c r="B6194">
        <f>26009.8983296194*(1/100/100)</f>
        <v>2.6009898329619401</v>
      </c>
      <c r="C6194">
        <v>66136</v>
      </c>
      <c r="D6194" t="s">
        <v>1554</v>
      </c>
      <c r="E6194">
        <v>61020</v>
      </c>
      <c r="F6194" t="s">
        <v>1554</v>
      </c>
      <c r="G6194">
        <v>610</v>
      </c>
      <c r="H6194" t="s">
        <v>104</v>
      </c>
      <c r="I6194">
        <v>6</v>
      </c>
      <c r="J6194" t="s">
        <v>101</v>
      </c>
    </row>
    <row r="6195" spans="1:10" x14ac:dyDescent="0.25">
      <c r="A6195" t="s">
        <v>150</v>
      </c>
      <c r="B6195">
        <f>16085.9754415409*(1/100/100)</f>
        <v>1.6085975441540901</v>
      </c>
      <c r="C6195">
        <v>66137</v>
      </c>
      <c r="D6195" t="s">
        <v>6375</v>
      </c>
      <c r="E6195">
        <v>61020</v>
      </c>
      <c r="F6195" t="s">
        <v>1554</v>
      </c>
      <c r="G6195">
        <v>610</v>
      </c>
      <c r="H6195" t="s">
        <v>104</v>
      </c>
      <c r="I6195">
        <v>6</v>
      </c>
      <c r="J6195" t="s">
        <v>101</v>
      </c>
    </row>
    <row r="6196" spans="1:10" x14ac:dyDescent="0.25">
      <c r="A6196" t="s">
        <v>150</v>
      </c>
      <c r="B6196">
        <f>591023.856670723*(1/100/100)</f>
        <v>59.102385667072298</v>
      </c>
      <c r="C6196">
        <v>66138</v>
      </c>
      <c r="D6196" t="s">
        <v>104</v>
      </c>
      <c r="E6196">
        <v>61053</v>
      </c>
      <c r="F6196" t="s">
        <v>104</v>
      </c>
      <c r="G6196">
        <v>610</v>
      </c>
      <c r="H6196" t="s">
        <v>104</v>
      </c>
      <c r="I6196">
        <v>6</v>
      </c>
      <c r="J6196" t="s">
        <v>101</v>
      </c>
    </row>
    <row r="6197" spans="1:10" x14ac:dyDescent="0.25">
      <c r="A6197" t="s">
        <v>150</v>
      </c>
      <c r="B6197">
        <f>229619.872807051*(1/100/100)</f>
        <v>22.961987280705102</v>
      </c>
      <c r="C6197">
        <v>66139</v>
      </c>
      <c r="D6197" t="s">
        <v>6407</v>
      </c>
      <c r="E6197">
        <v>61045</v>
      </c>
      <c r="F6197" t="s">
        <v>1562</v>
      </c>
      <c r="G6197">
        <v>610</v>
      </c>
      <c r="H6197" t="s">
        <v>104</v>
      </c>
      <c r="I6197">
        <v>6</v>
      </c>
      <c r="J6197" t="s">
        <v>101</v>
      </c>
    </row>
    <row r="6198" spans="1:10" x14ac:dyDescent="0.25">
      <c r="A6198" t="s">
        <v>150</v>
      </c>
      <c r="B6198">
        <f>54275.9699129873*(1/100/100)</f>
        <v>5.4275969912987296</v>
      </c>
      <c r="C6198">
        <v>66140</v>
      </c>
      <c r="D6198" t="s">
        <v>2573</v>
      </c>
      <c r="E6198">
        <v>61060</v>
      </c>
      <c r="F6198" t="s">
        <v>1570</v>
      </c>
      <c r="G6198">
        <v>610</v>
      </c>
      <c r="H6198" t="s">
        <v>104</v>
      </c>
      <c r="I6198">
        <v>6</v>
      </c>
      <c r="J6198" t="s">
        <v>101</v>
      </c>
    </row>
    <row r="6199" spans="1:10" x14ac:dyDescent="0.25">
      <c r="A6199" t="s">
        <v>150</v>
      </c>
      <c r="B6199">
        <f>36081.5221456816*(1/100/100)</f>
        <v>3.6081522145681602</v>
      </c>
      <c r="C6199">
        <v>66141</v>
      </c>
      <c r="D6199" t="s">
        <v>6456</v>
      </c>
      <c r="E6199">
        <v>61060</v>
      </c>
      <c r="F6199" t="s">
        <v>1570</v>
      </c>
      <c r="G6199">
        <v>610</v>
      </c>
      <c r="H6199" t="s">
        <v>104</v>
      </c>
      <c r="I6199">
        <v>6</v>
      </c>
      <c r="J6199" t="s">
        <v>101</v>
      </c>
    </row>
    <row r="6200" spans="1:10" x14ac:dyDescent="0.25">
      <c r="A6200" t="s">
        <v>150</v>
      </c>
      <c r="B6200">
        <f>21922.5471962273*(1/100/100)</f>
        <v>2.19225471962273</v>
      </c>
      <c r="C6200">
        <v>66143</v>
      </c>
      <c r="D6200" t="s">
        <v>6406</v>
      </c>
      <c r="E6200">
        <v>61043</v>
      </c>
      <c r="F6200" t="s">
        <v>1561</v>
      </c>
      <c r="G6200">
        <v>610</v>
      </c>
      <c r="H6200" t="s">
        <v>104</v>
      </c>
      <c r="I6200">
        <v>6</v>
      </c>
      <c r="J6200" t="s">
        <v>101</v>
      </c>
    </row>
    <row r="6201" spans="1:10" x14ac:dyDescent="0.25">
      <c r="A6201" t="s">
        <v>150</v>
      </c>
      <c r="B6201">
        <f>20748.7724275551*(1/100/100)</f>
        <v>2.0748772427555102</v>
      </c>
      <c r="C6201">
        <v>66144</v>
      </c>
      <c r="D6201" t="s">
        <v>2888</v>
      </c>
      <c r="E6201">
        <v>61033</v>
      </c>
      <c r="F6201" t="s">
        <v>1560</v>
      </c>
      <c r="G6201">
        <v>610</v>
      </c>
      <c r="H6201" t="s">
        <v>104</v>
      </c>
      <c r="I6201">
        <v>6</v>
      </c>
      <c r="J6201" t="s">
        <v>101</v>
      </c>
    </row>
    <row r="6202" spans="1:10" x14ac:dyDescent="0.25">
      <c r="A6202" t="s">
        <v>150</v>
      </c>
      <c r="B6202">
        <f>15363.8379872697*(1/100/100)</f>
        <v>1.5363837987269702</v>
      </c>
      <c r="C6202">
        <v>66145</v>
      </c>
      <c r="D6202" t="s">
        <v>6400</v>
      </c>
      <c r="E6202">
        <v>61033</v>
      </c>
      <c r="F6202" t="s">
        <v>1560</v>
      </c>
      <c r="G6202">
        <v>610</v>
      </c>
      <c r="H6202" t="s">
        <v>104</v>
      </c>
      <c r="I6202">
        <v>6</v>
      </c>
      <c r="J6202" t="s">
        <v>101</v>
      </c>
    </row>
    <row r="6203" spans="1:10" x14ac:dyDescent="0.25">
      <c r="A6203" t="s">
        <v>150</v>
      </c>
      <c r="B6203">
        <f>31397.5448671407*(1/100/100)</f>
        <v>3.1397544867140699</v>
      </c>
      <c r="C6203">
        <v>66146</v>
      </c>
      <c r="D6203" t="s">
        <v>6362</v>
      </c>
      <c r="E6203">
        <v>61016</v>
      </c>
      <c r="F6203" t="s">
        <v>1551</v>
      </c>
      <c r="G6203">
        <v>610</v>
      </c>
      <c r="H6203" t="s">
        <v>104</v>
      </c>
      <c r="I6203">
        <v>6</v>
      </c>
      <c r="J6203" t="s">
        <v>101</v>
      </c>
    </row>
    <row r="6204" spans="1:10" x14ac:dyDescent="0.25">
      <c r="A6204" t="s">
        <v>150</v>
      </c>
      <c r="B6204">
        <f>36321.8114974676*(1/100/100)</f>
        <v>3.63218114974676</v>
      </c>
      <c r="C6204">
        <v>66147</v>
      </c>
      <c r="D6204" t="s">
        <v>6363</v>
      </c>
      <c r="E6204">
        <v>61016</v>
      </c>
      <c r="F6204" t="s">
        <v>1551</v>
      </c>
      <c r="G6204">
        <v>610</v>
      </c>
      <c r="H6204" t="s">
        <v>104</v>
      </c>
      <c r="I6204">
        <v>6</v>
      </c>
      <c r="J6204" t="s">
        <v>101</v>
      </c>
    </row>
    <row r="6205" spans="1:10" x14ac:dyDescent="0.25">
      <c r="A6205" t="s">
        <v>150</v>
      </c>
      <c r="B6205">
        <f>89349.2699279729*(1/100/100)</f>
        <v>8.9349269927972905</v>
      </c>
      <c r="C6205">
        <v>66148</v>
      </c>
      <c r="D6205" t="s">
        <v>6352</v>
      </c>
      <c r="E6205">
        <v>61008</v>
      </c>
      <c r="F6205" t="s">
        <v>1548</v>
      </c>
      <c r="G6205">
        <v>610</v>
      </c>
      <c r="H6205" t="s">
        <v>104</v>
      </c>
      <c r="I6205">
        <v>6</v>
      </c>
      <c r="J6205" t="s">
        <v>101</v>
      </c>
    </row>
    <row r="6206" spans="1:10" x14ac:dyDescent="0.25">
      <c r="A6206" t="s">
        <v>150</v>
      </c>
      <c r="B6206">
        <f>33509.2540209795*(1/100/100)</f>
        <v>3.3509254020979498</v>
      </c>
      <c r="C6206">
        <v>66149</v>
      </c>
      <c r="D6206" t="s">
        <v>6386</v>
      </c>
      <c r="E6206">
        <v>61030</v>
      </c>
      <c r="F6206" t="s">
        <v>1558</v>
      </c>
      <c r="G6206">
        <v>610</v>
      </c>
      <c r="H6206" t="s">
        <v>104</v>
      </c>
      <c r="I6206">
        <v>6</v>
      </c>
      <c r="J6206" t="s">
        <v>101</v>
      </c>
    </row>
    <row r="6207" spans="1:10" x14ac:dyDescent="0.25">
      <c r="A6207" t="s">
        <v>150</v>
      </c>
      <c r="B6207">
        <f>30663.4185052296*(1/100/100)</f>
        <v>3.0663418505229605</v>
      </c>
      <c r="C6207">
        <v>66150</v>
      </c>
      <c r="D6207" t="s">
        <v>6242</v>
      </c>
      <c r="E6207">
        <v>61019</v>
      </c>
      <c r="F6207" t="s">
        <v>1553</v>
      </c>
      <c r="G6207">
        <v>610</v>
      </c>
      <c r="H6207" t="s">
        <v>104</v>
      </c>
      <c r="I6207">
        <v>6</v>
      </c>
      <c r="J6207" t="s">
        <v>101</v>
      </c>
    </row>
    <row r="6208" spans="1:10" x14ac:dyDescent="0.25">
      <c r="A6208" t="s">
        <v>150</v>
      </c>
      <c r="B6208">
        <f>31729.4658516761*(1/100/100)</f>
        <v>3.1729465851676104</v>
      </c>
      <c r="C6208">
        <v>66151</v>
      </c>
      <c r="D6208" t="s">
        <v>6457</v>
      </c>
      <c r="E6208">
        <v>61060</v>
      </c>
      <c r="F6208" t="s">
        <v>1570</v>
      </c>
      <c r="G6208">
        <v>610</v>
      </c>
      <c r="H6208" t="s">
        <v>104</v>
      </c>
      <c r="I6208">
        <v>6</v>
      </c>
      <c r="J6208" t="s">
        <v>101</v>
      </c>
    </row>
    <row r="6209" spans="1:10" x14ac:dyDescent="0.25">
      <c r="A6209" t="s">
        <v>150</v>
      </c>
      <c r="B6209">
        <f>12285.5143339951*(1/100/100)</f>
        <v>1.22855143339951</v>
      </c>
      <c r="C6209">
        <v>66152</v>
      </c>
      <c r="D6209" t="s">
        <v>6465</v>
      </c>
      <c r="E6209">
        <v>61061</v>
      </c>
      <c r="F6209" t="s">
        <v>1571</v>
      </c>
      <c r="G6209">
        <v>610</v>
      </c>
      <c r="H6209" t="s">
        <v>104</v>
      </c>
      <c r="I6209">
        <v>6</v>
      </c>
      <c r="J6209" t="s">
        <v>101</v>
      </c>
    </row>
    <row r="6210" spans="1:10" x14ac:dyDescent="0.25">
      <c r="A6210" t="s">
        <v>150</v>
      </c>
      <c r="B6210">
        <f>154045.227415938*(1/100/100)</f>
        <v>15.4045227415938</v>
      </c>
      <c r="C6210">
        <v>66154</v>
      </c>
      <c r="D6210" t="s">
        <v>6353</v>
      </c>
      <c r="E6210">
        <v>61012</v>
      </c>
      <c r="F6210" t="s">
        <v>1549</v>
      </c>
      <c r="G6210">
        <v>610</v>
      </c>
      <c r="H6210" t="s">
        <v>104</v>
      </c>
      <c r="I6210">
        <v>6</v>
      </c>
      <c r="J6210" t="s">
        <v>101</v>
      </c>
    </row>
    <row r="6211" spans="1:10" x14ac:dyDescent="0.25">
      <c r="A6211" t="s">
        <v>150</v>
      </c>
      <c r="B6211">
        <f>29552.3738641892*(1/100/100)</f>
        <v>2.9552373864189203</v>
      </c>
      <c r="C6211">
        <v>66155</v>
      </c>
      <c r="D6211" t="s">
        <v>6401</v>
      </c>
      <c r="E6211">
        <v>61033</v>
      </c>
      <c r="F6211" t="s">
        <v>1560</v>
      </c>
      <c r="G6211">
        <v>610</v>
      </c>
      <c r="H6211" t="s">
        <v>104</v>
      </c>
      <c r="I6211">
        <v>6</v>
      </c>
      <c r="J6211" t="s">
        <v>101</v>
      </c>
    </row>
    <row r="6212" spans="1:10" x14ac:dyDescent="0.25">
      <c r="A6212" t="s">
        <v>150</v>
      </c>
      <c r="B6212">
        <f>23534.1197719063*(1/100/100)</f>
        <v>2.3534119771906301</v>
      </c>
      <c r="C6212">
        <v>66156</v>
      </c>
      <c r="D6212" t="s">
        <v>6432</v>
      </c>
      <c r="E6212">
        <v>61053</v>
      </c>
      <c r="F6212" t="s">
        <v>104</v>
      </c>
      <c r="G6212">
        <v>610</v>
      </c>
      <c r="H6212" t="s">
        <v>104</v>
      </c>
      <c r="I6212">
        <v>6</v>
      </c>
      <c r="J6212" t="s">
        <v>101</v>
      </c>
    </row>
    <row r="6213" spans="1:10" x14ac:dyDescent="0.25">
      <c r="A6213" t="s">
        <v>150</v>
      </c>
      <c r="B6213">
        <f>96097.3101751012*(1/100/100)</f>
        <v>9.6097310175101196</v>
      </c>
      <c r="C6213">
        <v>66157</v>
      </c>
      <c r="D6213" t="s">
        <v>6466</v>
      </c>
      <c r="E6213">
        <v>61061</v>
      </c>
      <c r="F6213" t="s">
        <v>1571</v>
      </c>
      <c r="G6213">
        <v>610</v>
      </c>
      <c r="H6213" t="s">
        <v>104</v>
      </c>
      <c r="I6213">
        <v>6</v>
      </c>
      <c r="J6213" t="s">
        <v>101</v>
      </c>
    </row>
    <row r="6214" spans="1:10" x14ac:dyDescent="0.25">
      <c r="A6214" t="s">
        <v>150</v>
      </c>
      <c r="B6214">
        <f>22101.9424473242*(1/100/100)</f>
        <v>2.2101942447324201</v>
      </c>
      <c r="C6214">
        <v>66158</v>
      </c>
      <c r="D6214" t="s">
        <v>4061</v>
      </c>
      <c r="E6214">
        <v>61049</v>
      </c>
      <c r="F6214" t="s">
        <v>6409</v>
      </c>
      <c r="G6214">
        <v>610</v>
      </c>
      <c r="H6214" t="s">
        <v>104</v>
      </c>
      <c r="I6214">
        <v>6</v>
      </c>
      <c r="J6214" t="s">
        <v>101</v>
      </c>
    </row>
    <row r="6215" spans="1:10" x14ac:dyDescent="0.25">
      <c r="A6215" t="s">
        <v>150</v>
      </c>
      <c r="B6215">
        <f>20429.3039497286*(1/100/100)</f>
        <v>2.0429303949728603</v>
      </c>
      <c r="C6215">
        <v>66159</v>
      </c>
      <c r="D6215" t="s">
        <v>6402</v>
      </c>
      <c r="E6215">
        <v>61033</v>
      </c>
      <c r="F6215" t="s">
        <v>1560</v>
      </c>
      <c r="G6215">
        <v>610</v>
      </c>
      <c r="H6215" t="s">
        <v>104</v>
      </c>
      <c r="I6215">
        <v>6</v>
      </c>
      <c r="J6215" t="s">
        <v>101</v>
      </c>
    </row>
    <row r="6216" spans="1:10" x14ac:dyDescent="0.25">
      <c r="A6216" t="s">
        <v>150</v>
      </c>
      <c r="B6216">
        <f>45188.0501611458*(1/100/100)</f>
        <v>4.5188050161145803</v>
      </c>
      <c r="C6216">
        <v>66160</v>
      </c>
      <c r="D6216" t="s">
        <v>6411</v>
      </c>
      <c r="E6216">
        <v>61049</v>
      </c>
      <c r="F6216" t="s">
        <v>6409</v>
      </c>
      <c r="G6216">
        <v>610</v>
      </c>
      <c r="H6216" t="s">
        <v>104</v>
      </c>
      <c r="I6216">
        <v>6</v>
      </c>
      <c r="J6216" t="s">
        <v>101</v>
      </c>
    </row>
    <row r="6217" spans="1:10" x14ac:dyDescent="0.25">
      <c r="A6217" t="s">
        <v>150</v>
      </c>
      <c r="B6217">
        <f>17997.4737855755*(1/100/100)</f>
        <v>1.7997473785575502</v>
      </c>
      <c r="C6217">
        <v>66161</v>
      </c>
      <c r="D6217" t="s">
        <v>4125</v>
      </c>
      <c r="E6217">
        <v>61030</v>
      </c>
      <c r="F6217" t="s">
        <v>1558</v>
      </c>
      <c r="G6217">
        <v>610</v>
      </c>
      <c r="H6217" t="s">
        <v>104</v>
      </c>
      <c r="I6217">
        <v>6</v>
      </c>
      <c r="J6217" t="s">
        <v>101</v>
      </c>
    </row>
    <row r="6218" spans="1:10" x14ac:dyDescent="0.25">
      <c r="A6218" t="s">
        <v>150</v>
      </c>
      <c r="B6218">
        <f>12921.8070932881*(1/100/100)</f>
        <v>1.29218070932881</v>
      </c>
      <c r="C6218">
        <v>66162</v>
      </c>
      <c r="D6218" t="s">
        <v>2239</v>
      </c>
      <c r="E6218">
        <v>61053</v>
      </c>
      <c r="F6218" t="s">
        <v>104</v>
      </c>
      <c r="G6218">
        <v>610</v>
      </c>
      <c r="H6218" t="s">
        <v>104</v>
      </c>
      <c r="I6218">
        <v>6</v>
      </c>
      <c r="J6218" t="s">
        <v>101</v>
      </c>
    </row>
    <row r="6219" spans="1:10" x14ac:dyDescent="0.25">
      <c r="A6219" t="s">
        <v>150</v>
      </c>
      <c r="B6219">
        <f>36914.7554471346*(1/100/100)</f>
        <v>3.6914755447134602</v>
      </c>
      <c r="C6219">
        <v>66163</v>
      </c>
      <c r="D6219" t="s">
        <v>6387</v>
      </c>
      <c r="E6219">
        <v>61030</v>
      </c>
      <c r="F6219" t="s">
        <v>1558</v>
      </c>
      <c r="G6219">
        <v>610</v>
      </c>
      <c r="H6219" t="s">
        <v>104</v>
      </c>
      <c r="I6219">
        <v>6</v>
      </c>
      <c r="J6219" t="s">
        <v>101</v>
      </c>
    </row>
    <row r="6220" spans="1:10" x14ac:dyDescent="0.25">
      <c r="A6220" t="s">
        <v>150</v>
      </c>
      <c r="B6220">
        <f>71515.7161987571*(1/100/100)</f>
        <v>7.1515716198757104</v>
      </c>
      <c r="C6220">
        <v>66164</v>
      </c>
      <c r="D6220" t="s">
        <v>6412</v>
      </c>
      <c r="E6220">
        <v>61049</v>
      </c>
      <c r="F6220" t="s">
        <v>6409</v>
      </c>
      <c r="G6220">
        <v>610</v>
      </c>
      <c r="H6220" t="s">
        <v>104</v>
      </c>
      <c r="I6220">
        <v>6</v>
      </c>
      <c r="J6220" t="s">
        <v>101</v>
      </c>
    </row>
    <row r="6221" spans="1:10" x14ac:dyDescent="0.25">
      <c r="A6221" t="s">
        <v>150</v>
      </c>
      <c r="B6221">
        <f>45151.7107145696*(1/100/100)</f>
        <v>4.51517107145696</v>
      </c>
      <c r="C6221">
        <v>66165</v>
      </c>
      <c r="D6221" t="s">
        <v>6388</v>
      </c>
      <c r="E6221">
        <v>61030</v>
      </c>
      <c r="F6221" t="s">
        <v>1558</v>
      </c>
      <c r="G6221">
        <v>610</v>
      </c>
      <c r="H6221" t="s">
        <v>104</v>
      </c>
      <c r="I6221">
        <v>6</v>
      </c>
      <c r="J6221" t="s">
        <v>101</v>
      </c>
    </row>
    <row r="6222" spans="1:10" x14ac:dyDescent="0.25">
      <c r="A6222" t="s">
        <v>150</v>
      </c>
      <c r="B6222">
        <f>168821.542580841*(1/100/100)</f>
        <v>16.8821542580841</v>
      </c>
      <c r="C6222">
        <v>66166</v>
      </c>
      <c r="D6222" t="s">
        <v>6458</v>
      </c>
      <c r="E6222">
        <v>61060</v>
      </c>
      <c r="F6222" t="s">
        <v>1570</v>
      </c>
      <c r="G6222">
        <v>610</v>
      </c>
      <c r="H6222" t="s">
        <v>104</v>
      </c>
      <c r="I6222">
        <v>6</v>
      </c>
      <c r="J6222" t="s">
        <v>101</v>
      </c>
    </row>
    <row r="6223" spans="1:10" x14ac:dyDescent="0.25">
      <c r="A6223" t="s">
        <v>150</v>
      </c>
      <c r="B6223">
        <f>54437.0170266241*(1/100/100)</f>
        <v>5.4437017026624099</v>
      </c>
      <c r="C6223">
        <v>66167</v>
      </c>
      <c r="D6223" t="s">
        <v>6403</v>
      </c>
      <c r="E6223">
        <v>61033</v>
      </c>
      <c r="F6223" t="s">
        <v>1560</v>
      </c>
      <c r="G6223">
        <v>610</v>
      </c>
      <c r="H6223" t="s">
        <v>104</v>
      </c>
      <c r="I6223">
        <v>6</v>
      </c>
      <c r="J6223" t="s">
        <v>101</v>
      </c>
    </row>
    <row r="6224" spans="1:10" x14ac:dyDescent="0.25">
      <c r="A6224" t="s">
        <v>150</v>
      </c>
      <c r="B6224">
        <f>167506.295782448*(1/100/100)</f>
        <v>16.750629578244801</v>
      </c>
      <c r="C6224">
        <v>66168</v>
      </c>
      <c r="D6224" t="s">
        <v>6459</v>
      </c>
      <c r="E6224">
        <v>61060</v>
      </c>
      <c r="F6224" t="s">
        <v>1570</v>
      </c>
      <c r="G6224">
        <v>610</v>
      </c>
      <c r="H6224" t="s">
        <v>104</v>
      </c>
      <c r="I6224">
        <v>6</v>
      </c>
      <c r="J6224" t="s">
        <v>101</v>
      </c>
    </row>
    <row r="6225" spans="1:10" x14ac:dyDescent="0.25">
      <c r="A6225" t="s">
        <v>150</v>
      </c>
      <c r="B6225">
        <f>20797.9053199501*(1/100/100)</f>
        <v>2.0797905319950099</v>
      </c>
      <c r="C6225">
        <v>66169</v>
      </c>
      <c r="D6225" t="s">
        <v>6389</v>
      </c>
      <c r="E6225">
        <v>61030</v>
      </c>
      <c r="F6225" t="s">
        <v>1558</v>
      </c>
      <c r="G6225">
        <v>610</v>
      </c>
      <c r="H6225" t="s">
        <v>104</v>
      </c>
      <c r="I6225">
        <v>6</v>
      </c>
      <c r="J6225" t="s">
        <v>101</v>
      </c>
    </row>
    <row r="6226" spans="1:10" x14ac:dyDescent="0.25">
      <c r="A6226" t="s">
        <v>150</v>
      </c>
      <c r="B6226">
        <f>53093.2478763703*(1/100/100)</f>
        <v>5.3093247876370295</v>
      </c>
      <c r="C6226">
        <v>66170</v>
      </c>
      <c r="D6226" t="s">
        <v>6376</v>
      </c>
      <c r="E6226">
        <v>61020</v>
      </c>
      <c r="F6226" t="s">
        <v>1554</v>
      </c>
      <c r="G6226">
        <v>610</v>
      </c>
      <c r="H6226" t="s">
        <v>104</v>
      </c>
      <c r="I6226">
        <v>6</v>
      </c>
      <c r="J6226" t="s">
        <v>101</v>
      </c>
    </row>
    <row r="6227" spans="1:10" x14ac:dyDescent="0.25">
      <c r="A6227" t="s">
        <v>150</v>
      </c>
      <c r="B6227">
        <f>20357.7591344361*(1/100/100)</f>
        <v>2.0357759134436102</v>
      </c>
      <c r="C6227">
        <v>66171</v>
      </c>
      <c r="D6227" t="s">
        <v>5788</v>
      </c>
      <c r="E6227">
        <v>61053</v>
      </c>
      <c r="F6227" t="s">
        <v>104</v>
      </c>
      <c r="G6227">
        <v>610</v>
      </c>
      <c r="H6227" t="s">
        <v>104</v>
      </c>
      <c r="I6227">
        <v>6</v>
      </c>
      <c r="J6227" t="s">
        <v>101</v>
      </c>
    </row>
    <row r="6228" spans="1:10" x14ac:dyDescent="0.25">
      <c r="A6228" t="s">
        <v>150</v>
      </c>
      <c r="B6228">
        <f>72264.7874294868*(1/100/100)</f>
        <v>7.2264787429486796</v>
      </c>
      <c r="C6228">
        <v>66172</v>
      </c>
      <c r="D6228" t="s">
        <v>6433</v>
      </c>
      <c r="E6228">
        <v>61053</v>
      </c>
      <c r="F6228" t="s">
        <v>104</v>
      </c>
      <c r="G6228">
        <v>610</v>
      </c>
      <c r="H6228" t="s">
        <v>104</v>
      </c>
      <c r="I6228">
        <v>6</v>
      </c>
      <c r="J6228" t="s">
        <v>101</v>
      </c>
    </row>
    <row r="6229" spans="1:10" x14ac:dyDescent="0.25">
      <c r="A6229" t="s">
        <v>150</v>
      </c>
      <c r="B6229">
        <f>37897.6184544939*(1/100/100)</f>
        <v>3.7897618454493904</v>
      </c>
      <c r="C6229">
        <v>66173</v>
      </c>
      <c r="D6229" t="s">
        <v>6419</v>
      </c>
      <c r="E6229">
        <v>61050</v>
      </c>
      <c r="F6229" t="s">
        <v>1563</v>
      </c>
      <c r="G6229">
        <v>610</v>
      </c>
      <c r="H6229" t="s">
        <v>104</v>
      </c>
      <c r="I6229">
        <v>6</v>
      </c>
      <c r="J6229" t="s">
        <v>101</v>
      </c>
    </row>
    <row r="6230" spans="1:10" x14ac:dyDescent="0.25">
      <c r="A6230" t="s">
        <v>150</v>
      </c>
      <c r="B6230">
        <f>104493.84432353*(1/100/100)</f>
        <v>10.449384432353</v>
      </c>
      <c r="C6230">
        <v>66174</v>
      </c>
      <c r="D6230" t="s">
        <v>6467</v>
      </c>
      <c r="E6230">
        <v>61061</v>
      </c>
      <c r="F6230" t="s">
        <v>1571</v>
      </c>
      <c r="G6230">
        <v>610</v>
      </c>
      <c r="H6230" t="s">
        <v>104</v>
      </c>
      <c r="I6230">
        <v>6</v>
      </c>
      <c r="J6230" t="s">
        <v>101</v>
      </c>
    </row>
    <row r="6231" spans="1:10" x14ac:dyDescent="0.25">
      <c r="A6231" t="s">
        <v>150</v>
      </c>
      <c r="B6231">
        <f>36666.6388996912*(1/100/100)</f>
        <v>3.66666388996912</v>
      </c>
      <c r="C6231">
        <v>66175</v>
      </c>
      <c r="D6231" t="s">
        <v>6377</v>
      </c>
      <c r="E6231">
        <v>61020</v>
      </c>
      <c r="F6231" t="s">
        <v>1554</v>
      </c>
      <c r="G6231">
        <v>610</v>
      </c>
      <c r="H6231" t="s">
        <v>104</v>
      </c>
      <c r="I6231">
        <v>6</v>
      </c>
      <c r="J6231" t="s">
        <v>101</v>
      </c>
    </row>
    <row r="6232" spans="1:10" x14ac:dyDescent="0.25">
      <c r="A6232" t="s">
        <v>150</v>
      </c>
      <c r="B6232">
        <f>43592.6795393436*(1/100/100)</f>
        <v>4.35926795393436</v>
      </c>
      <c r="C6232">
        <v>66176</v>
      </c>
      <c r="D6232" t="s">
        <v>2228</v>
      </c>
      <c r="E6232">
        <v>61050</v>
      </c>
      <c r="F6232" t="s">
        <v>1563</v>
      </c>
      <c r="G6232">
        <v>610</v>
      </c>
      <c r="H6232" t="s">
        <v>104</v>
      </c>
      <c r="I6232">
        <v>6</v>
      </c>
      <c r="J6232" t="s">
        <v>101</v>
      </c>
    </row>
    <row r="6233" spans="1:10" x14ac:dyDescent="0.25">
      <c r="A6233" t="s">
        <v>150</v>
      </c>
      <c r="B6233">
        <f>14195.3681615055*(1/100/100)</f>
        <v>1.4195368161505499</v>
      </c>
      <c r="C6233">
        <v>66177</v>
      </c>
      <c r="D6233" t="s">
        <v>4112</v>
      </c>
      <c r="E6233">
        <v>61043</v>
      </c>
      <c r="F6233" t="s">
        <v>1561</v>
      </c>
      <c r="G6233">
        <v>610</v>
      </c>
      <c r="H6233" t="s">
        <v>104</v>
      </c>
      <c r="I6233">
        <v>6</v>
      </c>
      <c r="J6233" t="s">
        <v>101</v>
      </c>
    </row>
    <row r="6234" spans="1:10" x14ac:dyDescent="0.25">
      <c r="A6234" t="s">
        <v>150</v>
      </c>
      <c r="B6234">
        <f>23470.1037727046*(1/100/100)</f>
        <v>2.3470103772704598</v>
      </c>
      <c r="C6234">
        <v>66178</v>
      </c>
      <c r="D6234" t="s">
        <v>6372</v>
      </c>
      <c r="E6234">
        <v>61019</v>
      </c>
      <c r="F6234" t="s">
        <v>1553</v>
      </c>
      <c r="G6234">
        <v>610</v>
      </c>
      <c r="H6234" t="s">
        <v>104</v>
      </c>
      <c r="I6234">
        <v>6</v>
      </c>
      <c r="J6234" t="s">
        <v>101</v>
      </c>
    </row>
    <row r="6235" spans="1:10" x14ac:dyDescent="0.25">
      <c r="A6235" t="s">
        <v>150</v>
      </c>
      <c r="B6235">
        <f>166563.312221793*(1/100/100)</f>
        <v>16.656331222179301</v>
      </c>
      <c r="C6235">
        <v>66179</v>
      </c>
      <c r="D6235" t="s">
        <v>3820</v>
      </c>
      <c r="E6235">
        <v>61061</v>
      </c>
      <c r="F6235" t="s">
        <v>1571</v>
      </c>
      <c r="G6235">
        <v>610</v>
      </c>
      <c r="H6235" t="s">
        <v>104</v>
      </c>
      <c r="I6235">
        <v>6</v>
      </c>
      <c r="J6235" t="s">
        <v>101</v>
      </c>
    </row>
    <row r="6236" spans="1:10" x14ac:dyDescent="0.25">
      <c r="A6236" t="s">
        <v>150</v>
      </c>
      <c r="B6236">
        <f>10792.6617365934*(1/100/100)</f>
        <v>1.0792661736593401</v>
      </c>
      <c r="C6236">
        <v>66180</v>
      </c>
      <c r="D6236" t="s">
        <v>2111</v>
      </c>
      <c r="E6236">
        <v>61050</v>
      </c>
      <c r="F6236" t="s">
        <v>1563</v>
      </c>
      <c r="G6236">
        <v>610</v>
      </c>
      <c r="H6236" t="s">
        <v>104</v>
      </c>
      <c r="I6236">
        <v>6</v>
      </c>
      <c r="J6236" t="s">
        <v>101</v>
      </c>
    </row>
    <row r="6237" spans="1:10" x14ac:dyDescent="0.25">
      <c r="A6237" t="s">
        <v>150</v>
      </c>
      <c r="B6237">
        <f>8728.26817456921*(1/100/100)</f>
        <v>0.87282681745692103</v>
      </c>
      <c r="C6237">
        <v>66181</v>
      </c>
      <c r="D6237" t="s">
        <v>6420</v>
      </c>
      <c r="E6237">
        <v>61050</v>
      </c>
      <c r="F6237" t="s">
        <v>1563</v>
      </c>
      <c r="G6237">
        <v>610</v>
      </c>
      <c r="H6237" t="s">
        <v>104</v>
      </c>
      <c r="I6237">
        <v>6</v>
      </c>
      <c r="J6237" t="s">
        <v>101</v>
      </c>
    </row>
    <row r="6238" spans="1:10" x14ac:dyDescent="0.25">
      <c r="A6238" t="s">
        <v>150</v>
      </c>
      <c r="B6238">
        <f>302046.389497218*(1/100/100)</f>
        <v>30.204638949721804</v>
      </c>
      <c r="C6238">
        <v>66182</v>
      </c>
      <c r="D6238" t="s">
        <v>1561</v>
      </c>
      <c r="E6238">
        <v>61043</v>
      </c>
      <c r="F6238" t="s">
        <v>1561</v>
      </c>
      <c r="G6238">
        <v>610</v>
      </c>
      <c r="H6238" t="s">
        <v>104</v>
      </c>
      <c r="I6238">
        <v>6</v>
      </c>
      <c r="J6238" t="s">
        <v>101</v>
      </c>
    </row>
    <row r="6239" spans="1:10" x14ac:dyDescent="0.25">
      <c r="A6239" t="s">
        <v>150</v>
      </c>
      <c r="B6239">
        <f>47288.9435557036*(1/100/100)</f>
        <v>4.7288943555703602</v>
      </c>
      <c r="C6239">
        <v>66183</v>
      </c>
      <c r="D6239" t="s">
        <v>6364</v>
      </c>
      <c r="E6239">
        <v>61016</v>
      </c>
      <c r="F6239" t="s">
        <v>1551</v>
      </c>
      <c r="G6239">
        <v>610</v>
      </c>
      <c r="H6239" t="s">
        <v>104</v>
      </c>
      <c r="I6239">
        <v>6</v>
      </c>
      <c r="J6239" t="s">
        <v>101</v>
      </c>
    </row>
    <row r="6240" spans="1:10" x14ac:dyDescent="0.25">
      <c r="A6240" t="s">
        <v>150</v>
      </c>
      <c r="B6240">
        <f>142138.793819939*(1/100/100)</f>
        <v>14.2138793819939</v>
      </c>
      <c r="C6240">
        <v>66184</v>
      </c>
      <c r="D6240" t="s">
        <v>6354</v>
      </c>
      <c r="E6240">
        <v>61012</v>
      </c>
      <c r="F6240" t="s">
        <v>1549</v>
      </c>
      <c r="G6240">
        <v>610</v>
      </c>
      <c r="H6240" t="s">
        <v>104</v>
      </c>
      <c r="I6240">
        <v>6</v>
      </c>
      <c r="J6240" t="s">
        <v>101</v>
      </c>
    </row>
    <row r="6241" spans="1:10" x14ac:dyDescent="0.25">
      <c r="A6241" t="s">
        <v>150</v>
      </c>
      <c r="B6241">
        <f>21102.7308115647*(1/100/100)</f>
        <v>2.1102730811564698</v>
      </c>
      <c r="C6241">
        <v>66185</v>
      </c>
      <c r="D6241" t="s">
        <v>6404</v>
      </c>
      <c r="E6241">
        <v>61033</v>
      </c>
      <c r="F6241" t="s">
        <v>1560</v>
      </c>
      <c r="G6241">
        <v>610</v>
      </c>
      <c r="H6241" t="s">
        <v>104</v>
      </c>
      <c r="I6241">
        <v>6</v>
      </c>
      <c r="J6241" t="s">
        <v>101</v>
      </c>
    </row>
    <row r="6242" spans="1:10" x14ac:dyDescent="0.25">
      <c r="A6242" t="s">
        <v>150</v>
      </c>
      <c r="B6242">
        <f>4854.0907195826*(1/100/100)</f>
        <v>0.48540907195826005</v>
      </c>
      <c r="C6242">
        <v>66186</v>
      </c>
      <c r="D6242" t="s">
        <v>6413</v>
      </c>
      <c r="E6242">
        <v>61049</v>
      </c>
      <c r="F6242" t="s">
        <v>6409</v>
      </c>
      <c r="G6242">
        <v>610</v>
      </c>
      <c r="H6242" t="s">
        <v>104</v>
      </c>
      <c r="I6242">
        <v>6</v>
      </c>
      <c r="J6242" t="s">
        <v>101</v>
      </c>
    </row>
    <row r="6243" spans="1:10" x14ac:dyDescent="0.25">
      <c r="A6243" t="s">
        <v>150</v>
      </c>
      <c r="B6243">
        <f>163854.755119134*(1/100/100)</f>
        <v>16.385475511913402</v>
      </c>
      <c r="C6243">
        <v>66187</v>
      </c>
      <c r="D6243" t="s">
        <v>6468</v>
      </c>
      <c r="E6243">
        <v>61061</v>
      </c>
      <c r="F6243" t="s">
        <v>1571</v>
      </c>
      <c r="G6243">
        <v>610</v>
      </c>
      <c r="H6243" t="s">
        <v>104</v>
      </c>
      <c r="I6243">
        <v>6</v>
      </c>
      <c r="J6243" t="s">
        <v>101</v>
      </c>
    </row>
    <row r="6244" spans="1:10" x14ac:dyDescent="0.25">
      <c r="A6244" t="s">
        <v>150</v>
      </c>
      <c r="B6244">
        <f>197492.738445821*(1/100/100)</f>
        <v>19.749273844582103</v>
      </c>
      <c r="C6244">
        <v>66188</v>
      </c>
      <c r="D6244" t="s">
        <v>1562</v>
      </c>
      <c r="E6244">
        <v>61045</v>
      </c>
      <c r="F6244" t="s">
        <v>1562</v>
      </c>
      <c r="G6244">
        <v>610</v>
      </c>
      <c r="H6244" t="s">
        <v>104</v>
      </c>
      <c r="I6244">
        <v>6</v>
      </c>
      <c r="J6244" t="s">
        <v>101</v>
      </c>
    </row>
    <row r="6245" spans="1:10" x14ac:dyDescent="0.25">
      <c r="A6245" t="s">
        <v>150</v>
      </c>
      <c r="B6245">
        <f>57829.5126441877*(1/100/100)</f>
        <v>5.7829512644187702</v>
      </c>
      <c r="C6245">
        <v>66189</v>
      </c>
      <c r="D6245" t="s">
        <v>6405</v>
      </c>
      <c r="E6245">
        <v>61033</v>
      </c>
      <c r="F6245" t="s">
        <v>1560</v>
      </c>
      <c r="G6245">
        <v>610</v>
      </c>
      <c r="H6245" t="s">
        <v>104</v>
      </c>
      <c r="I6245">
        <v>6</v>
      </c>
      <c r="J6245" t="s">
        <v>101</v>
      </c>
    </row>
    <row r="6246" spans="1:10" x14ac:dyDescent="0.25">
      <c r="A6246" t="s">
        <v>150</v>
      </c>
      <c r="B6246">
        <f>37278.3015138003*(1/100/100)</f>
        <v>3.7278301513800303</v>
      </c>
      <c r="C6246">
        <v>66190</v>
      </c>
      <c r="D6246" t="s">
        <v>6414</v>
      </c>
      <c r="E6246">
        <v>61049</v>
      </c>
      <c r="F6246" t="s">
        <v>6409</v>
      </c>
      <c r="G6246">
        <v>610</v>
      </c>
      <c r="H6246" t="s">
        <v>104</v>
      </c>
      <c r="I6246">
        <v>6</v>
      </c>
      <c r="J6246" t="s">
        <v>101</v>
      </c>
    </row>
    <row r="6247" spans="1:10" x14ac:dyDescent="0.25">
      <c r="A6247" t="s">
        <v>150</v>
      </c>
      <c r="B6247">
        <f>73048.545113883*(1/100/100)</f>
        <v>7.3048545113883003</v>
      </c>
      <c r="C6247">
        <v>66201</v>
      </c>
      <c r="D6247" t="s">
        <v>5804</v>
      </c>
      <c r="E6247">
        <v>62388</v>
      </c>
      <c r="F6247" t="s">
        <v>1765</v>
      </c>
      <c r="G6247">
        <v>623</v>
      </c>
      <c r="H6247" t="s">
        <v>113</v>
      </c>
      <c r="I6247">
        <v>6</v>
      </c>
      <c r="J6247" t="s">
        <v>101</v>
      </c>
    </row>
    <row r="6248" spans="1:10" x14ac:dyDescent="0.25">
      <c r="A6248" t="s">
        <v>150</v>
      </c>
      <c r="B6248">
        <f>68966.6990098396*(1/100/100)</f>
        <v>6.8966699009839605</v>
      </c>
      <c r="C6248">
        <v>66202</v>
      </c>
      <c r="D6248" t="s">
        <v>1754</v>
      </c>
      <c r="E6248">
        <v>62377</v>
      </c>
      <c r="F6248" t="s">
        <v>1754</v>
      </c>
      <c r="G6248">
        <v>623</v>
      </c>
      <c r="H6248" t="s">
        <v>113</v>
      </c>
      <c r="I6248">
        <v>6</v>
      </c>
      <c r="J6248" t="s">
        <v>101</v>
      </c>
    </row>
    <row r="6249" spans="1:10" x14ac:dyDescent="0.25">
      <c r="A6249" t="s">
        <v>150</v>
      </c>
      <c r="B6249">
        <f>24110.9423904347*(1/100/100)</f>
        <v>2.4110942390434698</v>
      </c>
      <c r="C6249">
        <v>66203</v>
      </c>
      <c r="D6249" t="s">
        <v>5446</v>
      </c>
      <c r="E6249">
        <v>62383</v>
      </c>
      <c r="F6249" t="s">
        <v>1760</v>
      </c>
      <c r="G6249">
        <v>623</v>
      </c>
      <c r="H6249" t="s">
        <v>113</v>
      </c>
      <c r="I6249">
        <v>6</v>
      </c>
      <c r="J6249" t="s">
        <v>101</v>
      </c>
    </row>
    <row r="6250" spans="1:10" x14ac:dyDescent="0.25">
      <c r="A6250" t="s">
        <v>150</v>
      </c>
      <c r="B6250">
        <f>79628.6606574763*(1/100/100)</f>
        <v>7.9628660657476305</v>
      </c>
      <c r="C6250">
        <v>66204</v>
      </c>
      <c r="D6250" t="s">
        <v>3389</v>
      </c>
      <c r="E6250">
        <v>62388</v>
      </c>
      <c r="F6250" t="s">
        <v>1765</v>
      </c>
      <c r="G6250">
        <v>623</v>
      </c>
      <c r="H6250" t="s">
        <v>113</v>
      </c>
      <c r="I6250">
        <v>6</v>
      </c>
      <c r="J6250" t="s">
        <v>101</v>
      </c>
    </row>
    <row r="6251" spans="1:10" x14ac:dyDescent="0.25">
      <c r="A6251" t="s">
        <v>150</v>
      </c>
      <c r="B6251">
        <f>42386.1443285822*(1/100/100)</f>
        <v>4.2386144328582205</v>
      </c>
      <c r="C6251">
        <v>66205</v>
      </c>
      <c r="D6251" t="s">
        <v>2968</v>
      </c>
      <c r="E6251">
        <v>62388</v>
      </c>
      <c r="F6251" t="s">
        <v>1765</v>
      </c>
      <c r="G6251">
        <v>623</v>
      </c>
      <c r="H6251" t="s">
        <v>113</v>
      </c>
      <c r="I6251">
        <v>6</v>
      </c>
      <c r="J6251" t="s">
        <v>101</v>
      </c>
    </row>
    <row r="6252" spans="1:10" x14ac:dyDescent="0.25">
      <c r="A6252" t="s">
        <v>150</v>
      </c>
      <c r="B6252">
        <f>51817.4300996612*(1/100/100)</f>
        <v>5.1817430099661204</v>
      </c>
      <c r="C6252">
        <v>66206</v>
      </c>
      <c r="D6252" t="s">
        <v>6700</v>
      </c>
      <c r="E6252">
        <v>62388</v>
      </c>
      <c r="F6252" t="s">
        <v>1765</v>
      </c>
      <c r="G6252">
        <v>623</v>
      </c>
      <c r="H6252" t="s">
        <v>113</v>
      </c>
      <c r="I6252">
        <v>6</v>
      </c>
      <c r="J6252" t="s">
        <v>101</v>
      </c>
    </row>
    <row r="6253" spans="1:10" x14ac:dyDescent="0.25">
      <c r="A6253" t="s">
        <v>150</v>
      </c>
      <c r="B6253">
        <f>16988.6373898941*(1/100/100)</f>
        <v>1.6988637389894099</v>
      </c>
      <c r="C6253">
        <v>66207</v>
      </c>
      <c r="D6253" t="s">
        <v>6616</v>
      </c>
      <c r="E6253">
        <v>62383</v>
      </c>
      <c r="F6253" t="s">
        <v>1760</v>
      </c>
      <c r="G6253">
        <v>623</v>
      </c>
      <c r="H6253" t="s">
        <v>113</v>
      </c>
      <c r="I6253">
        <v>6</v>
      </c>
      <c r="J6253" t="s">
        <v>101</v>
      </c>
    </row>
    <row r="6254" spans="1:10" x14ac:dyDescent="0.25">
      <c r="A6254" t="s">
        <v>150</v>
      </c>
      <c r="B6254">
        <f>177271.123473579*(1/100/100)</f>
        <v>17.727112347357902</v>
      </c>
      <c r="C6254">
        <v>66208</v>
      </c>
      <c r="D6254" t="s">
        <v>7110</v>
      </c>
      <c r="E6254">
        <v>62383</v>
      </c>
      <c r="F6254" t="s">
        <v>1760</v>
      </c>
      <c r="G6254">
        <v>623</v>
      </c>
      <c r="H6254" t="s">
        <v>113</v>
      </c>
      <c r="I6254">
        <v>6</v>
      </c>
      <c r="J6254" t="s">
        <v>101</v>
      </c>
    </row>
    <row r="6255" spans="1:10" x14ac:dyDescent="0.25">
      <c r="A6255" t="s">
        <v>150</v>
      </c>
      <c r="B6255">
        <f>48407.9756101678*(1/100/100)</f>
        <v>4.8407975610167799</v>
      </c>
      <c r="C6255">
        <v>66209</v>
      </c>
      <c r="D6255" t="s">
        <v>6448</v>
      </c>
      <c r="E6255">
        <v>62383</v>
      </c>
      <c r="F6255" t="s">
        <v>1760</v>
      </c>
      <c r="G6255">
        <v>623</v>
      </c>
      <c r="H6255" t="s">
        <v>113</v>
      </c>
      <c r="I6255">
        <v>6</v>
      </c>
      <c r="J6255" t="s">
        <v>101</v>
      </c>
    </row>
    <row r="6256" spans="1:10" x14ac:dyDescent="0.25">
      <c r="A6256" t="s">
        <v>150</v>
      </c>
      <c r="B6256">
        <f>32049.1882212903*(1/100/100)</f>
        <v>3.2049188221290303</v>
      </c>
      <c r="C6256">
        <v>66210</v>
      </c>
      <c r="D6256" t="s">
        <v>7148</v>
      </c>
      <c r="E6256">
        <v>62390</v>
      </c>
      <c r="F6256" t="s">
        <v>1767</v>
      </c>
      <c r="G6256">
        <v>623</v>
      </c>
      <c r="H6256" t="s">
        <v>113</v>
      </c>
      <c r="I6256">
        <v>6</v>
      </c>
      <c r="J6256" t="s">
        <v>101</v>
      </c>
    </row>
    <row r="6257" spans="1:10" x14ac:dyDescent="0.25">
      <c r="A6257" t="s">
        <v>150</v>
      </c>
      <c r="B6257">
        <f>26493.8980364164*(1/100/100)</f>
        <v>2.6493898036416401</v>
      </c>
      <c r="C6257">
        <v>66211</v>
      </c>
      <c r="D6257" t="s">
        <v>6277</v>
      </c>
      <c r="E6257">
        <v>62377</v>
      </c>
      <c r="F6257" t="s">
        <v>1754</v>
      </c>
      <c r="G6257">
        <v>623</v>
      </c>
      <c r="H6257" t="s">
        <v>113</v>
      </c>
      <c r="I6257">
        <v>6</v>
      </c>
      <c r="J6257" t="s">
        <v>101</v>
      </c>
    </row>
    <row r="6258" spans="1:10" x14ac:dyDescent="0.25">
      <c r="A6258" t="s">
        <v>150</v>
      </c>
      <c r="B6258">
        <f>17824.4955229787*(1/100/100)</f>
        <v>1.7824495522978703</v>
      </c>
      <c r="C6258">
        <v>66212</v>
      </c>
      <c r="D6258" t="s">
        <v>7074</v>
      </c>
      <c r="E6258">
        <v>62377</v>
      </c>
      <c r="F6258" t="s">
        <v>1754</v>
      </c>
      <c r="G6258">
        <v>623</v>
      </c>
      <c r="H6258" t="s">
        <v>113</v>
      </c>
      <c r="I6258">
        <v>6</v>
      </c>
      <c r="J6258" t="s">
        <v>101</v>
      </c>
    </row>
    <row r="6259" spans="1:10" x14ac:dyDescent="0.25">
      <c r="A6259" t="s">
        <v>150</v>
      </c>
      <c r="B6259">
        <f>40200.538990643*(1/100/100)</f>
        <v>4.0200538990643002</v>
      </c>
      <c r="C6259">
        <v>66213</v>
      </c>
      <c r="D6259" t="s">
        <v>7149</v>
      </c>
      <c r="E6259">
        <v>62390</v>
      </c>
      <c r="F6259" t="s">
        <v>1767</v>
      </c>
      <c r="G6259">
        <v>623</v>
      </c>
      <c r="H6259" t="s">
        <v>113</v>
      </c>
      <c r="I6259">
        <v>6</v>
      </c>
      <c r="J6259" t="s">
        <v>101</v>
      </c>
    </row>
    <row r="6260" spans="1:10" x14ac:dyDescent="0.25">
      <c r="A6260" t="s">
        <v>150</v>
      </c>
      <c r="B6260">
        <f>24506.7440486795*(1/100/100)</f>
        <v>2.4506744048679501</v>
      </c>
      <c r="C6260">
        <v>66214</v>
      </c>
      <c r="D6260" t="s">
        <v>7050</v>
      </c>
      <c r="E6260">
        <v>62343</v>
      </c>
      <c r="F6260" t="s">
        <v>1749</v>
      </c>
      <c r="G6260">
        <v>623</v>
      </c>
      <c r="H6260" t="s">
        <v>113</v>
      </c>
      <c r="I6260">
        <v>6</v>
      </c>
      <c r="J6260" t="s">
        <v>101</v>
      </c>
    </row>
    <row r="6261" spans="1:10" x14ac:dyDescent="0.25">
      <c r="A6261" t="s">
        <v>150</v>
      </c>
      <c r="B6261">
        <f>91248.11542959*(1/100/100)</f>
        <v>9.1248115429590015</v>
      </c>
      <c r="C6261">
        <v>66215</v>
      </c>
      <c r="D6261" t="s">
        <v>6469</v>
      </c>
      <c r="E6261">
        <v>61061</v>
      </c>
      <c r="F6261" t="s">
        <v>1571</v>
      </c>
      <c r="G6261">
        <v>610</v>
      </c>
      <c r="H6261" t="s">
        <v>104</v>
      </c>
      <c r="I6261">
        <v>6</v>
      </c>
      <c r="J6261" t="s">
        <v>101</v>
      </c>
    </row>
    <row r="6262" spans="1:10" x14ac:dyDescent="0.25">
      <c r="A6262" t="s">
        <v>150</v>
      </c>
      <c r="B6262">
        <f>20401.5014514375*(1/100/100)</f>
        <v>2.04015014514375</v>
      </c>
      <c r="C6262">
        <v>66216</v>
      </c>
      <c r="D6262" t="s">
        <v>3870</v>
      </c>
      <c r="E6262">
        <v>62390</v>
      </c>
      <c r="F6262" t="s">
        <v>1767</v>
      </c>
      <c r="G6262">
        <v>623</v>
      </c>
      <c r="H6262" t="s">
        <v>113</v>
      </c>
      <c r="I6262">
        <v>6</v>
      </c>
      <c r="J6262" t="s">
        <v>101</v>
      </c>
    </row>
    <row r="6263" spans="1:10" x14ac:dyDescent="0.25">
      <c r="A6263" t="s">
        <v>150</v>
      </c>
      <c r="B6263">
        <f>63230.5069406032*(1/100/100)</f>
        <v>6.3230506940603197</v>
      </c>
      <c r="C6263">
        <v>66217</v>
      </c>
      <c r="D6263" t="s">
        <v>6241</v>
      </c>
      <c r="E6263">
        <v>62343</v>
      </c>
      <c r="F6263" t="s">
        <v>1749</v>
      </c>
      <c r="G6263">
        <v>623</v>
      </c>
      <c r="H6263" t="s">
        <v>113</v>
      </c>
      <c r="I6263">
        <v>6</v>
      </c>
      <c r="J6263" t="s">
        <v>101</v>
      </c>
    </row>
    <row r="6264" spans="1:10" x14ac:dyDescent="0.25">
      <c r="A6264" t="s">
        <v>150</v>
      </c>
      <c r="B6264">
        <f>228381.373359446*(1/100/100)</f>
        <v>22.838137335944602</v>
      </c>
      <c r="C6264">
        <v>66218</v>
      </c>
      <c r="D6264" t="s">
        <v>1760</v>
      </c>
      <c r="E6264">
        <v>62383</v>
      </c>
      <c r="F6264" t="s">
        <v>1760</v>
      </c>
      <c r="G6264">
        <v>623</v>
      </c>
      <c r="H6264" t="s">
        <v>113</v>
      </c>
      <c r="I6264">
        <v>6</v>
      </c>
      <c r="J6264" t="s">
        <v>101</v>
      </c>
    </row>
    <row r="6265" spans="1:10" x14ac:dyDescent="0.25">
      <c r="A6265" t="s">
        <v>150</v>
      </c>
      <c r="B6265">
        <f>31628.8318507936*(1/100/100)</f>
        <v>3.1628831850793602</v>
      </c>
      <c r="C6265">
        <v>66219</v>
      </c>
      <c r="D6265" t="s">
        <v>7150</v>
      </c>
      <c r="E6265">
        <v>62390</v>
      </c>
      <c r="F6265" t="s">
        <v>1767</v>
      </c>
      <c r="G6265">
        <v>623</v>
      </c>
      <c r="H6265" t="s">
        <v>113</v>
      </c>
      <c r="I6265">
        <v>6</v>
      </c>
      <c r="J6265" t="s">
        <v>101</v>
      </c>
    </row>
    <row r="6266" spans="1:10" x14ac:dyDescent="0.25">
      <c r="A6266" t="s">
        <v>150</v>
      </c>
      <c r="B6266">
        <f>68891.5538195682*(1/100/100)</f>
        <v>6.8891553819568205</v>
      </c>
      <c r="C6266">
        <v>66220</v>
      </c>
      <c r="D6266" t="s">
        <v>7111</v>
      </c>
      <c r="E6266">
        <v>62383</v>
      </c>
      <c r="F6266" t="s">
        <v>1760</v>
      </c>
      <c r="G6266">
        <v>623</v>
      </c>
      <c r="H6266" t="s">
        <v>113</v>
      </c>
      <c r="I6266">
        <v>6</v>
      </c>
      <c r="J6266" t="s">
        <v>101</v>
      </c>
    </row>
    <row r="6267" spans="1:10" x14ac:dyDescent="0.25">
      <c r="A6267" t="s">
        <v>150</v>
      </c>
      <c r="B6267">
        <f>34056.4462615715*(1/100/100)</f>
        <v>3.4056446261571502</v>
      </c>
      <c r="C6267">
        <v>66221</v>
      </c>
      <c r="D6267" t="s">
        <v>6470</v>
      </c>
      <c r="E6267">
        <v>61061</v>
      </c>
      <c r="F6267" t="s">
        <v>1571</v>
      </c>
      <c r="G6267">
        <v>610</v>
      </c>
      <c r="H6267" t="s">
        <v>104</v>
      </c>
      <c r="I6267">
        <v>6</v>
      </c>
      <c r="J6267" t="s">
        <v>101</v>
      </c>
    </row>
    <row r="6268" spans="1:10" x14ac:dyDescent="0.25">
      <c r="A6268" t="s">
        <v>150</v>
      </c>
      <c r="B6268">
        <f>25993.672801889*(1/100/100)</f>
        <v>2.5993672801889001</v>
      </c>
      <c r="C6268">
        <v>66222</v>
      </c>
      <c r="D6268" t="s">
        <v>7075</v>
      </c>
      <c r="E6268">
        <v>62377</v>
      </c>
      <c r="F6268" t="s">
        <v>1754</v>
      </c>
      <c r="G6268">
        <v>623</v>
      </c>
      <c r="H6268" t="s">
        <v>113</v>
      </c>
      <c r="I6268">
        <v>6</v>
      </c>
      <c r="J6268" t="s">
        <v>101</v>
      </c>
    </row>
    <row r="6269" spans="1:10" x14ac:dyDescent="0.25">
      <c r="A6269" t="s">
        <v>150</v>
      </c>
      <c r="B6269">
        <f>59848.4488748516*(1/100/100)</f>
        <v>5.9848448874851607</v>
      </c>
      <c r="C6269">
        <v>66223</v>
      </c>
      <c r="D6269" t="s">
        <v>7136</v>
      </c>
      <c r="E6269">
        <v>62388</v>
      </c>
      <c r="F6269" t="s">
        <v>1765</v>
      </c>
      <c r="G6269">
        <v>623</v>
      </c>
      <c r="H6269" t="s">
        <v>113</v>
      </c>
      <c r="I6269">
        <v>6</v>
      </c>
      <c r="J6269" t="s">
        <v>101</v>
      </c>
    </row>
    <row r="6270" spans="1:10" x14ac:dyDescent="0.25">
      <c r="A6270" t="s">
        <v>150</v>
      </c>
      <c r="B6270">
        <f>44902.0325906813*(1/100/100)</f>
        <v>4.4902032590681307</v>
      </c>
      <c r="C6270">
        <v>66224</v>
      </c>
      <c r="D6270" t="s">
        <v>6460</v>
      </c>
      <c r="E6270">
        <v>61060</v>
      </c>
      <c r="F6270" t="s">
        <v>1570</v>
      </c>
      <c r="G6270">
        <v>610</v>
      </c>
      <c r="H6270" t="s">
        <v>104</v>
      </c>
      <c r="I6270">
        <v>6</v>
      </c>
      <c r="J6270" t="s">
        <v>101</v>
      </c>
    </row>
    <row r="6271" spans="1:10" x14ac:dyDescent="0.25">
      <c r="A6271" t="s">
        <v>150</v>
      </c>
      <c r="B6271">
        <f>38328.0938673726*(1/100/100)</f>
        <v>3.8328093867372601</v>
      </c>
      <c r="C6271">
        <v>66225</v>
      </c>
      <c r="D6271" t="s">
        <v>6461</v>
      </c>
      <c r="E6271">
        <v>61060</v>
      </c>
      <c r="F6271" t="s">
        <v>1570</v>
      </c>
      <c r="G6271">
        <v>610</v>
      </c>
      <c r="H6271" t="s">
        <v>104</v>
      </c>
      <c r="I6271">
        <v>6</v>
      </c>
      <c r="J6271" t="s">
        <v>101</v>
      </c>
    </row>
    <row r="6272" spans="1:10" x14ac:dyDescent="0.25">
      <c r="A6272" t="s">
        <v>150</v>
      </c>
      <c r="B6272">
        <f>38583.7700072321*(1/100/100)</f>
        <v>3.8583770007232103</v>
      </c>
      <c r="C6272">
        <v>66226</v>
      </c>
      <c r="D6272" t="s">
        <v>3175</v>
      </c>
      <c r="E6272">
        <v>62343</v>
      </c>
      <c r="F6272" t="s">
        <v>1749</v>
      </c>
      <c r="G6272">
        <v>623</v>
      </c>
      <c r="H6272" t="s">
        <v>113</v>
      </c>
      <c r="I6272">
        <v>6</v>
      </c>
      <c r="J6272" t="s">
        <v>101</v>
      </c>
    </row>
    <row r="6273" spans="1:10" x14ac:dyDescent="0.25">
      <c r="A6273" t="s">
        <v>150</v>
      </c>
      <c r="B6273">
        <f>135835.931230041*(1/100/100)</f>
        <v>13.5835931230041</v>
      </c>
      <c r="C6273">
        <v>66227</v>
      </c>
      <c r="D6273" t="s">
        <v>7076</v>
      </c>
      <c r="E6273">
        <v>62377</v>
      </c>
      <c r="F6273" t="s">
        <v>1754</v>
      </c>
      <c r="G6273">
        <v>623</v>
      </c>
      <c r="H6273" t="s">
        <v>113</v>
      </c>
      <c r="I6273">
        <v>6</v>
      </c>
      <c r="J6273" t="s">
        <v>101</v>
      </c>
    </row>
    <row r="6274" spans="1:10" x14ac:dyDescent="0.25">
      <c r="A6274" t="s">
        <v>150</v>
      </c>
      <c r="B6274">
        <f>21224.209326074*(1/100/100)</f>
        <v>2.1224209326074002</v>
      </c>
      <c r="C6274">
        <v>66228</v>
      </c>
      <c r="D6274" t="s">
        <v>87</v>
      </c>
      <c r="E6274">
        <v>62343</v>
      </c>
      <c r="F6274" t="s">
        <v>1749</v>
      </c>
      <c r="G6274">
        <v>623</v>
      </c>
      <c r="H6274" t="s">
        <v>113</v>
      </c>
      <c r="I6274">
        <v>6</v>
      </c>
      <c r="J6274" t="s">
        <v>101</v>
      </c>
    </row>
    <row r="6275" spans="1:10" x14ac:dyDescent="0.25">
      <c r="A6275" t="s">
        <v>150</v>
      </c>
      <c r="B6275">
        <f>28098.8551633048*(1/100/100)</f>
        <v>2.8098855163304801</v>
      </c>
      <c r="C6275">
        <v>66229</v>
      </c>
      <c r="D6275" t="s">
        <v>7077</v>
      </c>
      <c r="E6275">
        <v>62377</v>
      </c>
      <c r="F6275" t="s">
        <v>1754</v>
      </c>
      <c r="G6275">
        <v>623</v>
      </c>
      <c r="H6275" t="s">
        <v>113</v>
      </c>
      <c r="I6275">
        <v>6</v>
      </c>
      <c r="J6275" t="s">
        <v>101</v>
      </c>
    </row>
    <row r="6276" spans="1:10" x14ac:dyDescent="0.25">
      <c r="A6276" t="s">
        <v>150</v>
      </c>
      <c r="B6276">
        <f>130273.677865783*(1/100/100)</f>
        <v>13.027367786578301</v>
      </c>
      <c r="C6276">
        <v>66230</v>
      </c>
      <c r="D6276" t="s">
        <v>7137</v>
      </c>
      <c r="E6276">
        <v>62388</v>
      </c>
      <c r="F6276" t="s">
        <v>1765</v>
      </c>
      <c r="G6276">
        <v>623</v>
      </c>
      <c r="H6276" t="s">
        <v>113</v>
      </c>
      <c r="I6276">
        <v>6</v>
      </c>
      <c r="J6276" t="s">
        <v>101</v>
      </c>
    </row>
    <row r="6277" spans="1:10" x14ac:dyDescent="0.25">
      <c r="A6277" t="s">
        <v>150</v>
      </c>
      <c r="B6277">
        <f>18206.947430355*(1/100/100)</f>
        <v>1.8206947430355003</v>
      </c>
      <c r="C6277">
        <v>66231</v>
      </c>
      <c r="D6277" t="s">
        <v>6368</v>
      </c>
      <c r="E6277">
        <v>62377</v>
      </c>
      <c r="F6277" t="s">
        <v>1754</v>
      </c>
      <c r="G6277">
        <v>623</v>
      </c>
      <c r="H6277" t="s">
        <v>113</v>
      </c>
      <c r="I6277">
        <v>6</v>
      </c>
      <c r="J6277" t="s">
        <v>101</v>
      </c>
    </row>
    <row r="6278" spans="1:10" x14ac:dyDescent="0.25">
      <c r="A6278" t="s">
        <v>150</v>
      </c>
      <c r="B6278">
        <f>16289.4416859449*(1/100/100)</f>
        <v>1.6289441685944901</v>
      </c>
      <c r="C6278">
        <v>66232</v>
      </c>
      <c r="D6278" t="s">
        <v>7151</v>
      </c>
      <c r="E6278">
        <v>62390</v>
      </c>
      <c r="F6278" t="s">
        <v>1767</v>
      </c>
      <c r="G6278">
        <v>623</v>
      </c>
      <c r="H6278" t="s">
        <v>113</v>
      </c>
      <c r="I6278">
        <v>6</v>
      </c>
      <c r="J6278" t="s">
        <v>101</v>
      </c>
    </row>
    <row r="6279" spans="1:10" x14ac:dyDescent="0.25">
      <c r="A6279" t="s">
        <v>150</v>
      </c>
      <c r="B6279">
        <f>59756.5990676217*(1/100/100)</f>
        <v>5.9756599067621696</v>
      </c>
      <c r="C6279">
        <v>66233</v>
      </c>
      <c r="D6279" t="s">
        <v>6462</v>
      </c>
      <c r="E6279">
        <v>61060</v>
      </c>
      <c r="F6279" t="s">
        <v>1570</v>
      </c>
      <c r="G6279">
        <v>610</v>
      </c>
      <c r="H6279" t="s">
        <v>104</v>
      </c>
      <c r="I6279">
        <v>6</v>
      </c>
      <c r="J6279" t="s">
        <v>101</v>
      </c>
    </row>
    <row r="6280" spans="1:10" x14ac:dyDescent="0.25">
      <c r="A6280" t="s">
        <v>150</v>
      </c>
      <c r="B6280">
        <f>53037.1250255433*(1/100/100)</f>
        <v>5.3037125025543297</v>
      </c>
      <c r="C6280">
        <v>66234</v>
      </c>
      <c r="D6280" t="s">
        <v>6463</v>
      </c>
      <c r="E6280">
        <v>61060</v>
      </c>
      <c r="F6280" t="s">
        <v>1570</v>
      </c>
      <c r="G6280">
        <v>610</v>
      </c>
      <c r="H6280" t="s">
        <v>104</v>
      </c>
      <c r="I6280">
        <v>6</v>
      </c>
      <c r="J6280" t="s">
        <v>101</v>
      </c>
    </row>
    <row r="6281" spans="1:10" x14ac:dyDescent="0.25">
      <c r="A6281" t="s">
        <v>150</v>
      </c>
      <c r="B6281">
        <f>30761.0620167003*(1/100/100)</f>
        <v>3.0761062016700302</v>
      </c>
      <c r="C6281">
        <v>66235</v>
      </c>
      <c r="D6281" t="s">
        <v>1767</v>
      </c>
      <c r="E6281">
        <v>62390</v>
      </c>
      <c r="F6281" t="s">
        <v>1767</v>
      </c>
      <c r="G6281">
        <v>623</v>
      </c>
      <c r="H6281" t="s">
        <v>113</v>
      </c>
      <c r="I6281">
        <v>6</v>
      </c>
      <c r="J6281" t="s">
        <v>101</v>
      </c>
    </row>
    <row r="6282" spans="1:10" x14ac:dyDescent="0.25">
      <c r="A6282" t="s">
        <v>150</v>
      </c>
      <c r="B6282">
        <f>58953.9012770344*(1/100/100)</f>
        <v>5.8953901277034397</v>
      </c>
      <c r="C6282">
        <v>66236</v>
      </c>
      <c r="D6282" t="s">
        <v>7102</v>
      </c>
      <c r="E6282">
        <v>62380</v>
      </c>
      <c r="F6282" t="s">
        <v>1757</v>
      </c>
      <c r="G6282">
        <v>623</v>
      </c>
      <c r="H6282" t="s">
        <v>113</v>
      </c>
      <c r="I6282">
        <v>6</v>
      </c>
      <c r="J6282" t="s">
        <v>101</v>
      </c>
    </row>
    <row r="6283" spans="1:10" x14ac:dyDescent="0.25">
      <c r="A6283" t="s">
        <v>150</v>
      </c>
      <c r="B6283">
        <f>80598.7254464412*(1/100/100)</f>
        <v>8.0598725446441204</v>
      </c>
      <c r="C6283">
        <v>66237</v>
      </c>
      <c r="D6283" t="s">
        <v>7112</v>
      </c>
      <c r="E6283">
        <v>62383</v>
      </c>
      <c r="F6283" t="s">
        <v>1760</v>
      </c>
      <c r="G6283">
        <v>623</v>
      </c>
      <c r="H6283" t="s">
        <v>113</v>
      </c>
      <c r="I6283">
        <v>6</v>
      </c>
      <c r="J6283" t="s">
        <v>101</v>
      </c>
    </row>
    <row r="6284" spans="1:10" x14ac:dyDescent="0.25">
      <c r="A6284" t="s">
        <v>150</v>
      </c>
      <c r="B6284">
        <f>40725.0842120462*(1/100/100)</f>
        <v>4.0725084212046196</v>
      </c>
      <c r="C6284">
        <v>66238</v>
      </c>
      <c r="D6284" t="s">
        <v>6471</v>
      </c>
      <c r="E6284">
        <v>61061</v>
      </c>
      <c r="F6284" t="s">
        <v>1571</v>
      </c>
      <c r="G6284">
        <v>610</v>
      </c>
      <c r="H6284" t="s">
        <v>104</v>
      </c>
      <c r="I6284">
        <v>6</v>
      </c>
      <c r="J6284" t="s">
        <v>101</v>
      </c>
    </row>
    <row r="6285" spans="1:10" x14ac:dyDescent="0.25">
      <c r="A6285" t="s">
        <v>150</v>
      </c>
      <c r="B6285">
        <f>8983.0665547965*(1/100/100)</f>
        <v>0.89830665547965005</v>
      </c>
      <c r="C6285">
        <v>66239</v>
      </c>
      <c r="D6285" t="s">
        <v>7078</v>
      </c>
      <c r="E6285">
        <v>62377</v>
      </c>
      <c r="F6285" t="s">
        <v>1754</v>
      </c>
      <c r="G6285">
        <v>623</v>
      </c>
      <c r="H6285" t="s">
        <v>113</v>
      </c>
      <c r="I6285">
        <v>6</v>
      </c>
      <c r="J6285" t="s">
        <v>101</v>
      </c>
    </row>
    <row r="6286" spans="1:10" x14ac:dyDescent="0.25">
      <c r="A6286" t="s">
        <v>150</v>
      </c>
      <c r="B6286">
        <f>26195.5406736518*(1/100/100)</f>
        <v>2.6195540673651805</v>
      </c>
      <c r="C6286">
        <v>66240</v>
      </c>
      <c r="D6286" t="s">
        <v>7152</v>
      </c>
      <c r="E6286">
        <v>62390</v>
      </c>
      <c r="F6286" t="s">
        <v>1767</v>
      </c>
      <c r="G6286">
        <v>623</v>
      </c>
      <c r="H6286" t="s">
        <v>113</v>
      </c>
      <c r="I6286">
        <v>6</v>
      </c>
      <c r="J6286" t="s">
        <v>101</v>
      </c>
    </row>
    <row r="6287" spans="1:10" x14ac:dyDescent="0.25">
      <c r="A6287" t="s">
        <v>150</v>
      </c>
      <c r="B6287">
        <f>85686.1059359314*(1/100/100)</f>
        <v>8.5686105935931405</v>
      </c>
      <c r="C6287">
        <v>66241</v>
      </c>
      <c r="D6287" t="s">
        <v>870</v>
      </c>
      <c r="E6287">
        <v>61060</v>
      </c>
      <c r="F6287" t="s">
        <v>1570</v>
      </c>
      <c r="G6287">
        <v>610</v>
      </c>
      <c r="H6287" t="s">
        <v>104</v>
      </c>
      <c r="I6287">
        <v>6</v>
      </c>
      <c r="J6287" t="s">
        <v>101</v>
      </c>
    </row>
    <row r="6288" spans="1:10" x14ac:dyDescent="0.25">
      <c r="A6288" t="s">
        <v>150</v>
      </c>
      <c r="B6288">
        <f>99724.6268181398*(1/100/100)</f>
        <v>9.9724626818139814</v>
      </c>
      <c r="C6288">
        <v>66242</v>
      </c>
      <c r="D6288" t="s">
        <v>648</v>
      </c>
      <c r="E6288">
        <v>61061</v>
      </c>
      <c r="F6288" t="s">
        <v>1571</v>
      </c>
      <c r="G6288">
        <v>610</v>
      </c>
      <c r="H6288" t="s">
        <v>104</v>
      </c>
      <c r="I6288">
        <v>6</v>
      </c>
      <c r="J6288" t="s">
        <v>101</v>
      </c>
    </row>
    <row r="6289" spans="1:10" x14ac:dyDescent="0.25">
      <c r="A6289" t="s">
        <v>150</v>
      </c>
      <c r="B6289">
        <f>39575.8413860347*(1/100/100)</f>
        <v>3.9575841386034702</v>
      </c>
      <c r="C6289">
        <v>66243</v>
      </c>
      <c r="D6289" t="s">
        <v>7153</v>
      </c>
      <c r="E6289">
        <v>62390</v>
      </c>
      <c r="F6289" t="s">
        <v>1767</v>
      </c>
      <c r="G6289">
        <v>623</v>
      </c>
      <c r="H6289" t="s">
        <v>113</v>
      </c>
      <c r="I6289">
        <v>6</v>
      </c>
      <c r="J6289" t="s">
        <v>101</v>
      </c>
    </row>
    <row r="6290" spans="1:10" x14ac:dyDescent="0.25">
      <c r="A6290" t="s">
        <v>150</v>
      </c>
      <c r="B6290">
        <f>32744.9048432062*(1/100/100)</f>
        <v>3.2744904843206202</v>
      </c>
      <c r="C6290">
        <v>66244</v>
      </c>
      <c r="D6290" t="s">
        <v>7138</v>
      </c>
      <c r="E6290">
        <v>62388</v>
      </c>
      <c r="F6290" t="s">
        <v>1765</v>
      </c>
      <c r="G6290">
        <v>623</v>
      </c>
      <c r="H6290" t="s">
        <v>113</v>
      </c>
      <c r="I6290">
        <v>6</v>
      </c>
      <c r="J6290" t="s">
        <v>101</v>
      </c>
    </row>
    <row r="6291" spans="1:10" x14ac:dyDescent="0.25">
      <c r="A6291" t="s">
        <v>150</v>
      </c>
      <c r="B6291">
        <f>93008.846121131*(1/100/100)</f>
        <v>9.3008846121131015</v>
      </c>
      <c r="C6291">
        <v>66245</v>
      </c>
      <c r="D6291" t="s">
        <v>7139</v>
      </c>
      <c r="E6291">
        <v>62388</v>
      </c>
      <c r="F6291" t="s">
        <v>1765</v>
      </c>
      <c r="G6291">
        <v>623</v>
      </c>
      <c r="H6291" t="s">
        <v>113</v>
      </c>
      <c r="I6291">
        <v>6</v>
      </c>
      <c r="J6291" t="s">
        <v>101</v>
      </c>
    </row>
    <row r="6292" spans="1:10" x14ac:dyDescent="0.25">
      <c r="A6292" t="s">
        <v>150</v>
      </c>
      <c r="B6292">
        <f>103815.268524476*(1/100/100)</f>
        <v>10.381526852447601</v>
      </c>
      <c r="C6292">
        <v>66246</v>
      </c>
      <c r="D6292" t="s">
        <v>7051</v>
      </c>
      <c r="E6292">
        <v>62343</v>
      </c>
      <c r="F6292" t="s">
        <v>1749</v>
      </c>
      <c r="G6292">
        <v>623</v>
      </c>
      <c r="H6292" t="s">
        <v>113</v>
      </c>
      <c r="I6292">
        <v>6</v>
      </c>
      <c r="J6292" t="s">
        <v>101</v>
      </c>
    </row>
    <row r="6293" spans="1:10" x14ac:dyDescent="0.25">
      <c r="A6293" t="s">
        <v>150</v>
      </c>
      <c r="B6293">
        <f>50016.3798090505*(1/100/100)</f>
        <v>5.0016379809050502</v>
      </c>
      <c r="C6293">
        <v>66247</v>
      </c>
      <c r="D6293" t="s">
        <v>7079</v>
      </c>
      <c r="E6293">
        <v>62377</v>
      </c>
      <c r="F6293" t="s">
        <v>1754</v>
      </c>
      <c r="G6293">
        <v>623</v>
      </c>
      <c r="H6293" t="s">
        <v>113</v>
      </c>
      <c r="I6293">
        <v>6</v>
      </c>
      <c r="J6293" t="s">
        <v>101</v>
      </c>
    </row>
    <row r="6294" spans="1:10" x14ac:dyDescent="0.25">
      <c r="A6294" t="s">
        <v>150</v>
      </c>
      <c r="B6294">
        <f>16044.8217312003*(1/100/100)</f>
        <v>1.6044821731200301</v>
      </c>
      <c r="C6294">
        <v>66248</v>
      </c>
      <c r="D6294" t="s">
        <v>3668</v>
      </c>
      <c r="E6294">
        <v>62377</v>
      </c>
      <c r="F6294" t="s">
        <v>1754</v>
      </c>
      <c r="G6294">
        <v>623</v>
      </c>
      <c r="H6294" t="s">
        <v>113</v>
      </c>
      <c r="I6294">
        <v>6</v>
      </c>
      <c r="J6294" t="s">
        <v>101</v>
      </c>
    </row>
    <row r="6295" spans="1:10" x14ac:dyDescent="0.25">
      <c r="A6295" t="s">
        <v>150</v>
      </c>
      <c r="B6295">
        <f>84609.736837254*(1/100/100)</f>
        <v>8.460973683725399</v>
      </c>
      <c r="C6295">
        <v>66301</v>
      </c>
      <c r="D6295" t="s">
        <v>7062</v>
      </c>
      <c r="E6295">
        <v>62376</v>
      </c>
      <c r="F6295" t="s">
        <v>1753</v>
      </c>
      <c r="G6295">
        <v>623</v>
      </c>
      <c r="H6295" t="s">
        <v>113</v>
      </c>
      <c r="I6295">
        <v>6</v>
      </c>
      <c r="J6295" t="s">
        <v>101</v>
      </c>
    </row>
    <row r="6296" spans="1:10" x14ac:dyDescent="0.25">
      <c r="A6296" t="s">
        <v>150</v>
      </c>
      <c r="B6296">
        <f>14881.4713047498*(1/100/100)</f>
        <v>1.48814713047498</v>
      </c>
      <c r="C6296">
        <v>66302</v>
      </c>
      <c r="D6296" t="s">
        <v>7063</v>
      </c>
      <c r="E6296">
        <v>62376</v>
      </c>
      <c r="F6296" t="s">
        <v>1753</v>
      </c>
      <c r="G6296">
        <v>623</v>
      </c>
      <c r="H6296" t="s">
        <v>113</v>
      </c>
      <c r="I6296">
        <v>6</v>
      </c>
      <c r="J6296" t="s">
        <v>101</v>
      </c>
    </row>
    <row r="6297" spans="1:10" x14ac:dyDescent="0.25">
      <c r="A6297" t="s">
        <v>150</v>
      </c>
      <c r="B6297">
        <f>36877.4874281412*(1/100/100)</f>
        <v>3.68774874281412</v>
      </c>
      <c r="C6297">
        <v>66303</v>
      </c>
      <c r="D6297" t="s">
        <v>7046</v>
      </c>
      <c r="E6297">
        <v>62335</v>
      </c>
      <c r="F6297" t="s">
        <v>1748</v>
      </c>
      <c r="G6297">
        <v>623</v>
      </c>
      <c r="H6297" t="s">
        <v>113</v>
      </c>
      <c r="I6297">
        <v>6</v>
      </c>
      <c r="J6297" t="s">
        <v>101</v>
      </c>
    </row>
    <row r="6298" spans="1:10" x14ac:dyDescent="0.25">
      <c r="A6298" t="s">
        <v>150</v>
      </c>
      <c r="B6298">
        <f>45275.546981799*(1/100/100)</f>
        <v>4.5275546981799</v>
      </c>
      <c r="C6298">
        <v>66304</v>
      </c>
      <c r="D6298" t="s">
        <v>7030</v>
      </c>
      <c r="E6298">
        <v>62326</v>
      </c>
      <c r="F6298" t="s">
        <v>1745</v>
      </c>
      <c r="G6298">
        <v>623</v>
      </c>
      <c r="H6298" t="s">
        <v>113</v>
      </c>
      <c r="I6298">
        <v>6</v>
      </c>
      <c r="J6298" t="s">
        <v>101</v>
      </c>
    </row>
    <row r="6299" spans="1:10" x14ac:dyDescent="0.25">
      <c r="A6299" t="s">
        <v>150</v>
      </c>
      <c r="B6299">
        <f>45961.5143634711*(1/100/100)</f>
        <v>4.5961514363471103</v>
      </c>
      <c r="C6299">
        <v>66305</v>
      </c>
      <c r="D6299" t="s">
        <v>7031</v>
      </c>
      <c r="E6299">
        <v>62326</v>
      </c>
      <c r="F6299" t="s">
        <v>1745</v>
      </c>
      <c r="G6299">
        <v>623</v>
      </c>
      <c r="H6299" t="s">
        <v>113</v>
      </c>
      <c r="I6299">
        <v>6</v>
      </c>
      <c r="J6299" t="s">
        <v>101</v>
      </c>
    </row>
    <row r="6300" spans="1:10" x14ac:dyDescent="0.25">
      <c r="A6300" t="s">
        <v>150</v>
      </c>
      <c r="B6300">
        <f>14497.6713712463*(1/100/100)</f>
        <v>1.4497671371246301</v>
      </c>
      <c r="C6300">
        <v>66306</v>
      </c>
      <c r="D6300" t="s">
        <v>3126</v>
      </c>
      <c r="E6300">
        <v>62326</v>
      </c>
      <c r="F6300" t="s">
        <v>1745</v>
      </c>
      <c r="G6300">
        <v>623</v>
      </c>
      <c r="H6300" t="s">
        <v>113</v>
      </c>
      <c r="I6300">
        <v>6</v>
      </c>
      <c r="J6300" t="s">
        <v>101</v>
      </c>
    </row>
    <row r="6301" spans="1:10" x14ac:dyDescent="0.25">
      <c r="A6301" t="s">
        <v>150</v>
      </c>
      <c r="B6301">
        <f>22500.2206134851*(1/100/100)</f>
        <v>2.2500220613485102</v>
      </c>
      <c r="C6301">
        <v>66307</v>
      </c>
      <c r="D6301" t="s">
        <v>7032</v>
      </c>
      <c r="E6301">
        <v>62326</v>
      </c>
      <c r="F6301" t="s">
        <v>1745</v>
      </c>
      <c r="G6301">
        <v>623</v>
      </c>
      <c r="H6301" t="s">
        <v>113</v>
      </c>
      <c r="I6301">
        <v>6</v>
      </c>
      <c r="J6301" t="s">
        <v>101</v>
      </c>
    </row>
    <row r="6302" spans="1:10" x14ac:dyDescent="0.25">
      <c r="A6302" t="s">
        <v>150</v>
      </c>
      <c r="B6302">
        <f>45428.7597449213*(1/100/100)</f>
        <v>4.5428759744921301</v>
      </c>
      <c r="C6302">
        <v>66308</v>
      </c>
      <c r="D6302" t="s">
        <v>7064</v>
      </c>
      <c r="E6302">
        <v>62376</v>
      </c>
      <c r="F6302" t="s">
        <v>1753</v>
      </c>
      <c r="G6302">
        <v>623</v>
      </c>
      <c r="H6302" t="s">
        <v>113</v>
      </c>
      <c r="I6302">
        <v>6</v>
      </c>
      <c r="J6302" t="s">
        <v>101</v>
      </c>
    </row>
    <row r="6303" spans="1:10" x14ac:dyDescent="0.25">
      <c r="A6303" t="s">
        <v>150</v>
      </c>
      <c r="B6303">
        <f>20243.9155726565*(1/100/100)</f>
        <v>2.0243915572656501</v>
      </c>
      <c r="C6303">
        <v>66309</v>
      </c>
      <c r="D6303" t="s">
        <v>7052</v>
      </c>
      <c r="E6303">
        <v>62368</v>
      </c>
      <c r="F6303" t="s">
        <v>1750</v>
      </c>
      <c r="G6303">
        <v>623</v>
      </c>
      <c r="H6303" t="s">
        <v>113</v>
      </c>
      <c r="I6303">
        <v>6</v>
      </c>
      <c r="J6303" t="s">
        <v>101</v>
      </c>
    </row>
    <row r="6304" spans="1:10" x14ac:dyDescent="0.25">
      <c r="A6304" t="s">
        <v>150</v>
      </c>
      <c r="B6304">
        <f>28066.3365154481*(1/100/100)</f>
        <v>2.8066336515448103</v>
      </c>
      <c r="C6304">
        <v>66310</v>
      </c>
      <c r="D6304" t="s">
        <v>7047</v>
      </c>
      <c r="E6304">
        <v>62335</v>
      </c>
      <c r="F6304" t="s">
        <v>1748</v>
      </c>
      <c r="G6304">
        <v>623</v>
      </c>
      <c r="H6304" t="s">
        <v>113</v>
      </c>
      <c r="I6304">
        <v>6</v>
      </c>
      <c r="J6304" t="s">
        <v>101</v>
      </c>
    </row>
    <row r="6305" spans="1:10" x14ac:dyDescent="0.25">
      <c r="A6305" t="s">
        <v>150</v>
      </c>
      <c r="B6305">
        <f>114427.862652718*(1/100/100)</f>
        <v>11.442786265271801</v>
      </c>
      <c r="C6305">
        <v>66311</v>
      </c>
      <c r="D6305" t="s">
        <v>1745</v>
      </c>
      <c r="E6305">
        <v>62326</v>
      </c>
      <c r="F6305" t="s">
        <v>1745</v>
      </c>
      <c r="G6305">
        <v>623</v>
      </c>
      <c r="H6305" t="s">
        <v>113</v>
      </c>
      <c r="I6305">
        <v>6</v>
      </c>
      <c r="J6305" t="s">
        <v>101</v>
      </c>
    </row>
    <row r="6306" spans="1:10" x14ac:dyDescent="0.25">
      <c r="A6306" t="s">
        <v>150</v>
      </c>
      <c r="B6306">
        <f>67990.9294176019*(1/100/100)</f>
        <v>6.7990929417601906</v>
      </c>
      <c r="C6306">
        <v>66313</v>
      </c>
      <c r="D6306" t="s">
        <v>7154</v>
      </c>
      <c r="E6306">
        <v>62390</v>
      </c>
      <c r="F6306" t="s">
        <v>1767</v>
      </c>
      <c r="G6306">
        <v>623</v>
      </c>
      <c r="H6306" t="s">
        <v>113</v>
      </c>
      <c r="I6306">
        <v>6</v>
      </c>
      <c r="J6306" t="s">
        <v>101</v>
      </c>
    </row>
    <row r="6307" spans="1:10" x14ac:dyDescent="0.25">
      <c r="A6307" t="s">
        <v>150</v>
      </c>
      <c r="B6307">
        <f>35952.9674123812*(1/100/100)</f>
        <v>3.59529674123812</v>
      </c>
      <c r="C6307">
        <v>66314</v>
      </c>
      <c r="D6307" t="s">
        <v>7033</v>
      </c>
      <c r="E6307">
        <v>62326</v>
      </c>
      <c r="F6307" t="s">
        <v>1745</v>
      </c>
      <c r="G6307">
        <v>623</v>
      </c>
      <c r="H6307" t="s">
        <v>113</v>
      </c>
      <c r="I6307">
        <v>6</v>
      </c>
      <c r="J6307" t="s">
        <v>101</v>
      </c>
    </row>
    <row r="6308" spans="1:10" x14ac:dyDescent="0.25">
      <c r="A6308" t="s">
        <v>150</v>
      </c>
      <c r="B6308">
        <f>22001.2366727074*(1/100/100)</f>
        <v>2.20012366727074</v>
      </c>
      <c r="C6308">
        <v>66315</v>
      </c>
      <c r="D6308" t="s">
        <v>7065</v>
      </c>
      <c r="E6308">
        <v>62376</v>
      </c>
      <c r="F6308" t="s">
        <v>1753</v>
      </c>
      <c r="G6308">
        <v>623</v>
      </c>
      <c r="H6308" t="s">
        <v>113</v>
      </c>
      <c r="I6308">
        <v>6</v>
      </c>
      <c r="J6308" t="s">
        <v>101</v>
      </c>
    </row>
    <row r="6309" spans="1:10" x14ac:dyDescent="0.25">
      <c r="A6309" t="s">
        <v>150</v>
      </c>
      <c r="B6309">
        <f>27779.3425224093*(1/100/100)</f>
        <v>2.77793425224093</v>
      </c>
      <c r="C6309">
        <v>66316</v>
      </c>
      <c r="D6309" t="s">
        <v>7053</v>
      </c>
      <c r="E6309">
        <v>62368</v>
      </c>
      <c r="F6309" t="s">
        <v>1750</v>
      </c>
      <c r="G6309">
        <v>623</v>
      </c>
      <c r="H6309" t="s">
        <v>113</v>
      </c>
      <c r="I6309">
        <v>6</v>
      </c>
      <c r="J6309" t="s">
        <v>101</v>
      </c>
    </row>
    <row r="6310" spans="1:10" x14ac:dyDescent="0.25">
      <c r="A6310" t="s">
        <v>150</v>
      </c>
      <c r="B6310">
        <f>90.1667023436036*(1/100/100)</f>
        <v>9.0166702343603602E-3</v>
      </c>
      <c r="C6310">
        <v>66317</v>
      </c>
      <c r="D6310" t="s">
        <v>7066</v>
      </c>
      <c r="E6310">
        <v>62376</v>
      </c>
      <c r="F6310" t="s">
        <v>1753</v>
      </c>
      <c r="G6310">
        <v>623</v>
      </c>
      <c r="H6310" t="s">
        <v>113</v>
      </c>
      <c r="I6310">
        <v>6</v>
      </c>
      <c r="J6310" t="s">
        <v>101</v>
      </c>
    </row>
    <row r="6311" spans="1:10" x14ac:dyDescent="0.25">
      <c r="A6311" t="s">
        <v>150</v>
      </c>
      <c r="B6311">
        <f>53539.4943935739*(1/100/100)</f>
        <v>5.3539494393573905</v>
      </c>
      <c r="C6311">
        <v>66318</v>
      </c>
      <c r="D6311" t="s">
        <v>1748</v>
      </c>
      <c r="E6311">
        <v>62335</v>
      </c>
      <c r="F6311" t="s">
        <v>1748</v>
      </c>
      <c r="G6311">
        <v>623</v>
      </c>
      <c r="H6311" t="s">
        <v>113</v>
      </c>
      <c r="I6311">
        <v>6</v>
      </c>
      <c r="J6311" t="s">
        <v>101</v>
      </c>
    </row>
    <row r="6312" spans="1:10" x14ac:dyDescent="0.25">
      <c r="A6312" t="s">
        <v>150</v>
      </c>
      <c r="B6312">
        <f>65187.180878924*(1/100/100)</f>
        <v>6.5187180878924007</v>
      </c>
      <c r="C6312">
        <v>66319</v>
      </c>
      <c r="D6312" t="s">
        <v>7067</v>
      </c>
      <c r="E6312">
        <v>62376</v>
      </c>
      <c r="F6312" t="s">
        <v>1753</v>
      </c>
      <c r="G6312">
        <v>623</v>
      </c>
      <c r="H6312" t="s">
        <v>113</v>
      </c>
      <c r="I6312">
        <v>6</v>
      </c>
      <c r="J6312" t="s">
        <v>101</v>
      </c>
    </row>
    <row r="6313" spans="1:10" x14ac:dyDescent="0.25">
      <c r="A6313" t="s">
        <v>150</v>
      </c>
      <c r="B6313">
        <f>45264.165189236*(1/100/100)</f>
        <v>4.5264165189236003</v>
      </c>
      <c r="C6313">
        <v>66320</v>
      </c>
      <c r="D6313" t="s">
        <v>7054</v>
      </c>
      <c r="E6313">
        <v>62368</v>
      </c>
      <c r="F6313" t="s">
        <v>1750</v>
      </c>
      <c r="G6313">
        <v>623</v>
      </c>
      <c r="H6313" t="s">
        <v>113</v>
      </c>
      <c r="I6313">
        <v>6</v>
      </c>
      <c r="J6313" t="s">
        <v>101</v>
      </c>
    </row>
    <row r="6314" spans="1:10" x14ac:dyDescent="0.25">
      <c r="A6314" t="s">
        <v>150</v>
      </c>
      <c r="B6314">
        <f>994.190656839925*(1/100/100)</f>
        <v>9.9419065683992516E-2</v>
      </c>
      <c r="C6314">
        <v>66321</v>
      </c>
      <c r="D6314" t="s">
        <v>7068</v>
      </c>
      <c r="E6314">
        <v>62376</v>
      </c>
      <c r="F6314" t="s">
        <v>1753</v>
      </c>
      <c r="G6314">
        <v>623</v>
      </c>
      <c r="H6314" t="s">
        <v>113</v>
      </c>
      <c r="I6314">
        <v>6</v>
      </c>
      <c r="J6314" t="s">
        <v>101</v>
      </c>
    </row>
    <row r="6315" spans="1:10" x14ac:dyDescent="0.25">
      <c r="A6315" t="s">
        <v>150</v>
      </c>
      <c r="B6315">
        <f>521.454929432308*(1/100/100)</f>
        <v>5.2145492943230801E-2</v>
      </c>
      <c r="C6315">
        <v>66322</v>
      </c>
      <c r="D6315" t="s">
        <v>7034</v>
      </c>
      <c r="E6315">
        <v>62326</v>
      </c>
      <c r="F6315" t="s">
        <v>1745</v>
      </c>
      <c r="G6315">
        <v>623</v>
      </c>
      <c r="H6315" t="s">
        <v>113</v>
      </c>
      <c r="I6315">
        <v>6</v>
      </c>
      <c r="J6315" t="s">
        <v>101</v>
      </c>
    </row>
    <row r="6316" spans="1:10" x14ac:dyDescent="0.25">
      <c r="A6316" t="s">
        <v>150</v>
      </c>
      <c r="B6316">
        <f>35194.4894652516*(1/100/100)</f>
        <v>3.5194489465251602</v>
      </c>
      <c r="C6316">
        <v>66323</v>
      </c>
      <c r="D6316" t="s">
        <v>7155</v>
      </c>
      <c r="E6316">
        <v>62390</v>
      </c>
      <c r="F6316" t="s">
        <v>1767</v>
      </c>
      <c r="G6316">
        <v>623</v>
      </c>
      <c r="H6316" t="s">
        <v>113</v>
      </c>
      <c r="I6316">
        <v>6</v>
      </c>
      <c r="J6316" t="s">
        <v>101</v>
      </c>
    </row>
    <row r="6317" spans="1:10" x14ac:dyDescent="0.25">
      <c r="A6317" t="s">
        <v>150</v>
      </c>
      <c r="B6317">
        <f>8293.13877064387*(1/100/100)</f>
        <v>0.82931387706438708</v>
      </c>
      <c r="C6317">
        <v>66324</v>
      </c>
      <c r="D6317" t="s">
        <v>7156</v>
      </c>
      <c r="E6317">
        <v>62390</v>
      </c>
      <c r="F6317" t="s">
        <v>1767</v>
      </c>
      <c r="G6317">
        <v>623</v>
      </c>
      <c r="H6317" t="s">
        <v>113</v>
      </c>
      <c r="I6317">
        <v>6</v>
      </c>
      <c r="J6317" t="s">
        <v>101</v>
      </c>
    </row>
    <row r="6318" spans="1:10" x14ac:dyDescent="0.25">
      <c r="A6318" t="s">
        <v>150</v>
      </c>
      <c r="B6318">
        <f>57212.7410684898*(1/100/100)</f>
        <v>5.7212741068489805</v>
      </c>
      <c r="C6318">
        <v>66325</v>
      </c>
      <c r="D6318" t="s">
        <v>7035</v>
      </c>
      <c r="E6318">
        <v>62326</v>
      </c>
      <c r="F6318" t="s">
        <v>1745</v>
      </c>
      <c r="G6318">
        <v>623</v>
      </c>
      <c r="H6318" t="s">
        <v>113</v>
      </c>
      <c r="I6318">
        <v>6</v>
      </c>
      <c r="J6318" t="s">
        <v>101</v>
      </c>
    </row>
    <row r="6319" spans="1:10" x14ac:dyDescent="0.25">
      <c r="A6319" t="s">
        <v>150</v>
      </c>
      <c r="B6319">
        <f>28476.267866223*(1/100/100)</f>
        <v>2.8476267866223002</v>
      </c>
      <c r="C6319">
        <v>66326</v>
      </c>
      <c r="D6319" t="s">
        <v>7055</v>
      </c>
      <c r="E6319">
        <v>62368</v>
      </c>
      <c r="F6319" t="s">
        <v>1750</v>
      </c>
      <c r="G6319">
        <v>623</v>
      </c>
      <c r="H6319" t="s">
        <v>113</v>
      </c>
      <c r="I6319">
        <v>6</v>
      </c>
      <c r="J6319" t="s">
        <v>101</v>
      </c>
    </row>
    <row r="6320" spans="1:10" x14ac:dyDescent="0.25">
      <c r="A6320" t="s">
        <v>150</v>
      </c>
      <c r="B6320">
        <f>19585.4857804506*(1/100/100)</f>
        <v>1.95854857804506</v>
      </c>
      <c r="C6320">
        <v>66327</v>
      </c>
      <c r="D6320" t="s">
        <v>7069</v>
      </c>
      <c r="E6320">
        <v>62376</v>
      </c>
      <c r="F6320" t="s">
        <v>1753</v>
      </c>
      <c r="G6320">
        <v>623</v>
      </c>
      <c r="H6320" t="s">
        <v>113</v>
      </c>
      <c r="I6320">
        <v>6</v>
      </c>
      <c r="J6320" t="s">
        <v>101</v>
      </c>
    </row>
    <row r="6321" spans="1:10" x14ac:dyDescent="0.25">
      <c r="A6321" t="s">
        <v>150</v>
      </c>
      <c r="B6321">
        <f>48081.9570009849*(1/100/100)</f>
        <v>4.8081957000984898</v>
      </c>
      <c r="C6321">
        <v>66328</v>
      </c>
      <c r="D6321" t="s">
        <v>7056</v>
      </c>
      <c r="E6321">
        <v>62368</v>
      </c>
      <c r="F6321" t="s">
        <v>1750</v>
      </c>
      <c r="G6321">
        <v>623</v>
      </c>
      <c r="H6321" t="s">
        <v>113</v>
      </c>
      <c r="I6321">
        <v>6</v>
      </c>
      <c r="J6321" t="s">
        <v>101</v>
      </c>
    </row>
    <row r="6322" spans="1:10" x14ac:dyDescent="0.25">
      <c r="A6322" t="s">
        <v>150</v>
      </c>
      <c r="B6322">
        <f>30381.6749088467*(1/100/100)</f>
        <v>3.0381674908846703</v>
      </c>
      <c r="C6322">
        <v>66329</v>
      </c>
      <c r="D6322" t="s">
        <v>7048</v>
      </c>
      <c r="E6322">
        <v>62335</v>
      </c>
      <c r="F6322" t="s">
        <v>1748</v>
      </c>
      <c r="G6322">
        <v>623</v>
      </c>
      <c r="H6322" t="s">
        <v>113</v>
      </c>
      <c r="I6322">
        <v>6</v>
      </c>
      <c r="J6322" t="s">
        <v>101</v>
      </c>
    </row>
    <row r="6323" spans="1:10" x14ac:dyDescent="0.25">
      <c r="A6323" t="s">
        <v>150</v>
      </c>
      <c r="B6323">
        <f>15295.874404119*(1/100/100)</f>
        <v>1.5295874404119001</v>
      </c>
      <c r="C6323">
        <v>66330</v>
      </c>
      <c r="D6323" t="s">
        <v>7070</v>
      </c>
      <c r="E6323">
        <v>62376</v>
      </c>
      <c r="F6323" t="s">
        <v>1753</v>
      </c>
      <c r="G6323">
        <v>623</v>
      </c>
      <c r="H6323" t="s">
        <v>113</v>
      </c>
      <c r="I6323">
        <v>6</v>
      </c>
      <c r="J6323" t="s">
        <v>101</v>
      </c>
    </row>
    <row r="6324" spans="1:10" x14ac:dyDescent="0.25">
      <c r="A6324" t="s">
        <v>150</v>
      </c>
      <c r="B6324">
        <f>205421.370059306*(1/100/100)</f>
        <v>20.542137005930602</v>
      </c>
      <c r="C6324">
        <v>66331</v>
      </c>
      <c r="D6324" t="s">
        <v>7071</v>
      </c>
      <c r="E6324">
        <v>62376</v>
      </c>
      <c r="F6324" t="s">
        <v>1753</v>
      </c>
      <c r="G6324">
        <v>623</v>
      </c>
      <c r="H6324" t="s">
        <v>113</v>
      </c>
      <c r="I6324">
        <v>6</v>
      </c>
      <c r="J6324" t="s">
        <v>101</v>
      </c>
    </row>
    <row r="6325" spans="1:10" x14ac:dyDescent="0.25">
      <c r="A6325" t="s">
        <v>150</v>
      </c>
      <c r="B6325">
        <f>51815.1816936976*(1/100/100)</f>
        <v>5.1815181693697605</v>
      </c>
      <c r="C6325">
        <v>66332</v>
      </c>
      <c r="D6325" t="s">
        <v>7157</v>
      </c>
      <c r="E6325">
        <v>62390</v>
      </c>
      <c r="F6325" t="s">
        <v>1767</v>
      </c>
      <c r="G6325">
        <v>623</v>
      </c>
      <c r="H6325" t="s">
        <v>113</v>
      </c>
      <c r="I6325">
        <v>6</v>
      </c>
      <c r="J6325" t="s">
        <v>101</v>
      </c>
    </row>
    <row r="6326" spans="1:10" x14ac:dyDescent="0.25">
      <c r="A6326" t="s">
        <v>150</v>
      </c>
      <c r="B6326">
        <f>36251.9934358718*(1/100/100)</f>
        <v>3.6251993435871803</v>
      </c>
      <c r="C6326">
        <v>66333</v>
      </c>
      <c r="D6326" t="s">
        <v>7072</v>
      </c>
      <c r="E6326">
        <v>62376</v>
      </c>
      <c r="F6326" t="s">
        <v>1753</v>
      </c>
      <c r="G6326">
        <v>623</v>
      </c>
      <c r="H6326" t="s">
        <v>113</v>
      </c>
      <c r="I6326">
        <v>6</v>
      </c>
      <c r="J6326" t="s">
        <v>101</v>
      </c>
    </row>
    <row r="6327" spans="1:10" x14ac:dyDescent="0.25">
      <c r="A6327" t="s">
        <v>150</v>
      </c>
      <c r="B6327">
        <f>39.6398666834844*(1/100/100)</f>
        <v>3.96398666834844E-3</v>
      </c>
      <c r="C6327">
        <v>66334</v>
      </c>
      <c r="D6327" t="s">
        <v>7036</v>
      </c>
      <c r="E6327">
        <v>62326</v>
      </c>
      <c r="F6327" t="s">
        <v>1745</v>
      </c>
      <c r="G6327">
        <v>623</v>
      </c>
      <c r="H6327" t="s">
        <v>113</v>
      </c>
      <c r="I6327">
        <v>6</v>
      </c>
      <c r="J6327" t="s">
        <v>101</v>
      </c>
    </row>
    <row r="6328" spans="1:10" x14ac:dyDescent="0.25">
      <c r="A6328" t="s">
        <v>150</v>
      </c>
      <c r="B6328">
        <f>37902.4010005265*(1/100/100)</f>
        <v>3.7902401000526504</v>
      </c>
      <c r="C6328">
        <v>66335</v>
      </c>
      <c r="D6328" t="s">
        <v>1750</v>
      </c>
      <c r="E6328">
        <v>62368</v>
      </c>
      <c r="F6328" t="s">
        <v>1750</v>
      </c>
      <c r="G6328">
        <v>623</v>
      </c>
      <c r="H6328" t="s">
        <v>113</v>
      </c>
      <c r="I6328">
        <v>6</v>
      </c>
      <c r="J6328" t="s">
        <v>101</v>
      </c>
    </row>
    <row r="6329" spans="1:10" x14ac:dyDescent="0.25">
      <c r="A6329" t="s">
        <v>150</v>
      </c>
      <c r="B6329">
        <f>17068.0730065397*(1/100/100)</f>
        <v>1.7068073006539701</v>
      </c>
      <c r="C6329">
        <v>66336</v>
      </c>
      <c r="D6329" t="s">
        <v>7158</v>
      </c>
      <c r="E6329">
        <v>62390</v>
      </c>
      <c r="F6329" t="s">
        <v>1767</v>
      </c>
      <c r="G6329">
        <v>623</v>
      </c>
      <c r="H6329" t="s">
        <v>113</v>
      </c>
      <c r="I6329">
        <v>6</v>
      </c>
      <c r="J6329" t="s">
        <v>101</v>
      </c>
    </row>
    <row r="6330" spans="1:10" x14ac:dyDescent="0.25">
      <c r="A6330" t="s">
        <v>150</v>
      </c>
      <c r="B6330">
        <f>54752.9101672804*(1/100/100)</f>
        <v>5.4752910167280406</v>
      </c>
      <c r="C6330">
        <v>66337</v>
      </c>
      <c r="D6330" t="s">
        <v>7037</v>
      </c>
      <c r="E6330">
        <v>62326</v>
      </c>
      <c r="F6330" t="s">
        <v>1745</v>
      </c>
      <c r="G6330">
        <v>623</v>
      </c>
      <c r="H6330" t="s">
        <v>113</v>
      </c>
      <c r="I6330">
        <v>6</v>
      </c>
      <c r="J6330" t="s">
        <v>101</v>
      </c>
    </row>
    <row r="6331" spans="1:10" x14ac:dyDescent="0.25">
      <c r="A6331" t="s">
        <v>150</v>
      </c>
      <c r="B6331">
        <f>25586.0116021221*(1/100/100)</f>
        <v>2.5586011602122101</v>
      </c>
      <c r="C6331">
        <v>66339</v>
      </c>
      <c r="D6331" t="s">
        <v>7073</v>
      </c>
      <c r="E6331">
        <v>62376</v>
      </c>
      <c r="F6331" t="s">
        <v>1753</v>
      </c>
      <c r="G6331">
        <v>623</v>
      </c>
      <c r="H6331" t="s">
        <v>113</v>
      </c>
      <c r="I6331">
        <v>6</v>
      </c>
      <c r="J6331" t="s">
        <v>101</v>
      </c>
    </row>
    <row r="6332" spans="1:10" x14ac:dyDescent="0.25">
      <c r="A6332" t="s">
        <v>150</v>
      </c>
      <c r="B6332">
        <f>55463.1408935919*(1/100/100)</f>
        <v>5.5463140893591909</v>
      </c>
      <c r="C6332">
        <v>66340</v>
      </c>
      <c r="D6332" t="s">
        <v>7049</v>
      </c>
      <c r="E6332">
        <v>62335</v>
      </c>
      <c r="F6332" t="s">
        <v>1748</v>
      </c>
      <c r="G6332">
        <v>623</v>
      </c>
      <c r="H6332" t="s">
        <v>113</v>
      </c>
      <c r="I6332">
        <v>6</v>
      </c>
      <c r="J6332" t="s">
        <v>101</v>
      </c>
    </row>
    <row r="6333" spans="1:10" x14ac:dyDescent="0.25">
      <c r="A6333" t="s">
        <v>150</v>
      </c>
      <c r="B6333">
        <f>121964.61056696*(1/100/100)</f>
        <v>12.196461056696</v>
      </c>
      <c r="C6333">
        <v>66401</v>
      </c>
      <c r="D6333" t="s">
        <v>5496</v>
      </c>
      <c r="E6333">
        <v>61001</v>
      </c>
      <c r="F6333" t="s">
        <v>1545</v>
      </c>
      <c r="G6333">
        <v>610</v>
      </c>
      <c r="H6333" t="s">
        <v>104</v>
      </c>
      <c r="I6333">
        <v>6</v>
      </c>
      <c r="J6333" t="s">
        <v>101</v>
      </c>
    </row>
    <row r="6334" spans="1:10" x14ac:dyDescent="0.25">
      <c r="A6334" t="s">
        <v>150</v>
      </c>
      <c r="B6334">
        <f>66005.5198049994*(1/100/100)</f>
        <v>6.6005519804999411</v>
      </c>
      <c r="C6334">
        <v>66402</v>
      </c>
      <c r="D6334" t="s">
        <v>4466</v>
      </c>
      <c r="E6334">
        <v>61027</v>
      </c>
      <c r="F6334" t="s">
        <v>1557</v>
      </c>
      <c r="G6334">
        <v>610</v>
      </c>
      <c r="H6334" t="s">
        <v>104</v>
      </c>
      <c r="I6334">
        <v>6</v>
      </c>
      <c r="J6334" t="s">
        <v>101</v>
      </c>
    </row>
    <row r="6335" spans="1:10" x14ac:dyDescent="0.25">
      <c r="A6335" t="s">
        <v>150</v>
      </c>
      <c r="B6335">
        <f>41320.8653579776*(1/100/100)</f>
        <v>4.1320865357977601</v>
      </c>
      <c r="C6335">
        <v>66403</v>
      </c>
      <c r="D6335" t="s">
        <v>4923</v>
      </c>
      <c r="E6335">
        <v>61057</v>
      </c>
      <c r="F6335" t="s">
        <v>1568</v>
      </c>
      <c r="G6335">
        <v>610</v>
      </c>
      <c r="H6335" t="s">
        <v>104</v>
      </c>
      <c r="I6335">
        <v>6</v>
      </c>
      <c r="J6335" t="s">
        <v>101</v>
      </c>
    </row>
    <row r="6336" spans="1:10" x14ac:dyDescent="0.25">
      <c r="A6336" t="s">
        <v>150</v>
      </c>
      <c r="B6336">
        <f>179183.34325533*(1/100/100)</f>
        <v>17.918334325532999</v>
      </c>
      <c r="C6336">
        <v>66404</v>
      </c>
      <c r="D6336" t="s">
        <v>1547</v>
      </c>
      <c r="E6336">
        <v>61007</v>
      </c>
      <c r="F6336" t="s">
        <v>1547</v>
      </c>
      <c r="G6336">
        <v>610</v>
      </c>
      <c r="H6336" t="s">
        <v>104</v>
      </c>
      <c r="I6336">
        <v>6</v>
      </c>
      <c r="J6336" t="s">
        <v>101</v>
      </c>
    </row>
    <row r="6337" spans="1:10" x14ac:dyDescent="0.25">
      <c r="A6337" t="s">
        <v>150</v>
      </c>
      <c r="B6337">
        <f>101735.710139346*(1/100/100)</f>
        <v>10.1735710139346</v>
      </c>
      <c r="C6337">
        <v>66405</v>
      </c>
      <c r="D6337" t="s">
        <v>6349</v>
      </c>
      <c r="E6337">
        <v>61001</v>
      </c>
      <c r="F6337" t="s">
        <v>1545</v>
      </c>
      <c r="G6337">
        <v>610</v>
      </c>
      <c r="H6337" t="s">
        <v>104</v>
      </c>
      <c r="I6337">
        <v>6</v>
      </c>
      <c r="J6337" t="s">
        <v>101</v>
      </c>
    </row>
    <row r="6338" spans="1:10" x14ac:dyDescent="0.25">
      <c r="A6338" t="s">
        <v>150</v>
      </c>
      <c r="B6338">
        <f>81831.6454785409*(1/100/100)</f>
        <v>8.1831645478540906</v>
      </c>
      <c r="C6338">
        <v>66406</v>
      </c>
      <c r="D6338" t="s">
        <v>6426</v>
      </c>
      <c r="E6338">
        <v>61052</v>
      </c>
      <c r="F6338" t="s">
        <v>1565</v>
      </c>
      <c r="G6338">
        <v>610</v>
      </c>
      <c r="H6338" t="s">
        <v>104</v>
      </c>
      <c r="I6338">
        <v>6</v>
      </c>
      <c r="J6338" t="s">
        <v>101</v>
      </c>
    </row>
    <row r="6339" spans="1:10" x14ac:dyDescent="0.25">
      <c r="A6339" t="s">
        <v>150</v>
      </c>
      <c r="B6339">
        <f>22670.8397157228*(1/100/100)</f>
        <v>2.2670839715722799</v>
      </c>
      <c r="C6339">
        <v>66407</v>
      </c>
      <c r="D6339" t="s">
        <v>6365</v>
      </c>
      <c r="E6339">
        <v>61017</v>
      </c>
      <c r="F6339" t="s">
        <v>1552</v>
      </c>
      <c r="G6339">
        <v>610</v>
      </c>
      <c r="H6339" t="s">
        <v>104</v>
      </c>
      <c r="I6339">
        <v>6</v>
      </c>
      <c r="J6339" t="s">
        <v>101</v>
      </c>
    </row>
    <row r="6340" spans="1:10" x14ac:dyDescent="0.25">
      <c r="A6340" t="s">
        <v>150</v>
      </c>
      <c r="B6340">
        <f>61024.5681473166*(1/100/100)</f>
        <v>6.10245681473166</v>
      </c>
      <c r="C6340">
        <v>66408</v>
      </c>
      <c r="D6340" t="s">
        <v>6448</v>
      </c>
      <c r="E6340">
        <v>61057</v>
      </c>
      <c r="F6340" t="s">
        <v>1568</v>
      </c>
      <c r="G6340">
        <v>610</v>
      </c>
      <c r="H6340" t="s">
        <v>104</v>
      </c>
      <c r="I6340">
        <v>6</v>
      </c>
      <c r="J6340" t="s">
        <v>101</v>
      </c>
    </row>
    <row r="6341" spans="1:10" x14ac:dyDescent="0.25">
      <c r="A6341" t="s">
        <v>150</v>
      </c>
      <c r="B6341">
        <f>76178.2326615861*(1/100/100)</f>
        <v>7.6178232661586103</v>
      </c>
      <c r="C6341">
        <v>66409</v>
      </c>
      <c r="D6341" t="s">
        <v>2630</v>
      </c>
      <c r="E6341">
        <v>61055</v>
      </c>
      <c r="F6341" t="s">
        <v>1567</v>
      </c>
      <c r="G6341">
        <v>610</v>
      </c>
      <c r="H6341" t="s">
        <v>104</v>
      </c>
      <c r="I6341">
        <v>6</v>
      </c>
      <c r="J6341" t="s">
        <v>101</v>
      </c>
    </row>
    <row r="6342" spans="1:10" x14ac:dyDescent="0.25">
      <c r="A6342" t="s">
        <v>150</v>
      </c>
      <c r="B6342">
        <f>94708.1943983438*(1/100/100)</f>
        <v>9.4708194398343792</v>
      </c>
      <c r="C6342">
        <v>66410</v>
      </c>
      <c r="D6342" t="s">
        <v>3415</v>
      </c>
      <c r="E6342">
        <v>61027</v>
      </c>
      <c r="F6342" t="s">
        <v>1557</v>
      </c>
      <c r="G6342">
        <v>610</v>
      </c>
      <c r="H6342" t="s">
        <v>104</v>
      </c>
      <c r="I6342">
        <v>6</v>
      </c>
      <c r="J6342" t="s">
        <v>101</v>
      </c>
    </row>
    <row r="6343" spans="1:10" x14ac:dyDescent="0.25">
      <c r="A6343" t="s">
        <v>150</v>
      </c>
      <c r="B6343">
        <f>154826.573036175*(1/100/100)</f>
        <v>15.482657303617499</v>
      </c>
      <c r="C6343">
        <v>66411</v>
      </c>
      <c r="D6343" t="s">
        <v>1565</v>
      </c>
      <c r="E6343">
        <v>61052</v>
      </c>
      <c r="F6343" t="s">
        <v>1565</v>
      </c>
      <c r="G6343">
        <v>610</v>
      </c>
      <c r="H6343" t="s">
        <v>104</v>
      </c>
      <c r="I6343">
        <v>6</v>
      </c>
      <c r="J6343" t="s">
        <v>101</v>
      </c>
    </row>
    <row r="6344" spans="1:10" x14ac:dyDescent="0.25">
      <c r="A6344" t="s">
        <v>150</v>
      </c>
      <c r="B6344">
        <f>19984.7712189735*(1/100/100)</f>
        <v>1.9984771218973501</v>
      </c>
      <c r="C6344">
        <v>66412</v>
      </c>
      <c r="D6344" t="s">
        <v>1552</v>
      </c>
      <c r="E6344">
        <v>61017</v>
      </c>
      <c r="F6344" t="s">
        <v>1552</v>
      </c>
      <c r="G6344">
        <v>610</v>
      </c>
      <c r="H6344" t="s">
        <v>104</v>
      </c>
      <c r="I6344">
        <v>6</v>
      </c>
      <c r="J6344" t="s">
        <v>101</v>
      </c>
    </row>
    <row r="6345" spans="1:10" x14ac:dyDescent="0.25">
      <c r="A6345" t="s">
        <v>150</v>
      </c>
      <c r="B6345">
        <f>109352.788579229*(1/100/100)</f>
        <v>10.935278857922901</v>
      </c>
      <c r="C6345">
        <v>66413</v>
      </c>
      <c r="D6345" t="s">
        <v>6450</v>
      </c>
      <c r="E6345">
        <v>61059</v>
      </c>
      <c r="F6345" t="s">
        <v>1569</v>
      </c>
      <c r="G6345">
        <v>610</v>
      </c>
      <c r="H6345" t="s">
        <v>104</v>
      </c>
      <c r="I6345">
        <v>6</v>
      </c>
      <c r="J6345" t="s">
        <v>101</v>
      </c>
    </row>
    <row r="6346" spans="1:10" x14ac:dyDescent="0.25">
      <c r="A6346" t="s">
        <v>150</v>
      </c>
      <c r="B6346">
        <f>21047.297454836*(1/100/100)</f>
        <v>2.1047297454836</v>
      </c>
      <c r="C6346">
        <v>66414</v>
      </c>
      <c r="D6346" t="s">
        <v>6366</v>
      </c>
      <c r="E6346">
        <v>61017</v>
      </c>
      <c r="F6346" t="s">
        <v>1552</v>
      </c>
      <c r="G6346">
        <v>610</v>
      </c>
      <c r="H6346" t="s">
        <v>104</v>
      </c>
      <c r="I6346">
        <v>6</v>
      </c>
      <c r="J6346" t="s">
        <v>101</v>
      </c>
    </row>
    <row r="6347" spans="1:10" x14ac:dyDescent="0.25">
      <c r="A6347" t="s">
        <v>150</v>
      </c>
      <c r="B6347">
        <f>13463.5956613044*(1/100/100)</f>
        <v>1.3463595661304402</v>
      </c>
      <c r="C6347">
        <v>66415</v>
      </c>
      <c r="D6347" t="s">
        <v>6367</v>
      </c>
      <c r="E6347">
        <v>61017</v>
      </c>
      <c r="F6347" t="s">
        <v>1552</v>
      </c>
      <c r="G6347">
        <v>610</v>
      </c>
      <c r="H6347" t="s">
        <v>104</v>
      </c>
      <c r="I6347">
        <v>6</v>
      </c>
      <c r="J6347" t="s">
        <v>101</v>
      </c>
    </row>
    <row r="6348" spans="1:10" x14ac:dyDescent="0.25">
      <c r="A6348" t="s">
        <v>150</v>
      </c>
      <c r="B6348">
        <f>23715.6345619295*(1/100/100)</f>
        <v>2.3715634561929502</v>
      </c>
      <c r="C6348">
        <v>66417</v>
      </c>
      <c r="D6348" t="s">
        <v>6443</v>
      </c>
      <c r="E6348">
        <v>61055</v>
      </c>
      <c r="F6348" t="s">
        <v>1567</v>
      </c>
      <c r="G6348">
        <v>610</v>
      </c>
      <c r="H6348" t="s">
        <v>104</v>
      </c>
      <c r="I6348">
        <v>6</v>
      </c>
      <c r="J6348" t="s">
        <v>101</v>
      </c>
    </row>
    <row r="6349" spans="1:10" x14ac:dyDescent="0.25">
      <c r="A6349" t="s">
        <v>150</v>
      </c>
      <c r="B6349">
        <f>251172.650596694*(1/100/100)</f>
        <v>25.1172650596694</v>
      </c>
      <c r="C6349">
        <v>66418</v>
      </c>
      <c r="D6349" t="s">
        <v>6378</v>
      </c>
      <c r="E6349">
        <v>61021</v>
      </c>
      <c r="F6349" t="s">
        <v>1555</v>
      </c>
      <c r="G6349">
        <v>610</v>
      </c>
      <c r="H6349" t="s">
        <v>104</v>
      </c>
      <c r="I6349">
        <v>6</v>
      </c>
      <c r="J6349" t="s">
        <v>101</v>
      </c>
    </row>
    <row r="6350" spans="1:10" x14ac:dyDescent="0.25">
      <c r="A6350" t="s">
        <v>150</v>
      </c>
      <c r="B6350">
        <f>20533.7722704503*(1/100/100)</f>
        <v>2.0533772270450301</v>
      </c>
      <c r="C6350">
        <v>66419</v>
      </c>
      <c r="D6350" t="s">
        <v>2580</v>
      </c>
      <c r="E6350">
        <v>61057</v>
      </c>
      <c r="F6350" t="s">
        <v>1568</v>
      </c>
      <c r="G6350">
        <v>610</v>
      </c>
      <c r="H6350" t="s">
        <v>104</v>
      </c>
      <c r="I6350">
        <v>6</v>
      </c>
      <c r="J6350" t="s">
        <v>101</v>
      </c>
    </row>
    <row r="6351" spans="1:10" x14ac:dyDescent="0.25">
      <c r="A6351" t="s">
        <v>150</v>
      </c>
      <c r="B6351">
        <f>91243.6484537269*(1/100/100)</f>
        <v>9.1243648453726909</v>
      </c>
      <c r="C6351">
        <v>66421</v>
      </c>
      <c r="D6351" t="s">
        <v>1557</v>
      </c>
      <c r="E6351">
        <v>61027</v>
      </c>
      <c r="F6351" t="s">
        <v>1557</v>
      </c>
      <c r="G6351">
        <v>610</v>
      </c>
      <c r="H6351" t="s">
        <v>104</v>
      </c>
      <c r="I6351">
        <v>6</v>
      </c>
      <c r="J6351" t="s">
        <v>101</v>
      </c>
    </row>
    <row r="6352" spans="1:10" x14ac:dyDescent="0.25">
      <c r="A6352" t="s">
        <v>150</v>
      </c>
      <c r="B6352">
        <f>144928.891347474*(1/100/100)</f>
        <v>14.492889134747402</v>
      </c>
      <c r="C6352">
        <v>66422</v>
      </c>
      <c r="D6352" t="s">
        <v>6444</v>
      </c>
      <c r="E6352">
        <v>61055</v>
      </c>
      <c r="F6352" t="s">
        <v>1567</v>
      </c>
      <c r="G6352">
        <v>610</v>
      </c>
      <c r="H6352" t="s">
        <v>104</v>
      </c>
      <c r="I6352">
        <v>6</v>
      </c>
      <c r="J6352" t="s">
        <v>101</v>
      </c>
    </row>
    <row r="6353" spans="1:10" x14ac:dyDescent="0.25">
      <c r="A6353" t="s">
        <v>150</v>
      </c>
      <c r="B6353">
        <f>81993.3924786529*(1/100/100)</f>
        <v>8.1993392478652893</v>
      </c>
      <c r="C6353">
        <v>66423</v>
      </c>
      <c r="D6353" t="s">
        <v>2434</v>
      </c>
      <c r="E6353">
        <v>61021</v>
      </c>
      <c r="F6353" t="s">
        <v>1555</v>
      </c>
      <c r="G6353">
        <v>610</v>
      </c>
      <c r="H6353" t="s">
        <v>104</v>
      </c>
      <c r="I6353">
        <v>6</v>
      </c>
      <c r="J6353" t="s">
        <v>101</v>
      </c>
    </row>
    <row r="6354" spans="1:10" x14ac:dyDescent="0.25">
      <c r="A6354" t="s">
        <v>150</v>
      </c>
      <c r="B6354">
        <f>68458.6104065729*(1/100/100)</f>
        <v>6.8458610406572902</v>
      </c>
      <c r="C6354">
        <v>66424</v>
      </c>
      <c r="D6354" t="s">
        <v>6427</v>
      </c>
      <c r="E6354">
        <v>61052</v>
      </c>
      <c r="F6354" t="s">
        <v>1565</v>
      </c>
      <c r="G6354">
        <v>610</v>
      </c>
      <c r="H6354" t="s">
        <v>104</v>
      </c>
      <c r="I6354">
        <v>6</v>
      </c>
      <c r="J6354" t="s">
        <v>101</v>
      </c>
    </row>
    <row r="6355" spans="1:10" x14ac:dyDescent="0.25">
      <c r="A6355" t="s">
        <v>150</v>
      </c>
      <c r="B6355">
        <f>67008.8380084675*(1/100/100)</f>
        <v>6.7008838008467508</v>
      </c>
      <c r="C6355">
        <v>66425</v>
      </c>
      <c r="D6355" t="s">
        <v>2778</v>
      </c>
      <c r="E6355">
        <v>61017</v>
      </c>
      <c r="F6355" t="s">
        <v>1552</v>
      </c>
      <c r="G6355">
        <v>610</v>
      </c>
      <c r="H6355" t="s">
        <v>104</v>
      </c>
      <c r="I6355">
        <v>6</v>
      </c>
      <c r="J6355" t="s">
        <v>101</v>
      </c>
    </row>
    <row r="6356" spans="1:10" x14ac:dyDescent="0.25">
      <c r="A6356" t="s">
        <v>150</v>
      </c>
      <c r="B6356">
        <f>55079.824222347*(1/100/100)</f>
        <v>5.5079824222347007</v>
      </c>
      <c r="C6356">
        <v>66426</v>
      </c>
      <c r="D6356" t="s">
        <v>6368</v>
      </c>
      <c r="E6356">
        <v>61017</v>
      </c>
      <c r="F6356" t="s">
        <v>1552</v>
      </c>
      <c r="G6356">
        <v>610</v>
      </c>
      <c r="H6356" t="s">
        <v>104</v>
      </c>
      <c r="I6356">
        <v>6</v>
      </c>
      <c r="J6356" t="s">
        <v>101</v>
      </c>
    </row>
    <row r="6357" spans="1:10" x14ac:dyDescent="0.25">
      <c r="A6357" t="s">
        <v>150</v>
      </c>
      <c r="B6357">
        <f>88567.910040046*(1/100/100)</f>
        <v>8.8567910040046005</v>
      </c>
      <c r="C6357">
        <v>66427</v>
      </c>
      <c r="D6357" t="s">
        <v>6451</v>
      </c>
      <c r="E6357">
        <v>61059</v>
      </c>
      <c r="F6357" t="s">
        <v>1569</v>
      </c>
      <c r="G6357">
        <v>610</v>
      </c>
      <c r="H6357" t="s">
        <v>104</v>
      </c>
      <c r="I6357">
        <v>6</v>
      </c>
      <c r="J6357" t="s">
        <v>101</v>
      </c>
    </row>
    <row r="6358" spans="1:10" x14ac:dyDescent="0.25">
      <c r="A6358" t="s">
        <v>150</v>
      </c>
      <c r="B6358">
        <f>60765.9975856665*(1/100/100)</f>
        <v>6.0765997585666502</v>
      </c>
      <c r="C6358">
        <v>66428</v>
      </c>
      <c r="D6358" t="s">
        <v>6452</v>
      </c>
      <c r="E6358">
        <v>61059</v>
      </c>
      <c r="F6358" t="s">
        <v>1569</v>
      </c>
      <c r="G6358">
        <v>610</v>
      </c>
      <c r="H6358" t="s">
        <v>104</v>
      </c>
      <c r="I6358">
        <v>6</v>
      </c>
      <c r="J6358" t="s">
        <v>101</v>
      </c>
    </row>
    <row r="6359" spans="1:10" x14ac:dyDescent="0.25">
      <c r="A6359" t="s">
        <v>150</v>
      </c>
      <c r="B6359">
        <f>48484.0926488309*(1/100/100)</f>
        <v>4.8484092648830899</v>
      </c>
      <c r="C6359">
        <v>66429</v>
      </c>
      <c r="D6359" t="s">
        <v>6453</v>
      </c>
      <c r="E6359">
        <v>61059</v>
      </c>
      <c r="F6359" t="s">
        <v>1569</v>
      </c>
      <c r="G6359">
        <v>610</v>
      </c>
      <c r="H6359" t="s">
        <v>104</v>
      </c>
      <c r="I6359">
        <v>6</v>
      </c>
      <c r="J6359" t="s">
        <v>101</v>
      </c>
    </row>
    <row r="6360" spans="1:10" x14ac:dyDescent="0.25">
      <c r="A6360" t="s">
        <v>150</v>
      </c>
      <c r="B6360">
        <f>150824.290398032*(1/100/100)</f>
        <v>15.0824290398032</v>
      </c>
      <c r="C6360">
        <v>66430</v>
      </c>
      <c r="D6360" t="s">
        <v>4359</v>
      </c>
      <c r="E6360">
        <v>61059</v>
      </c>
      <c r="F6360" t="s">
        <v>1569</v>
      </c>
      <c r="G6360">
        <v>610</v>
      </c>
      <c r="H6360" t="s">
        <v>104</v>
      </c>
      <c r="I6360">
        <v>6</v>
      </c>
      <c r="J6360" t="s">
        <v>101</v>
      </c>
    </row>
    <row r="6361" spans="1:10" x14ac:dyDescent="0.25">
      <c r="A6361" t="s">
        <v>150</v>
      </c>
      <c r="B6361">
        <f>152755.372205574*(1/100/100)</f>
        <v>15.275537220557402</v>
      </c>
      <c r="C6361">
        <v>66431</v>
      </c>
      <c r="D6361" t="s">
        <v>1569</v>
      </c>
      <c r="E6361">
        <v>61059</v>
      </c>
      <c r="F6361" t="s">
        <v>1569</v>
      </c>
      <c r="G6361">
        <v>610</v>
      </c>
      <c r="H6361" t="s">
        <v>104</v>
      </c>
      <c r="I6361">
        <v>6</v>
      </c>
      <c r="J6361" t="s">
        <v>101</v>
      </c>
    </row>
    <row r="6362" spans="1:10" x14ac:dyDescent="0.25">
      <c r="A6362" t="s">
        <v>150</v>
      </c>
      <c r="B6362">
        <f>111317.863381507*(1/100/100)</f>
        <v>11.1317863381507</v>
      </c>
      <c r="C6362">
        <v>66432</v>
      </c>
      <c r="D6362" t="s">
        <v>47</v>
      </c>
      <c r="E6362">
        <v>61057</v>
      </c>
      <c r="F6362" t="s">
        <v>1568</v>
      </c>
      <c r="G6362">
        <v>610</v>
      </c>
      <c r="H6362" t="s">
        <v>104</v>
      </c>
      <c r="I6362">
        <v>6</v>
      </c>
      <c r="J6362" t="s">
        <v>101</v>
      </c>
    </row>
    <row r="6363" spans="1:10" x14ac:dyDescent="0.25">
      <c r="A6363" t="s">
        <v>150</v>
      </c>
      <c r="B6363">
        <f>49709.944082062*(1/100/100)</f>
        <v>4.9709944082062005</v>
      </c>
      <c r="C6363">
        <v>66434</v>
      </c>
      <c r="D6363" t="s">
        <v>6428</v>
      </c>
      <c r="E6363">
        <v>61052</v>
      </c>
      <c r="F6363" t="s">
        <v>1565</v>
      </c>
      <c r="G6363">
        <v>610</v>
      </c>
      <c r="H6363" t="s">
        <v>104</v>
      </c>
      <c r="I6363">
        <v>6</v>
      </c>
      <c r="J6363" t="s">
        <v>101</v>
      </c>
    </row>
    <row r="6364" spans="1:10" x14ac:dyDescent="0.25">
      <c r="A6364" t="s">
        <v>150</v>
      </c>
      <c r="B6364">
        <f>37293.3624384512*(1/100/100)</f>
        <v>3.7293362438451201</v>
      </c>
      <c r="C6364">
        <v>66435</v>
      </c>
      <c r="D6364" t="s">
        <v>6449</v>
      </c>
      <c r="E6364">
        <v>61057</v>
      </c>
      <c r="F6364" t="s">
        <v>1568</v>
      </c>
      <c r="G6364">
        <v>610</v>
      </c>
      <c r="H6364" t="s">
        <v>104</v>
      </c>
      <c r="I6364">
        <v>6</v>
      </c>
      <c r="J6364" t="s">
        <v>101</v>
      </c>
    </row>
    <row r="6365" spans="1:10" x14ac:dyDescent="0.25">
      <c r="A6365" t="s">
        <v>150</v>
      </c>
      <c r="B6365">
        <f>230102.985101108*(1/100/100)</f>
        <v>23.0102985101108</v>
      </c>
      <c r="C6365">
        <v>67001</v>
      </c>
      <c r="D6365" t="s">
        <v>1588</v>
      </c>
      <c r="E6365">
        <v>61204</v>
      </c>
      <c r="F6365" t="s">
        <v>1588</v>
      </c>
      <c r="G6365">
        <v>612</v>
      </c>
      <c r="H6365" t="s">
        <v>106</v>
      </c>
      <c r="I6365">
        <v>6</v>
      </c>
      <c r="J6365" t="s">
        <v>101</v>
      </c>
    </row>
    <row r="6366" spans="1:10" x14ac:dyDescent="0.25">
      <c r="A6366" t="s">
        <v>150</v>
      </c>
      <c r="B6366">
        <f>103029.493248681*(1/100/100)</f>
        <v>10.3029493248681</v>
      </c>
      <c r="C6366">
        <v>67002</v>
      </c>
      <c r="D6366" t="s">
        <v>1591</v>
      </c>
      <c r="E6366">
        <v>61207</v>
      </c>
      <c r="F6366" t="s">
        <v>1591</v>
      </c>
      <c r="G6366">
        <v>612</v>
      </c>
      <c r="H6366" t="s">
        <v>106</v>
      </c>
      <c r="I6366">
        <v>6</v>
      </c>
      <c r="J6366" t="s">
        <v>101</v>
      </c>
    </row>
    <row r="6367" spans="1:10" x14ac:dyDescent="0.25">
      <c r="A6367" t="s">
        <v>150</v>
      </c>
      <c r="B6367">
        <f>160280.945725469*(1/100/100)</f>
        <v>16.028094572546902</v>
      </c>
      <c r="C6367">
        <v>67003</v>
      </c>
      <c r="D6367" t="s">
        <v>1593</v>
      </c>
      <c r="E6367">
        <v>61215</v>
      </c>
      <c r="F6367" t="s">
        <v>1593</v>
      </c>
      <c r="G6367">
        <v>612</v>
      </c>
      <c r="H6367" t="s">
        <v>106</v>
      </c>
      <c r="I6367">
        <v>6</v>
      </c>
      <c r="J6367" t="s">
        <v>101</v>
      </c>
    </row>
    <row r="6368" spans="1:10" x14ac:dyDescent="0.25">
      <c r="A6368" t="s">
        <v>150</v>
      </c>
      <c r="B6368">
        <f>138480.037498657*(1/100/100)</f>
        <v>13.848003749865702</v>
      </c>
      <c r="C6368">
        <v>67004</v>
      </c>
      <c r="D6368" t="s">
        <v>6538</v>
      </c>
      <c r="E6368">
        <v>61255</v>
      </c>
      <c r="F6368" t="s">
        <v>1603</v>
      </c>
      <c r="G6368">
        <v>612</v>
      </c>
      <c r="H6368" t="s">
        <v>106</v>
      </c>
      <c r="I6368">
        <v>6</v>
      </c>
      <c r="J6368" t="s">
        <v>101</v>
      </c>
    </row>
    <row r="6369" spans="1:10" x14ac:dyDescent="0.25">
      <c r="A6369" t="s">
        <v>150</v>
      </c>
      <c r="B6369">
        <f>30204.2072421827*(1/100/100)</f>
        <v>3.0204207242182699</v>
      </c>
      <c r="C6369">
        <v>67005</v>
      </c>
      <c r="D6369" t="s">
        <v>6525</v>
      </c>
      <c r="E6369">
        <v>61204</v>
      </c>
      <c r="F6369" t="s">
        <v>1588</v>
      </c>
      <c r="G6369">
        <v>612</v>
      </c>
      <c r="H6369" t="s">
        <v>106</v>
      </c>
      <c r="I6369">
        <v>6</v>
      </c>
      <c r="J6369" t="s">
        <v>101</v>
      </c>
    </row>
    <row r="6370" spans="1:10" x14ac:dyDescent="0.25">
      <c r="A6370" t="s">
        <v>150</v>
      </c>
      <c r="B6370">
        <f>278345.607272777*(1/100/100)</f>
        <v>27.834560727277701</v>
      </c>
      <c r="C6370">
        <v>67006</v>
      </c>
      <c r="D6370" t="s">
        <v>3121</v>
      </c>
      <c r="E6370">
        <v>61255</v>
      </c>
      <c r="F6370" t="s">
        <v>1603</v>
      </c>
      <c r="G6370">
        <v>612</v>
      </c>
      <c r="H6370" t="s">
        <v>106</v>
      </c>
      <c r="I6370">
        <v>6</v>
      </c>
      <c r="J6370" t="s">
        <v>101</v>
      </c>
    </row>
    <row r="6371" spans="1:10" x14ac:dyDescent="0.25">
      <c r="A6371" t="s">
        <v>150</v>
      </c>
      <c r="B6371">
        <f>52601.1175375532*(1/100/100)</f>
        <v>5.2601117537553197</v>
      </c>
      <c r="C6371">
        <v>67007</v>
      </c>
      <c r="D6371" t="s">
        <v>6527</v>
      </c>
      <c r="E6371">
        <v>61207</v>
      </c>
      <c r="F6371" t="s">
        <v>1591</v>
      </c>
      <c r="G6371">
        <v>612</v>
      </c>
      <c r="H6371" t="s">
        <v>106</v>
      </c>
      <c r="I6371">
        <v>6</v>
      </c>
      <c r="J6371" t="s">
        <v>101</v>
      </c>
    </row>
    <row r="6372" spans="1:10" x14ac:dyDescent="0.25">
      <c r="A6372" t="s">
        <v>150</v>
      </c>
      <c r="B6372">
        <f>121172.876517417*(1/100/100)</f>
        <v>12.1172876517417</v>
      </c>
      <c r="C6372">
        <v>67008</v>
      </c>
      <c r="D6372" t="s">
        <v>5433</v>
      </c>
      <c r="E6372">
        <v>61255</v>
      </c>
      <c r="F6372" t="s">
        <v>1603</v>
      </c>
      <c r="G6372">
        <v>612</v>
      </c>
      <c r="H6372" t="s">
        <v>106</v>
      </c>
      <c r="I6372">
        <v>6</v>
      </c>
      <c r="J6372" t="s">
        <v>101</v>
      </c>
    </row>
    <row r="6373" spans="1:10" x14ac:dyDescent="0.25">
      <c r="A6373" t="s">
        <v>150</v>
      </c>
      <c r="B6373">
        <f>177288.179611355*(1/100/100)</f>
        <v>17.728817961135501</v>
      </c>
      <c r="C6373">
        <v>67009</v>
      </c>
      <c r="D6373" t="s">
        <v>2619</v>
      </c>
      <c r="E6373">
        <v>61207</v>
      </c>
      <c r="F6373" t="s">
        <v>1591</v>
      </c>
      <c r="G6373">
        <v>612</v>
      </c>
      <c r="H6373" t="s">
        <v>106</v>
      </c>
      <c r="I6373">
        <v>6</v>
      </c>
      <c r="J6373" t="s">
        <v>101</v>
      </c>
    </row>
    <row r="6374" spans="1:10" x14ac:dyDescent="0.25">
      <c r="A6374" t="s">
        <v>150</v>
      </c>
      <c r="B6374">
        <f>206940.090919252*(1/100/100)</f>
        <v>20.694009091925199</v>
      </c>
      <c r="C6374">
        <v>67010</v>
      </c>
      <c r="D6374" t="s">
        <v>6528</v>
      </c>
      <c r="E6374">
        <v>61207</v>
      </c>
      <c r="F6374" t="s">
        <v>1591</v>
      </c>
      <c r="G6374">
        <v>612</v>
      </c>
      <c r="H6374" t="s">
        <v>106</v>
      </c>
      <c r="I6374">
        <v>6</v>
      </c>
      <c r="J6374" t="s">
        <v>101</v>
      </c>
    </row>
    <row r="6375" spans="1:10" x14ac:dyDescent="0.25">
      <c r="A6375" t="s">
        <v>150</v>
      </c>
      <c r="B6375">
        <f>57616.0894183245*(1/100/100)</f>
        <v>5.7616089418324501</v>
      </c>
      <c r="C6375">
        <v>67101</v>
      </c>
      <c r="D6375" t="s">
        <v>2535</v>
      </c>
      <c r="E6375">
        <v>61205</v>
      </c>
      <c r="F6375" t="s">
        <v>1589</v>
      </c>
      <c r="G6375">
        <v>612</v>
      </c>
      <c r="H6375" t="s">
        <v>106</v>
      </c>
      <c r="I6375">
        <v>6</v>
      </c>
      <c r="J6375" t="s">
        <v>101</v>
      </c>
    </row>
    <row r="6376" spans="1:10" x14ac:dyDescent="0.25">
      <c r="A6376" t="s">
        <v>150</v>
      </c>
      <c r="B6376">
        <f>15133.8707498524*(1/100/100)</f>
        <v>1.5133870749852401</v>
      </c>
      <c r="C6376">
        <v>67102</v>
      </c>
      <c r="D6376" t="s">
        <v>6564</v>
      </c>
      <c r="E6376">
        <v>61264</v>
      </c>
      <c r="F6376" t="s">
        <v>1611</v>
      </c>
      <c r="G6376">
        <v>612</v>
      </c>
      <c r="H6376" t="s">
        <v>106</v>
      </c>
      <c r="I6376">
        <v>6</v>
      </c>
      <c r="J6376" t="s">
        <v>101</v>
      </c>
    </row>
    <row r="6377" spans="1:10" x14ac:dyDescent="0.25">
      <c r="A6377" t="s">
        <v>150</v>
      </c>
      <c r="B6377">
        <f>39838.8159987661*(1/100/100)</f>
        <v>3.9838815998766099</v>
      </c>
      <c r="C6377">
        <v>67103</v>
      </c>
      <c r="D6377" t="s">
        <v>6526</v>
      </c>
      <c r="E6377">
        <v>61205</v>
      </c>
      <c r="F6377" t="s">
        <v>1589</v>
      </c>
      <c r="G6377">
        <v>612</v>
      </c>
      <c r="H6377" t="s">
        <v>106</v>
      </c>
      <c r="I6377">
        <v>6</v>
      </c>
      <c r="J6377" t="s">
        <v>101</v>
      </c>
    </row>
    <row r="6378" spans="1:10" x14ac:dyDescent="0.25">
      <c r="A6378" t="s">
        <v>150</v>
      </c>
      <c r="B6378">
        <f>67913.814513177*(1/100/100)</f>
        <v>6.7913814513177</v>
      </c>
      <c r="C6378">
        <v>67104</v>
      </c>
      <c r="D6378" t="s">
        <v>6164</v>
      </c>
      <c r="E6378">
        <v>61258</v>
      </c>
      <c r="F6378" t="s">
        <v>1606</v>
      </c>
      <c r="G6378">
        <v>612</v>
      </c>
      <c r="H6378" t="s">
        <v>106</v>
      </c>
      <c r="I6378">
        <v>6</v>
      </c>
      <c r="J6378" t="s">
        <v>101</v>
      </c>
    </row>
    <row r="6379" spans="1:10" x14ac:dyDescent="0.25">
      <c r="A6379" t="s">
        <v>150</v>
      </c>
      <c r="B6379">
        <f>13357.3406544858*(1/100/100)</f>
        <v>1.3357340654485801</v>
      </c>
      <c r="C6379">
        <v>67105</v>
      </c>
      <c r="D6379" t="s">
        <v>6551</v>
      </c>
      <c r="E6379">
        <v>61258</v>
      </c>
      <c r="F6379" t="s">
        <v>1606</v>
      </c>
      <c r="G6379">
        <v>612</v>
      </c>
      <c r="H6379" t="s">
        <v>106</v>
      </c>
      <c r="I6379">
        <v>6</v>
      </c>
      <c r="J6379" t="s">
        <v>101</v>
      </c>
    </row>
    <row r="6380" spans="1:10" x14ac:dyDescent="0.25">
      <c r="A6380" t="s">
        <v>150</v>
      </c>
      <c r="B6380">
        <f>164959.500613939*(1/100/100)</f>
        <v>16.495950061393899</v>
      </c>
      <c r="C6380">
        <v>67106</v>
      </c>
      <c r="D6380" t="s">
        <v>1606</v>
      </c>
      <c r="E6380">
        <v>61258</v>
      </c>
      <c r="F6380" t="s">
        <v>1606</v>
      </c>
      <c r="G6380">
        <v>612</v>
      </c>
      <c r="H6380" t="s">
        <v>106</v>
      </c>
      <c r="I6380">
        <v>6</v>
      </c>
      <c r="J6380" t="s">
        <v>101</v>
      </c>
    </row>
    <row r="6381" spans="1:10" x14ac:dyDescent="0.25">
      <c r="A6381" t="s">
        <v>150</v>
      </c>
      <c r="B6381">
        <f>73685.5850144756*(1/100/100)</f>
        <v>7.3685585014475601</v>
      </c>
      <c r="C6381">
        <v>67107</v>
      </c>
      <c r="D6381" t="s">
        <v>3740</v>
      </c>
      <c r="E6381">
        <v>61264</v>
      </c>
      <c r="F6381" t="s">
        <v>1611</v>
      </c>
      <c r="G6381">
        <v>612</v>
      </c>
      <c r="H6381" t="s">
        <v>106</v>
      </c>
      <c r="I6381">
        <v>6</v>
      </c>
      <c r="J6381" t="s">
        <v>101</v>
      </c>
    </row>
    <row r="6382" spans="1:10" x14ac:dyDescent="0.25">
      <c r="A6382" t="s">
        <v>150</v>
      </c>
      <c r="B6382">
        <f>54339.83000604*(1/100/100)</f>
        <v>5.433983000604</v>
      </c>
      <c r="C6382">
        <v>67108</v>
      </c>
      <c r="D6382" t="s">
        <v>6552</v>
      </c>
      <c r="E6382">
        <v>61258</v>
      </c>
      <c r="F6382" t="s">
        <v>1606</v>
      </c>
      <c r="G6382">
        <v>612</v>
      </c>
      <c r="H6382" t="s">
        <v>106</v>
      </c>
      <c r="I6382">
        <v>6</v>
      </c>
      <c r="J6382" t="s">
        <v>101</v>
      </c>
    </row>
    <row r="6383" spans="1:10" x14ac:dyDescent="0.25">
      <c r="A6383" t="s">
        <v>150</v>
      </c>
      <c r="B6383">
        <f>19290.6491053802*(1/100/100)</f>
        <v>1.92906491053802</v>
      </c>
      <c r="C6383">
        <v>67109</v>
      </c>
      <c r="D6383" t="s">
        <v>6565</v>
      </c>
      <c r="E6383">
        <v>61264</v>
      </c>
      <c r="F6383" t="s">
        <v>1611</v>
      </c>
      <c r="G6383">
        <v>612</v>
      </c>
      <c r="H6383" t="s">
        <v>106</v>
      </c>
      <c r="I6383">
        <v>6</v>
      </c>
      <c r="J6383" t="s">
        <v>101</v>
      </c>
    </row>
    <row r="6384" spans="1:10" x14ac:dyDescent="0.25">
      <c r="A6384" t="s">
        <v>150</v>
      </c>
      <c r="B6384">
        <f>69054.2780872622*(1/100/100)</f>
        <v>6.9054278087262198</v>
      </c>
      <c r="C6384">
        <v>67110</v>
      </c>
      <c r="D6384" t="s">
        <v>6566</v>
      </c>
      <c r="E6384">
        <v>61264</v>
      </c>
      <c r="F6384" t="s">
        <v>1611</v>
      </c>
      <c r="G6384">
        <v>612</v>
      </c>
      <c r="H6384" t="s">
        <v>106</v>
      </c>
      <c r="I6384">
        <v>6</v>
      </c>
      <c r="J6384" t="s">
        <v>101</v>
      </c>
    </row>
    <row r="6385" spans="1:10" x14ac:dyDescent="0.25">
      <c r="A6385" t="s">
        <v>150</v>
      </c>
      <c r="B6385">
        <f>58515.8819296439*(1/100/100)</f>
        <v>5.8515881929643907</v>
      </c>
      <c r="C6385">
        <v>67111</v>
      </c>
      <c r="D6385" t="s">
        <v>6567</v>
      </c>
      <c r="E6385">
        <v>61264</v>
      </c>
      <c r="F6385" t="s">
        <v>1611</v>
      </c>
      <c r="G6385">
        <v>612</v>
      </c>
      <c r="H6385" t="s">
        <v>106</v>
      </c>
      <c r="I6385">
        <v>6</v>
      </c>
      <c r="J6385" t="s">
        <v>101</v>
      </c>
    </row>
    <row r="6386" spans="1:10" x14ac:dyDescent="0.25">
      <c r="A6386" t="s">
        <v>150</v>
      </c>
      <c r="B6386">
        <f>81757.0660781868*(1/100/100)</f>
        <v>8.1757066078186806</v>
      </c>
      <c r="C6386">
        <v>67112</v>
      </c>
      <c r="D6386" t="s">
        <v>1599</v>
      </c>
      <c r="E6386">
        <v>61251</v>
      </c>
      <c r="F6386" t="s">
        <v>1599</v>
      </c>
      <c r="G6386">
        <v>612</v>
      </c>
      <c r="H6386" t="s">
        <v>106</v>
      </c>
      <c r="I6386">
        <v>6</v>
      </c>
      <c r="J6386" t="s">
        <v>101</v>
      </c>
    </row>
    <row r="6387" spans="1:10" x14ac:dyDescent="0.25">
      <c r="A6387" t="s">
        <v>150</v>
      </c>
      <c r="B6387">
        <f>6885.42912131151*(1/100/100)</f>
        <v>0.68854291213115104</v>
      </c>
      <c r="C6387">
        <v>67113</v>
      </c>
      <c r="D6387" t="s">
        <v>6568</v>
      </c>
      <c r="E6387">
        <v>61264</v>
      </c>
      <c r="F6387" t="s">
        <v>1611</v>
      </c>
      <c r="G6387">
        <v>612</v>
      </c>
      <c r="H6387" t="s">
        <v>106</v>
      </c>
      <c r="I6387">
        <v>6</v>
      </c>
      <c r="J6387" t="s">
        <v>101</v>
      </c>
    </row>
    <row r="6388" spans="1:10" x14ac:dyDescent="0.25">
      <c r="A6388" t="s">
        <v>150</v>
      </c>
      <c r="B6388">
        <f>29244.6858518183*(1/100/100)</f>
        <v>2.9244685851818302</v>
      </c>
      <c r="C6388">
        <v>67201</v>
      </c>
      <c r="D6388" t="s">
        <v>6558</v>
      </c>
      <c r="E6388">
        <v>61261</v>
      </c>
      <c r="F6388" t="s">
        <v>1608</v>
      </c>
      <c r="G6388">
        <v>612</v>
      </c>
      <c r="H6388" t="s">
        <v>106</v>
      </c>
      <c r="I6388">
        <v>6</v>
      </c>
      <c r="J6388" t="s">
        <v>101</v>
      </c>
    </row>
    <row r="6389" spans="1:10" x14ac:dyDescent="0.25">
      <c r="A6389" t="s">
        <v>150</v>
      </c>
      <c r="B6389">
        <f>309143.234479241*(1/100/100)</f>
        <v>30.914323447924104</v>
      </c>
      <c r="C6389">
        <v>67202</v>
      </c>
      <c r="D6389" t="s">
        <v>1592</v>
      </c>
      <c r="E6389">
        <v>61213</v>
      </c>
      <c r="F6389" t="s">
        <v>1592</v>
      </c>
      <c r="G6389">
        <v>612</v>
      </c>
      <c r="H6389" t="s">
        <v>106</v>
      </c>
      <c r="I6389">
        <v>6</v>
      </c>
      <c r="J6389" t="s">
        <v>101</v>
      </c>
    </row>
    <row r="6390" spans="1:10" x14ac:dyDescent="0.25">
      <c r="A6390" t="s">
        <v>150</v>
      </c>
      <c r="B6390">
        <f>65986.2561135536*(1/100/100)</f>
        <v>6.5986256113553594</v>
      </c>
      <c r="C6390">
        <v>67203</v>
      </c>
      <c r="D6390" t="s">
        <v>6572</v>
      </c>
      <c r="E6390">
        <v>61266</v>
      </c>
      <c r="F6390" t="s">
        <v>1613</v>
      </c>
      <c r="G6390">
        <v>612</v>
      </c>
      <c r="H6390" t="s">
        <v>106</v>
      </c>
      <c r="I6390">
        <v>6</v>
      </c>
      <c r="J6390" t="s">
        <v>101</v>
      </c>
    </row>
    <row r="6391" spans="1:10" x14ac:dyDescent="0.25">
      <c r="A6391" t="s">
        <v>150</v>
      </c>
      <c r="B6391">
        <f>90714.0815474389*(1/100/100)</f>
        <v>9.0714081547438905</v>
      </c>
      <c r="C6391">
        <v>67204</v>
      </c>
      <c r="D6391" t="s">
        <v>6573</v>
      </c>
      <c r="E6391">
        <v>61266</v>
      </c>
      <c r="F6391" t="s">
        <v>1613</v>
      </c>
      <c r="G6391">
        <v>612</v>
      </c>
      <c r="H6391" t="s">
        <v>106</v>
      </c>
      <c r="I6391">
        <v>6</v>
      </c>
      <c r="J6391" t="s">
        <v>101</v>
      </c>
    </row>
    <row r="6392" spans="1:10" x14ac:dyDescent="0.25">
      <c r="A6392" t="s">
        <v>150</v>
      </c>
      <c r="B6392">
        <f>29458.1968194064*(1/100/100)</f>
        <v>2.9458196819406401</v>
      </c>
      <c r="C6392">
        <v>67205</v>
      </c>
      <c r="D6392" t="s">
        <v>6080</v>
      </c>
      <c r="E6392">
        <v>61261</v>
      </c>
      <c r="F6392" t="s">
        <v>1608</v>
      </c>
      <c r="G6392">
        <v>612</v>
      </c>
      <c r="H6392" t="s">
        <v>106</v>
      </c>
      <c r="I6392">
        <v>6</v>
      </c>
      <c r="J6392" t="s">
        <v>101</v>
      </c>
    </row>
    <row r="6393" spans="1:10" x14ac:dyDescent="0.25">
      <c r="A6393" t="s">
        <v>150</v>
      </c>
      <c r="B6393">
        <f>73166.5553944848*(1/100/100)</f>
        <v>7.3166555394484813</v>
      </c>
      <c r="C6393">
        <v>67206</v>
      </c>
      <c r="D6393" t="s">
        <v>6556</v>
      </c>
      <c r="E6393">
        <v>61260</v>
      </c>
      <c r="F6393" t="s">
        <v>1607</v>
      </c>
      <c r="G6393">
        <v>612</v>
      </c>
      <c r="H6393" t="s">
        <v>106</v>
      </c>
      <c r="I6393">
        <v>6</v>
      </c>
      <c r="J6393" t="s">
        <v>101</v>
      </c>
    </row>
    <row r="6394" spans="1:10" x14ac:dyDescent="0.25">
      <c r="A6394" t="s">
        <v>150</v>
      </c>
      <c r="B6394">
        <f>146949.257091796*(1/100/100)</f>
        <v>14.6949257091796</v>
      </c>
      <c r="C6394">
        <v>67207</v>
      </c>
      <c r="D6394" t="s">
        <v>3100</v>
      </c>
      <c r="E6394">
        <v>61261</v>
      </c>
      <c r="F6394" t="s">
        <v>1608</v>
      </c>
      <c r="G6394">
        <v>612</v>
      </c>
      <c r="H6394" t="s">
        <v>106</v>
      </c>
      <c r="I6394">
        <v>6</v>
      </c>
      <c r="J6394" t="s">
        <v>101</v>
      </c>
    </row>
    <row r="6395" spans="1:10" x14ac:dyDescent="0.25">
      <c r="A6395" t="s">
        <v>150</v>
      </c>
      <c r="B6395">
        <f>84551.24102428*(1/100/100)</f>
        <v>8.4551241024279999</v>
      </c>
      <c r="C6395">
        <v>67208</v>
      </c>
      <c r="D6395" t="s">
        <v>1609</v>
      </c>
      <c r="E6395">
        <v>61262</v>
      </c>
      <c r="F6395" t="s">
        <v>1609</v>
      </c>
      <c r="G6395">
        <v>612</v>
      </c>
      <c r="H6395" t="s">
        <v>106</v>
      </c>
      <c r="I6395">
        <v>6</v>
      </c>
      <c r="J6395" t="s">
        <v>101</v>
      </c>
    </row>
    <row r="6396" spans="1:10" x14ac:dyDescent="0.25">
      <c r="A6396" t="s">
        <v>150</v>
      </c>
      <c r="B6396">
        <f>90953.6436063922*(1/100/100)</f>
        <v>9.0953643606392198</v>
      </c>
      <c r="C6396">
        <v>67209</v>
      </c>
      <c r="D6396" t="s">
        <v>6557</v>
      </c>
      <c r="E6396">
        <v>61260</v>
      </c>
      <c r="F6396" t="s">
        <v>1607</v>
      </c>
      <c r="G6396">
        <v>612</v>
      </c>
      <c r="H6396" t="s">
        <v>106</v>
      </c>
      <c r="I6396">
        <v>6</v>
      </c>
      <c r="J6396" t="s">
        <v>101</v>
      </c>
    </row>
    <row r="6397" spans="1:10" x14ac:dyDescent="0.25">
      <c r="A6397" t="s">
        <v>150</v>
      </c>
      <c r="B6397">
        <f>57363.1167142795*(1/100/100)</f>
        <v>5.7363116714279503</v>
      </c>
      <c r="C6397">
        <v>67210</v>
      </c>
      <c r="D6397" t="s">
        <v>2218</v>
      </c>
      <c r="E6397">
        <v>61261</v>
      </c>
      <c r="F6397" t="s">
        <v>1608</v>
      </c>
      <c r="G6397">
        <v>612</v>
      </c>
      <c r="H6397" t="s">
        <v>106</v>
      </c>
      <c r="I6397">
        <v>6</v>
      </c>
      <c r="J6397" t="s">
        <v>101</v>
      </c>
    </row>
    <row r="6398" spans="1:10" x14ac:dyDescent="0.25">
      <c r="A6398" t="s">
        <v>150</v>
      </c>
      <c r="B6398">
        <f>78725.444102617*(1/100/100)</f>
        <v>7.8725444102616997</v>
      </c>
      <c r="C6398">
        <v>67211</v>
      </c>
      <c r="D6398" t="s">
        <v>2397</v>
      </c>
      <c r="E6398">
        <v>61266</v>
      </c>
      <c r="F6398" t="s">
        <v>1613</v>
      </c>
      <c r="G6398">
        <v>612</v>
      </c>
      <c r="H6398" t="s">
        <v>106</v>
      </c>
      <c r="I6398">
        <v>6</v>
      </c>
      <c r="J6398" t="s">
        <v>101</v>
      </c>
    </row>
    <row r="6399" spans="1:10" x14ac:dyDescent="0.25">
      <c r="A6399" t="s">
        <v>150</v>
      </c>
      <c r="B6399">
        <f>50681.2542805187*(1/100/100)</f>
        <v>5.0681254280518697</v>
      </c>
      <c r="C6399">
        <v>67212</v>
      </c>
      <c r="D6399" t="s">
        <v>2607</v>
      </c>
      <c r="E6399">
        <v>61262</v>
      </c>
      <c r="F6399" t="s">
        <v>1609</v>
      </c>
      <c r="G6399">
        <v>612</v>
      </c>
      <c r="H6399" t="s">
        <v>106</v>
      </c>
      <c r="I6399">
        <v>6</v>
      </c>
      <c r="J6399" t="s">
        <v>101</v>
      </c>
    </row>
    <row r="6400" spans="1:10" x14ac:dyDescent="0.25">
      <c r="A6400" t="s">
        <v>150</v>
      </c>
      <c r="B6400">
        <f>122992.196895029*(1/100/100)</f>
        <v>12.2992196895029</v>
      </c>
      <c r="C6400">
        <v>67301</v>
      </c>
      <c r="D6400" t="s">
        <v>3700</v>
      </c>
      <c r="E6400">
        <v>61203</v>
      </c>
      <c r="F6400" t="s">
        <v>1587</v>
      </c>
      <c r="G6400">
        <v>612</v>
      </c>
      <c r="H6400" t="s">
        <v>106</v>
      </c>
      <c r="I6400">
        <v>6</v>
      </c>
      <c r="J6400" t="s">
        <v>101</v>
      </c>
    </row>
    <row r="6401" spans="1:10" x14ac:dyDescent="0.25">
      <c r="A6401" t="s">
        <v>150</v>
      </c>
      <c r="B6401">
        <f>60658.4430265114*(1/100/100)</f>
        <v>6.0658443026511399</v>
      </c>
      <c r="C6401">
        <v>67302</v>
      </c>
      <c r="D6401" t="s">
        <v>6543</v>
      </c>
      <c r="E6401">
        <v>61257</v>
      </c>
      <c r="F6401" t="s">
        <v>1605</v>
      </c>
      <c r="G6401">
        <v>612</v>
      </c>
      <c r="H6401" t="s">
        <v>106</v>
      </c>
      <c r="I6401">
        <v>6</v>
      </c>
      <c r="J6401" t="s">
        <v>101</v>
      </c>
    </row>
    <row r="6402" spans="1:10" x14ac:dyDescent="0.25">
      <c r="A6402" t="s">
        <v>150</v>
      </c>
      <c r="B6402">
        <f>51658.6923791733*(1/100/100)</f>
        <v>5.1658692379173301</v>
      </c>
      <c r="C6402">
        <v>67303</v>
      </c>
      <c r="D6402" t="s">
        <v>6544</v>
      </c>
      <c r="E6402">
        <v>61257</v>
      </c>
      <c r="F6402" t="s">
        <v>1605</v>
      </c>
      <c r="G6402">
        <v>612</v>
      </c>
      <c r="H6402" t="s">
        <v>106</v>
      </c>
      <c r="I6402">
        <v>6</v>
      </c>
      <c r="J6402" t="s">
        <v>101</v>
      </c>
    </row>
    <row r="6403" spans="1:10" x14ac:dyDescent="0.25">
      <c r="A6403" t="s">
        <v>150</v>
      </c>
      <c r="B6403">
        <f>58815.3126034239*(1/100/100)</f>
        <v>5.8815312603423902</v>
      </c>
      <c r="C6403">
        <v>67304</v>
      </c>
      <c r="D6403" t="s">
        <v>6545</v>
      </c>
      <c r="E6403">
        <v>61257</v>
      </c>
      <c r="F6403" t="s">
        <v>1605</v>
      </c>
      <c r="G6403">
        <v>612</v>
      </c>
      <c r="H6403" t="s">
        <v>106</v>
      </c>
      <c r="I6403">
        <v>6</v>
      </c>
      <c r="J6403" t="s">
        <v>101</v>
      </c>
    </row>
    <row r="6404" spans="1:10" x14ac:dyDescent="0.25">
      <c r="A6404" t="s">
        <v>150</v>
      </c>
      <c r="B6404">
        <f>72714.8024107278*(1/100/100)</f>
        <v>7.2714802410727808</v>
      </c>
      <c r="C6404">
        <v>67305</v>
      </c>
      <c r="D6404" t="s">
        <v>6546</v>
      </c>
      <c r="E6404">
        <v>61257</v>
      </c>
      <c r="F6404" t="s">
        <v>1605</v>
      </c>
      <c r="G6404">
        <v>612</v>
      </c>
      <c r="H6404" t="s">
        <v>106</v>
      </c>
      <c r="I6404">
        <v>6</v>
      </c>
      <c r="J6404" t="s">
        <v>101</v>
      </c>
    </row>
    <row r="6405" spans="1:10" x14ac:dyDescent="0.25">
      <c r="A6405" t="s">
        <v>150</v>
      </c>
      <c r="B6405">
        <f>55000.5313080015*(1/100/100)</f>
        <v>5.5000531308001497</v>
      </c>
      <c r="C6405">
        <v>67306</v>
      </c>
      <c r="D6405" t="s">
        <v>6521</v>
      </c>
      <c r="E6405">
        <v>61203</v>
      </c>
      <c r="F6405" t="s">
        <v>1587</v>
      </c>
      <c r="G6405">
        <v>612</v>
      </c>
      <c r="H6405" t="s">
        <v>106</v>
      </c>
      <c r="I6405">
        <v>6</v>
      </c>
      <c r="J6405" t="s">
        <v>101</v>
      </c>
    </row>
    <row r="6406" spans="1:10" x14ac:dyDescent="0.25">
      <c r="A6406" t="s">
        <v>150</v>
      </c>
      <c r="B6406">
        <f>148596.739877435*(1/100/100)</f>
        <v>14.8596739877435</v>
      </c>
      <c r="C6406">
        <v>67307</v>
      </c>
      <c r="D6406" t="s">
        <v>6547</v>
      </c>
      <c r="E6406">
        <v>61257</v>
      </c>
      <c r="F6406" t="s">
        <v>1605</v>
      </c>
      <c r="G6406">
        <v>612</v>
      </c>
      <c r="H6406" t="s">
        <v>106</v>
      </c>
      <c r="I6406">
        <v>6</v>
      </c>
      <c r="J6406" t="s">
        <v>101</v>
      </c>
    </row>
    <row r="6407" spans="1:10" x14ac:dyDescent="0.25">
      <c r="A6407" t="s">
        <v>150</v>
      </c>
      <c r="B6407">
        <f>64873.2406719139*(1/100/100)</f>
        <v>6.4873240671913903</v>
      </c>
      <c r="C6407">
        <v>67308</v>
      </c>
      <c r="D6407" t="s">
        <v>6522</v>
      </c>
      <c r="E6407">
        <v>61203</v>
      </c>
      <c r="F6407" t="s">
        <v>1587</v>
      </c>
      <c r="G6407">
        <v>612</v>
      </c>
      <c r="H6407" t="s">
        <v>106</v>
      </c>
      <c r="I6407">
        <v>6</v>
      </c>
      <c r="J6407" t="s">
        <v>101</v>
      </c>
    </row>
    <row r="6408" spans="1:10" x14ac:dyDescent="0.25">
      <c r="A6408" t="s">
        <v>150</v>
      </c>
      <c r="B6408">
        <f>41876.7760745616*(1/100/100)</f>
        <v>4.1876776074561608</v>
      </c>
      <c r="C6408">
        <v>67309</v>
      </c>
      <c r="D6408" t="s">
        <v>6539</v>
      </c>
      <c r="E6408">
        <v>61255</v>
      </c>
      <c r="F6408" t="s">
        <v>1603</v>
      </c>
      <c r="G6408">
        <v>612</v>
      </c>
      <c r="H6408" t="s">
        <v>106</v>
      </c>
      <c r="I6408">
        <v>6</v>
      </c>
      <c r="J6408" t="s">
        <v>101</v>
      </c>
    </row>
    <row r="6409" spans="1:10" x14ac:dyDescent="0.25">
      <c r="A6409" t="s">
        <v>150</v>
      </c>
      <c r="B6409">
        <f>87138.1162655785*(1/100/100)</f>
        <v>8.7138116265578507</v>
      </c>
      <c r="C6409">
        <v>67310</v>
      </c>
      <c r="D6409" t="s">
        <v>6523</v>
      </c>
      <c r="E6409">
        <v>61203</v>
      </c>
      <c r="F6409" t="s">
        <v>1587</v>
      </c>
      <c r="G6409">
        <v>612</v>
      </c>
      <c r="H6409" t="s">
        <v>106</v>
      </c>
      <c r="I6409">
        <v>6</v>
      </c>
      <c r="J6409" t="s">
        <v>101</v>
      </c>
    </row>
    <row r="6410" spans="1:10" x14ac:dyDescent="0.25">
      <c r="A6410" t="s">
        <v>150</v>
      </c>
      <c r="B6410">
        <f>60531.6969707165*(1/100/100)</f>
        <v>6.0531696970716498</v>
      </c>
      <c r="C6410">
        <v>67311</v>
      </c>
      <c r="D6410" t="s">
        <v>441</v>
      </c>
      <c r="E6410">
        <v>61267</v>
      </c>
      <c r="F6410" t="s">
        <v>1614</v>
      </c>
      <c r="G6410">
        <v>612</v>
      </c>
      <c r="H6410" t="s">
        <v>106</v>
      </c>
      <c r="I6410">
        <v>6</v>
      </c>
      <c r="J6410" t="s">
        <v>101</v>
      </c>
    </row>
    <row r="6411" spans="1:10" x14ac:dyDescent="0.25">
      <c r="A6411" t="s">
        <v>150</v>
      </c>
      <c r="B6411">
        <f>77046.4131254542*(1/100/100)</f>
        <v>7.7046413125454203</v>
      </c>
      <c r="C6411">
        <v>67312</v>
      </c>
      <c r="D6411" t="s">
        <v>6559</v>
      </c>
      <c r="E6411">
        <v>61262</v>
      </c>
      <c r="F6411" t="s">
        <v>1609</v>
      </c>
      <c r="G6411">
        <v>612</v>
      </c>
      <c r="H6411" t="s">
        <v>106</v>
      </c>
      <c r="I6411">
        <v>6</v>
      </c>
      <c r="J6411" t="s">
        <v>101</v>
      </c>
    </row>
    <row r="6412" spans="1:10" x14ac:dyDescent="0.25">
      <c r="A6412" t="s">
        <v>150</v>
      </c>
      <c r="B6412">
        <f>24694.2380722029*(1/100/100)</f>
        <v>2.4694238072202901</v>
      </c>
      <c r="C6412">
        <v>67313</v>
      </c>
      <c r="D6412" t="s">
        <v>6574</v>
      </c>
      <c r="E6412">
        <v>61267</v>
      </c>
      <c r="F6412" t="s">
        <v>1614</v>
      </c>
      <c r="G6412">
        <v>612</v>
      </c>
      <c r="H6412" t="s">
        <v>106</v>
      </c>
      <c r="I6412">
        <v>6</v>
      </c>
      <c r="J6412" t="s">
        <v>101</v>
      </c>
    </row>
    <row r="6413" spans="1:10" x14ac:dyDescent="0.25">
      <c r="A6413" t="s">
        <v>150</v>
      </c>
      <c r="B6413">
        <f>61880.5371633438*(1/100/100)</f>
        <v>6.1880537163343803</v>
      </c>
      <c r="C6413">
        <v>67314</v>
      </c>
      <c r="D6413" t="s">
        <v>6548</v>
      </c>
      <c r="E6413">
        <v>61257</v>
      </c>
      <c r="F6413" t="s">
        <v>1605</v>
      </c>
      <c r="G6413">
        <v>612</v>
      </c>
      <c r="H6413" t="s">
        <v>106</v>
      </c>
      <c r="I6413">
        <v>6</v>
      </c>
      <c r="J6413" t="s">
        <v>101</v>
      </c>
    </row>
    <row r="6414" spans="1:10" x14ac:dyDescent="0.25">
      <c r="A6414" t="s">
        <v>150</v>
      </c>
      <c r="B6414">
        <f>182340.31360852*(1/100/100)</f>
        <v>18.234031360852001</v>
      </c>
      <c r="C6414">
        <v>67315</v>
      </c>
      <c r="D6414" t="s">
        <v>6575</v>
      </c>
      <c r="E6414">
        <v>61267</v>
      </c>
      <c r="F6414" t="s">
        <v>1614</v>
      </c>
      <c r="G6414">
        <v>612</v>
      </c>
      <c r="H6414" t="s">
        <v>106</v>
      </c>
      <c r="I6414">
        <v>6</v>
      </c>
      <c r="J6414" t="s">
        <v>101</v>
      </c>
    </row>
    <row r="6415" spans="1:10" x14ac:dyDescent="0.25">
      <c r="A6415" t="s">
        <v>150</v>
      </c>
      <c r="B6415">
        <f>97261.2102802486*(1/100/100)</f>
        <v>9.7261210280248616</v>
      </c>
      <c r="C6415">
        <v>67316</v>
      </c>
      <c r="D6415" t="s">
        <v>6540</v>
      </c>
      <c r="E6415">
        <v>61255</v>
      </c>
      <c r="F6415" t="s">
        <v>1603</v>
      </c>
      <c r="G6415">
        <v>612</v>
      </c>
      <c r="H6415" t="s">
        <v>106</v>
      </c>
      <c r="I6415">
        <v>6</v>
      </c>
      <c r="J6415" t="s">
        <v>101</v>
      </c>
    </row>
    <row r="6416" spans="1:10" x14ac:dyDescent="0.25">
      <c r="A6416" t="s">
        <v>150</v>
      </c>
      <c r="B6416">
        <f>14538.2728683832*(1/100/100)</f>
        <v>1.45382728683832</v>
      </c>
      <c r="C6416">
        <v>67317</v>
      </c>
      <c r="D6416" t="s">
        <v>6524</v>
      </c>
      <c r="E6416">
        <v>61203</v>
      </c>
      <c r="F6416" t="s">
        <v>1587</v>
      </c>
      <c r="G6416">
        <v>612</v>
      </c>
      <c r="H6416" t="s">
        <v>106</v>
      </c>
      <c r="I6416">
        <v>6</v>
      </c>
      <c r="J6416" t="s">
        <v>101</v>
      </c>
    </row>
    <row r="6417" spans="1:10" x14ac:dyDescent="0.25">
      <c r="A6417" t="s">
        <v>150</v>
      </c>
      <c r="B6417">
        <f>116137.958348901*(1/100/100)</f>
        <v>11.6137958348901</v>
      </c>
      <c r="C6417">
        <v>67318</v>
      </c>
      <c r="D6417" t="s">
        <v>1600</v>
      </c>
      <c r="E6417">
        <v>61252</v>
      </c>
      <c r="F6417" t="s">
        <v>1600</v>
      </c>
      <c r="G6417">
        <v>612</v>
      </c>
      <c r="H6417" t="s">
        <v>106</v>
      </c>
      <c r="I6417">
        <v>6</v>
      </c>
      <c r="J6417" t="s">
        <v>101</v>
      </c>
    </row>
    <row r="6418" spans="1:10" x14ac:dyDescent="0.25">
      <c r="A6418" t="s">
        <v>150</v>
      </c>
      <c r="B6418">
        <f>39852.1842984666*(1/100/100)</f>
        <v>3.9852184298466602</v>
      </c>
      <c r="C6418">
        <v>67319</v>
      </c>
      <c r="D6418" t="s">
        <v>6576</v>
      </c>
      <c r="E6418">
        <v>61267</v>
      </c>
      <c r="F6418" t="s">
        <v>1614</v>
      </c>
      <c r="G6418">
        <v>612</v>
      </c>
      <c r="H6418" t="s">
        <v>106</v>
      </c>
      <c r="I6418">
        <v>6</v>
      </c>
      <c r="J6418" t="s">
        <v>101</v>
      </c>
    </row>
    <row r="6419" spans="1:10" x14ac:dyDescent="0.25">
      <c r="A6419" t="s">
        <v>150</v>
      </c>
      <c r="B6419">
        <f>226087.033643692*(1/100/100)</f>
        <v>22.608703364369202</v>
      </c>
      <c r="C6419">
        <v>67401</v>
      </c>
      <c r="D6419" t="s">
        <v>1601</v>
      </c>
      <c r="E6419">
        <v>61253</v>
      </c>
      <c r="F6419" t="s">
        <v>1601</v>
      </c>
      <c r="G6419">
        <v>612</v>
      </c>
      <c r="H6419" t="s">
        <v>106</v>
      </c>
      <c r="I6419">
        <v>6</v>
      </c>
      <c r="J6419" t="s">
        <v>101</v>
      </c>
    </row>
    <row r="6420" spans="1:10" x14ac:dyDescent="0.25">
      <c r="A6420" t="s">
        <v>150</v>
      </c>
      <c r="B6420">
        <f>31503.4837564746*(1/100/100)</f>
        <v>3.1503483756474604</v>
      </c>
      <c r="C6420">
        <v>67402</v>
      </c>
      <c r="D6420" t="s">
        <v>3700</v>
      </c>
      <c r="E6420">
        <v>61253</v>
      </c>
      <c r="F6420" t="s">
        <v>1601</v>
      </c>
      <c r="G6420">
        <v>612</v>
      </c>
      <c r="H6420" t="s">
        <v>106</v>
      </c>
      <c r="I6420">
        <v>6</v>
      </c>
      <c r="J6420" t="s">
        <v>101</v>
      </c>
    </row>
    <row r="6421" spans="1:10" x14ac:dyDescent="0.25">
      <c r="A6421" t="s">
        <v>150</v>
      </c>
      <c r="B6421">
        <f>135218.281822073*(1/100/100)</f>
        <v>13.521828182207301</v>
      </c>
      <c r="C6421">
        <v>67403</v>
      </c>
      <c r="D6421" t="s">
        <v>1590</v>
      </c>
      <c r="E6421">
        <v>61206</v>
      </c>
      <c r="F6421" t="s">
        <v>1590</v>
      </c>
      <c r="G6421">
        <v>612</v>
      </c>
      <c r="H6421" t="s">
        <v>106</v>
      </c>
      <c r="I6421">
        <v>6</v>
      </c>
      <c r="J6421" t="s">
        <v>101</v>
      </c>
    </row>
    <row r="6422" spans="1:10" x14ac:dyDescent="0.25">
      <c r="A6422" t="s">
        <v>150</v>
      </c>
      <c r="B6422">
        <f>33140.8014699547*(1/100/100)</f>
        <v>3.3140801469954702</v>
      </c>
      <c r="C6422">
        <v>67404</v>
      </c>
      <c r="D6422" t="s">
        <v>6533</v>
      </c>
      <c r="E6422">
        <v>61253</v>
      </c>
      <c r="F6422" t="s">
        <v>1601</v>
      </c>
      <c r="G6422">
        <v>612</v>
      </c>
      <c r="H6422" t="s">
        <v>106</v>
      </c>
      <c r="I6422">
        <v>6</v>
      </c>
      <c r="J6422" t="s">
        <v>101</v>
      </c>
    </row>
    <row r="6423" spans="1:10" x14ac:dyDescent="0.25">
      <c r="A6423" t="s">
        <v>150</v>
      </c>
      <c r="B6423">
        <f>27831.8707751794*(1/100/100)</f>
        <v>2.7831870775179399</v>
      </c>
      <c r="C6423">
        <v>67405</v>
      </c>
      <c r="D6423" t="s">
        <v>6534</v>
      </c>
      <c r="E6423">
        <v>61253</v>
      </c>
      <c r="F6423" t="s">
        <v>1601</v>
      </c>
      <c r="G6423">
        <v>612</v>
      </c>
      <c r="H6423" t="s">
        <v>106</v>
      </c>
      <c r="I6423">
        <v>6</v>
      </c>
      <c r="J6423" t="s">
        <v>101</v>
      </c>
    </row>
    <row r="6424" spans="1:10" x14ac:dyDescent="0.25">
      <c r="A6424" t="s">
        <v>150</v>
      </c>
      <c r="B6424">
        <f>363584.899252403*(1/100/100)</f>
        <v>36.358489925240299</v>
      </c>
      <c r="C6424">
        <v>67406</v>
      </c>
      <c r="D6424" t="s">
        <v>106</v>
      </c>
      <c r="E6424">
        <v>61259</v>
      </c>
      <c r="F6424" t="s">
        <v>106</v>
      </c>
      <c r="G6424">
        <v>612</v>
      </c>
      <c r="H6424" t="s">
        <v>106</v>
      </c>
      <c r="I6424">
        <v>6</v>
      </c>
      <c r="J6424" t="s">
        <v>101</v>
      </c>
    </row>
    <row r="6425" spans="1:10" x14ac:dyDescent="0.25">
      <c r="A6425" t="s">
        <v>150</v>
      </c>
      <c r="B6425">
        <f>83406.6850059251*(1/100/100)</f>
        <v>8.3406685005925105</v>
      </c>
      <c r="C6425">
        <v>67407</v>
      </c>
      <c r="D6425" t="s">
        <v>6535</v>
      </c>
      <c r="E6425">
        <v>61253</v>
      </c>
      <c r="F6425" t="s">
        <v>1601</v>
      </c>
      <c r="G6425">
        <v>612</v>
      </c>
      <c r="H6425" t="s">
        <v>106</v>
      </c>
      <c r="I6425">
        <v>6</v>
      </c>
      <c r="J6425" t="s">
        <v>101</v>
      </c>
    </row>
    <row r="6426" spans="1:10" x14ac:dyDescent="0.25">
      <c r="A6426" t="s">
        <v>150</v>
      </c>
      <c r="B6426">
        <f>29964.1136278179*(1/100/100)</f>
        <v>2.9964113627817901</v>
      </c>
      <c r="C6426">
        <v>67408</v>
      </c>
      <c r="D6426" t="s">
        <v>6553</v>
      </c>
      <c r="E6426">
        <v>61259</v>
      </c>
      <c r="F6426" t="s">
        <v>106</v>
      </c>
      <c r="G6426">
        <v>612</v>
      </c>
      <c r="H6426" t="s">
        <v>106</v>
      </c>
      <c r="I6426">
        <v>6</v>
      </c>
      <c r="J6426" t="s">
        <v>101</v>
      </c>
    </row>
    <row r="6427" spans="1:10" x14ac:dyDescent="0.25">
      <c r="A6427" t="s">
        <v>150</v>
      </c>
      <c r="B6427">
        <f>246661.480026469*(1/100/100)</f>
        <v>24.666148002646903</v>
      </c>
      <c r="C6427">
        <v>67409</v>
      </c>
      <c r="D6427" t="s">
        <v>6554</v>
      </c>
      <c r="E6427">
        <v>61259</v>
      </c>
      <c r="F6427" t="s">
        <v>106</v>
      </c>
      <c r="G6427">
        <v>612</v>
      </c>
      <c r="H6427" t="s">
        <v>106</v>
      </c>
      <c r="I6427">
        <v>6</v>
      </c>
      <c r="J6427" t="s">
        <v>101</v>
      </c>
    </row>
    <row r="6428" spans="1:10" x14ac:dyDescent="0.25">
      <c r="A6428" t="s">
        <v>150</v>
      </c>
      <c r="B6428">
        <f>128035.663602429*(1/100/100)</f>
        <v>12.8035663602429</v>
      </c>
      <c r="C6428">
        <v>67410</v>
      </c>
      <c r="D6428" t="s">
        <v>6536</v>
      </c>
      <c r="E6428">
        <v>61253</v>
      </c>
      <c r="F6428" t="s">
        <v>1601</v>
      </c>
      <c r="G6428">
        <v>612</v>
      </c>
      <c r="H6428" t="s">
        <v>106</v>
      </c>
      <c r="I6428">
        <v>6</v>
      </c>
      <c r="J6428" t="s">
        <v>101</v>
      </c>
    </row>
    <row r="6429" spans="1:10" x14ac:dyDescent="0.25">
      <c r="A6429" t="s">
        <v>150</v>
      </c>
      <c r="B6429">
        <f>133075.485186847*(1/100/100)</f>
        <v>13.307548518684703</v>
      </c>
      <c r="C6429">
        <v>67411</v>
      </c>
      <c r="D6429" t="s">
        <v>6555</v>
      </c>
      <c r="E6429">
        <v>61259</v>
      </c>
      <c r="F6429" t="s">
        <v>106</v>
      </c>
      <c r="G6429">
        <v>612</v>
      </c>
      <c r="H6429" t="s">
        <v>106</v>
      </c>
      <c r="I6429">
        <v>6</v>
      </c>
      <c r="J6429" t="s">
        <v>101</v>
      </c>
    </row>
    <row r="6430" spans="1:10" x14ac:dyDescent="0.25">
      <c r="A6430" t="s">
        <v>150</v>
      </c>
      <c r="B6430">
        <f>80565.3513894467*(1/100/100)</f>
        <v>8.0565351389446711</v>
      </c>
      <c r="C6430">
        <v>67412</v>
      </c>
      <c r="D6430" t="s">
        <v>5241</v>
      </c>
      <c r="E6430">
        <v>61253</v>
      </c>
      <c r="F6430" t="s">
        <v>1601</v>
      </c>
      <c r="G6430">
        <v>612</v>
      </c>
      <c r="H6430" t="s">
        <v>106</v>
      </c>
      <c r="I6430">
        <v>6</v>
      </c>
      <c r="J6430" t="s">
        <v>101</v>
      </c>
    </row>
    <row r="6431" spans="1:10" x14ac:dyDescent="0.25">
      <c r="A6431" t="s">
        <v>150</v>
      </c>
      <c r="B6431">
        <f>93417.7410792528*(1/100/100)</f>
        <v>9.3417741079252803</v>
      </c>
      <c r="C6431">
        <v>67501</v>
      </c>
      <c r="D6431" t="s">
        <v>2056</v>
      </c>
      <c r="E6431">
        <v>61256</v>
      </c>
      <c r="F6431" t="s">
        <v>1604</v>
      </c>
      <c r="G6431">
        <v>612</v>
      </c>
      <c r="H6431" t="s">
        <v>106</v>
      </c>
      <c r="I6431">
        <v>6</v>
      </c>
      <c r="J6431" t="s">
        <v>101</v>
      </c>
    </row>
    <row r="6432" spans="1:10" x14ac:dyDescent="0.25">
      <c r="A6432" t="s">
        <v>150</v>
      </c>
      <c r="B6432">
        <f>42246.6667567856*(1/100/100)</f>
        <v>4.2246666756785602</v>
      </c>
      <c r="C6432">
        <v>67502</v>
      </c>
      <c r="D6432" t="s">
        <v>2418</v>
      </c>
      <c r="E6432">
        <v>61263</v>
      </c>
      <c r="F6432" t="s">
        <v>1610</v>
      </c>
      <c r="G6432">
        <v>612</v>
      </c>
      <c r="H6432" t="s">
        <v>106</v>
      </c>
      <c r="I6432">
        <v>6</v>
      </c>
      <c r="J6432" t="s">
        <v>101</v>
      </c>
    </row>
    <row r="6433" spans="1:10" x14ac:dyDescent="0.25">
      <c r="A6433" t="s">
        <v>150</v>
      </c>
      <c r="B6433">
        <f>3830.01328490005*(1/100/100)</f>
        <v>0.38300132849000501</v>
      </c>
      <c r="C6433">
        <v>67503</v>
      </c>
      <c r="D6433" t="s">
        <v>6560</v>
      </c>
      <c r="E6433">
        <v>61263</v>
      </c>
      <c r="F6433" t="s">
        <v>1610</v>
      </c>
      <c r="G6433">
        <v>612</v>
      </c>
      <c r="H6433" t="s">
        <v>106</v>
      </c>
      <c r="I6433">
        <v>6</v>
      </c>
      <c r="J6433" t="s">
        <v>101</v>
      </c>
    </row>
    <row r="6434" spans="1:10" x14ac:dyDescent="0.25">
      <c r="A6434" t="s">
        <v>150</v>
      </c>
      <c r="B6434">
        <f>63494.2876792506*(1/100/100)</f>
        <v>6.3494287679250601</v>
      </c>
      <c r="C6434">
        <v>67504</v>
      </c>
      <c r="D6434" t="s">
        <v>3464</v>
      </c>
      <c r="E6434">
        <v>61247</v>
      </c>
      <c r="F6434" t="s">
        <v>1598</v>
      </c>
      <c r="G6434">
        <v>612</v>
      </c>
      <c r="H6434" t="s">
        <v>106</v>
      </c>
      <c r="I6434">
        <v>6</v>
      </c>
      <c r="J6434" t="s">
        <v>101</v>
      </c>
    </row>
    <row r="6435" spans="1:10" x14ac:dyDescent="0.25">
      <c r="A6435" t="s">
        <v>150</v>
      </c>
      <c r="B6435">
        <f>17323.2403040381*(1/100/100)</f>
        <v>1.7323240304038101</v>
      </c>
      <c r="C6435">
        <v>67505</v>
      </c>
      <c r="D6435" t="s">
        <v>6561</v>
      </c>
      <c r="E6435">
        <v>61263</v>
      </c>
      <c r="F6435" t="s">
        <v>1610</v>
      </c>
      <c r="G6435">
        <v>612</v>
      </c>
      <c r="H6435" t="s">
        <v>106</v>
      </c>
      <c r="I6435">
        <v>6</v>
      </c>
      <c r="J6435" t="s">
        <v>101</v>
      </c>
    </row>
    <row r="6436" spans="1:10" x14ac:dyDescent="0.25">
      <c r="A6436" t="s">
        <v>150</v>
      </c>
      <c r="B6436">
        <f>9061.68370059237*(1/100/100)</f>
        <v>0.906168370059237</v>
      </c>
      <c r="C6436">
        <v>67506</v>
      </c>
      <c r="D6436" t="s">
        <v>3112</v>
      </c>
      <c r="E6436">
        <v>61256</v>
      </c>
      <c r="F6436" t="s">
        <v>1604</v>
      </c>
      <c r="G6436">
        <v>612</v>
      </c>
      <c r="H6436" t="s">
        <v>106</v>
      </c>
      <c r="I6436">
        <v>6</v>
      </c>
      <c r="J6436" t="s">
        <v>101</v>
      </c>
    </row>
    <row r="6437" spans="1:10" x14ac:dyDescent="0.25">
      <c r="A6437" t="s">
        <v>150</v>
      </c>
      <c r="B6437">
        <f>81566.8258700923*(1/100/100)</f>
        <v>8.1566825870092305</v>
      </c>
      <c r="C6437">
        <v>67507</v>
      </c>
      <c r="D6437" t="s">
        <v>6541</v>
      </c>
      <c r="E6437">
        <v>61256</v>
      </c>
      <c r="F6437" t="s">
        <v>1604</v>
      </c>
      <c r="G6437">
        <v>612</v>
      </c>
      <c r="H6437" t="s">
        <v>106</v>
      </c>
      <c r="I6437">
        <v>6</v>
      </c>
      <c r="J6437" t="s">
        <v>101</v>
      </c>
    </row>
    <row r="6438" spans="1:10" x14ac:dyDescent="0.25">
      <c r="A6438" t="s">
        <v>150</v>
      </c>
      <c r="B6438">
        <f>78733.8825072239*(1/100/100)</f>
        <v>7.8733882507223898</v>
      </c>
      <c r="C6438">
        <v>67508</v>
      </c>
      <c r="D6438" t="s">
        <v>6531</v>
      </c>
      <c r="E6438">
        <v>61222</v>
      </c>
      <c r="F6438" t="s">
        <v>1595</v>
      </c>
      <c r="G6438">
        <v>612</v>
      </c>
      <c r="H6438" t="s">
        <v>106</v>
      </c>
      <c r="I6438">
        <v>6</v>
      </c>
      <c r="J6438" t="s">
        <v>101</v>
      </c>
    </row>
    <row r="6439" spans="1:10" x14ac:dyDescent="0.25">
      <c r="A6439" t="s">
        <v>150</v>
      </c>
      <c r="B6439">
        <f>126731.949919234*(1/100/100)</f>
        <v>12.673194991923401</v>
      </c>
      <c r="C6439">
        <v>67509</v>
      </c>
      <c r="D6439" t="s">
        <v>6532</v>
      </c>
      <c r="E6439">
        <v>61222</v>
      </c>
      <c r="F6439" t="s">
        <v>1595</v>
      </c>
      <c r="G6439">
        <v>612</v>
      </c>
      <c r="H6439" t="s">
        <v>106</v>
      </c>
      <c r="I6439">
        <v>6</v>
      </c>
      <c r="J6439" t="s">
        <v>101</v>
      </c>
    </row>
    <row r="6440" spans="1:10" x14ac:dyDescent="0.25">
      <c r="A6440" t="s">
        <v>150</v>
      </c>
      <c r="B6440">
        <f>47386.8547752572*(1/100/100)</f>
        <v>4.7386854775257197</v>
      </c>
      <c r="C6440">
        <v>67510</v>
      </c>
      <c r="D6440" t="s">
        <v>6562</v>
      </c>
      <c r="E6440">
        <v>61263</v>
      </c>
      <c r="F6440" t="s">
        <v>1610</v>
      </c>
      <c r="G6440">
        <v>612</v>
      </c>
      <c r="H6440" t="s">
        <v>106</v>
      </c>
      <c r="I6440">
        <v>6</v>
      </c>
      <c r="J6440" t="s">
        <v>101</v>
      </c>
    </row>
    <row r="6441" spans="1:10" x14ac:dyDescent="0.25">
      <c r="A6441" t="s">
        <v>150</v>
      </c>
      <c r="B6441">
        <f>395654.959043111*(1/100/100)</f>
        <v>39.565495904311106</v>
      </c>
      <c r="C6441">
        <v>67511</v>
      </c>
      <c r="D6441" t="s">
        <v>1610</v>
      </c>
      <c r="E6441">
        <v>61263</v>
      </c>
      <c r="F6441" t="s">
        <v>1610</v>
      </c>
      <c r="G6441">
        <v>612</v>
      </c>
      <c r="H6441" t="s">
        <v>106</v>
      </c>
      <c r="I6441">
        <v>6</v>
      </c>
      <c r="J6441" t="s">
        <v>101</v>
      </c>
    </row>
    <row r="6442" spans="1:10" x14ac:dyDescent="0.25">
      <c r="A6442" t="s">
        <v>150</v>
      </c>
      <c r="B6442">
        <f>27099.9989996522*(1/100/100)</f>
        <v>2.7099998999652204</v>
      </c>
      <c r="C6442">
        <v>67512</v>
      </c>
      <c r="D6442" t="s">
        <v>954</v>
      </c>
      <c r="E6442">
        <v>61247</v>
      </c>
      <c r="F6442" t="s">
        <v>1598</v>
      </c>
      <c r="G6442">
        <v>612</v>
      </c>
      <c r="H6442" t="s">
        <v>106</v>
      </c>
      <c r="I6442">
        <v>6</v>
      </c>
      <c r="J6442" t="s">
        <v>101</v>
      </c>
    </row>
    <row r="6443" spans="1:10" x14ac:dyDescent="0.25">
      <c r="A6443" t="s">
        <v>150</v>
      </c>
      <c r="B6443">
        <f>137217.548744081*(1/100/100)</f>
        <v>13.7217548744081</v>
      </c>
      <c r="C6443">
        <v>67513</v>
      </c>
      <c r="D6443" t="s">
        <v>1597</v>
      </c>
      <c r="E6443">
        <v>61243</v>
      </c>
      <c r="F6443" t="s">
        <v>1597</v>
      </c>
      <c r="G6443">
        <v>612</v>
      </c>
      <c r="H6443" t="s">
        <v>106</v>
      </c>
      <c r="I6443">
        <v>6</v>
      </c>
      <c r="J6443" t="s">
        <v>101</v>
      </c>
    </row>
    <row r="6444" spans="1:10" x14ac:dyDescent="0.25">
      <c r="A6444" t="s">
        <v>150</v>
      </c>
      <c r="B6444">
        <f>44552.6282730103*(1/100/100)</f>
        <v>4.4552628273010297</v>
      </c>
      <c r="C6444">
        <v>67514</v>
      </c>
      <c r="D6444" t="s">
        <v>6563</v>
      </c>
      <c r="E6444">
        <v>61263</v>
      </c>
      <c r="F6444" t="s">
        <v>1610</v>
      </c>
      <c r="G6444">
        <v>612</v>
      </c>
      <c r="H6444" t="s">
        <v>106</v>
      </c>
      <c r="I6444">
        <v>6</v>
      </c>
      <c r="J6444" t="s">
        <v>101</v>
      </c>
    </row>
    <row r="6445" spans="1:10" x14ac:dyDescent="0.25">
      <c r="A6445" t="s">
        <v>150</v>
      </c>
      <c r="B6445">
        <f>36175.197360637*(1/100/100)</f>
        <v>3.6175197360637004</v>
      </c>
      <c r="C6445">
        <v>67515</v>
      </c>
      <c r="D6445" t="s">
        <v>2897</v>
      </c>
      <c r="E6445">
        <v>61247</v>
      </c>
      <c r="F6445" t="s">
        <v>1598</v>
      </c>
      <c r="G6445">
        <v>612</v>
      </c>
      <c r="H6445" t="s">
        <v>106</v>
      </c>
      <c r="I6445">
        <v>6</v>
      </c>
      <c r="J6445" t="s">
        <v>101</v>
      </c>
    </row>
    <row r="6446" spans="1:10" x14ac:dyDescent="0.25">
      <c r="A6446" t="s">
        <v>150</v>
      </c>
      <c r="B6446">
        <f>37564.0521111014*(1/100/100)</f>
        <v>3.7564052111101405</v>
      </c>
      <c r="C6446">
        <v>67516</v>
      </c>
      <c r="D6446" t="s">
        <v>6542</v>
      </c>
      <c r="E6446">
        <v>61256</v>
      </c>
      <c r="F6446" t="s">
        <v>1604</v>
      </c>
      <c r="G6446">
        <v>612</v>
      </c>
      <c r="H6446" t="s">
        <v>106</v>
      </c>
      <c r="I6446">
        <v>6</v>
      </c>
      <c r="J6446" t="s">
        <v>101</v>
      </c>
    </row>
    <row r="6447" spans="1:10" x14ac:dyDescent="0.25">
      <c r="A6447" t="s">
        <v>150</v>
      </c>
      <c r="B6447">
        <f>224960.526246647*(1/100/100)</f>
        <v>22.496052624664703</v>
      </c>
      <c r="C6447">
        <v>67517</v>
      </c>
      <c r="D6447" t="s">
        <v>1598</v>
      </c>
      <c r="E6447">
        <v>61247</v>
      </c>
      <c r="F6447" t="s">
        <v>1598</v>
      </c>
      <c r="G6447">
        <v>612</v>
      </c>
      <c r="H6447" t="s">
        <v>106</v>
      </c>
      <c r="I6447">
        <v>6</v>
      </c>
      <c r="J6447" t="s">
        <v>101</v>
      </c>
    </row>
    <row r="6448" spans="1:10" x14ac:dyDescent="0.25">
      <c r="A6448" t="s">
        <v>150</v>
      </c>
      <c r="B6448">
        <f>120975.633600256*(1/100/100)</f>
        <v>12.0975633600256</v>
      </c>
      <c r="C6448">
        <v>67601</v>
      </c>
      <c r="D6448" t="s">
        <v>1602</v>
      </c>
      <c r="E6448">
        <v>61254</v>
      </c>
      <c r="F6448" t="s">
        <v>1602</v>
      </c>
      <c r="G6448">
        <v>612</v>
      </c>
      <c r="H6448" t="s">
        <v>106</v>
      </c>
      <c r="I6448">
        <v>6</v>
      </c>
      <c r="J6448" t="s">
        <v>101</v>
      </c>
    </row>
    <row r="6449" spans="1:10" x14ac:dyDescent="0.25">
      <c r="A6449" t="s">
        <v>150</v>
      </c>
      <c r="B6449">
        <f>74000.96024405*(1/100/100)</f>
        <v>7.4000960244050003</v>
      </c>
      <c r="C6449">
        <v>67602</v>
      </c>
      <c r="D6449" t="s">
        <v>6529</v>
      </c>
      <c r="E6449">
        <v>61217</v>
      </c>
      <c r="F6449" t="s">
        <v>1594</v>
      </c>
      <c r="G6449">
        <v>612</v>
      </c>
      <c r="H6449" t="s">
        <v>106</v>
      </c>
      <c r="I6449">
        <v>6</v>
      </c>
      <c r="J6449" t="s">
        <v>101</v>
      </c>
    </row>
    <row r="6450" spans="1:10" x14ac:dyDescent="0.25">
      <c r="A6450" t="s">
        <v>150</v>
      </c>
      <c r="B6450">
        <f>48837.7089277956*(1/100/100)</f>
        <v>4.8837708927795598</v>
      </c>
      <c r="C6450">
        <v>67603</v>
      </c>
      <c r="D6450" t="s">
        <v>6537</v>
      </c>
      <c r="E6450">
        <v>61254</v>
      </c>
      <c r="F6450" t="s">
        <v>1602</v>
      </c>
      <c r="G6450">
        <v>612</v>
      </c>
      <c r="H6450" t="s">
        <v>106</v>
      </c>
      <c r="I6450">
        <v>6</v>
      </c>
      <c r="J6450" t="s">
        <v>101</v>
      </c>
    </row>
    <row r="6451" spans="1:10" x14ac:dyDescent="0.25">
      <c r="A6451" t="s">
        <v>150</v>
      </c>
      <c r="B6451">
        <f>86065.552291645*(1/100/100)</f>
        <v>8.6065552291645009</v>
      </c>
      <c r="C6451">
        <v>67604</v>
      </c>
      <c r="D6451" t="s">
        <v>1594</v>
      </c>
      <c r="E6451">
        <v>61217</v>
      </c>
      <c r="F6451" t="s">
        <v>1594</v>
      </c>
      <c r="G6451">
        <v>612</v>
      </c>
      <c r="H6451" t="s">
        <v>106</v>
      </c>
      <c r="I6451">
        <v>6</v>
      </c>
      <c r="J6451" t="s">
        <v>101</v>
      </c>
    </row>
    <row r="6452" spans="1:10" x14ac:dyDescent="0.25">
      <c r="A6452" t="s">
        <v>150</v>
      </c>
      <c r="B6452">
        <f>105863.101071133*(1/100/100)</f>
        <v>10.586310107113301</v>
      </c>
      <c r="C6452">
        <v>67605</v>
      </c>
      <c r="D6452" t="s">
        <v>2100</v>
      </c>
      <c r="E6452">
        <v>61265</v>
      </c>
      <c r="F6452" t="s">
        <v>1612</v>
      </c>
      <c r="G6452">
        <v>612</v>
      </c>
      <c r="H6452" t="s">
        <v>106</v>
      </c>
      <c r="I6452">
        <v>6</v>
      </c>
      <c r="J6452" t="s">
        <v>101</v>
      </c>
    </row>
    <row r="6453" spans="1:10" x14ac:dyDescent="0.25">
      <c r="A6453" t="s">
        <v>150</v>
      </c>
      <c r="B6453">
        <f>172590.642594885*(1/100/100)</f>
        <v>17.2590642594885</v>
      </c>
      <c r="C6453">
        <v>67606</v>
      </c>
      <c r="D6453" t="s">
        <v>2544</v>
      </c>
      <c r="E6453">
        <v>61236</v>
      </c>
      <c r="F6453" t="s">
        <v>1596</v>
      </c>
      <c r="G6453">
        <v>612</v>
      </c>
      <c r="H6453" t="s">
        <v>106</v>
      </c>
      <c r="I6453">
        <v>6</v>
      </c>
      <c r="J6453" t="s">
        <v>101</v>
      </c>
    </row>
    <row r="6454" spans="1:10" x14ac:dyDescent="0.25">
      <c r="A6454" t="s">
        <v>150</v>
      </c>
      <c r="B6454">
        <f>67420.9761695968*(1/100/100)</f>
        <v>6.7420976169596809</v>
      </c>
      <c r="C6454">
        <v>67607</v>
      </c>
      <c r="D6454" t="s">
        <v>6530</v>
      </c>
      <c r="E6454">
        <v>61217</v>
      </c>
      <c r="F6454" t="s">
        <v>1594</v>
      </c>
      <c r="G6454">
        <v>612</v>
      </c>
      <c r="H6454" t="s">
        <v>106</v>
      </c>
      <c r="I6454">
        <v>6</v>
      </c>
      <c r="J6454" t="s">
        <v>101</v>
      </c>
    </row>
    <row r="6455" spans="1:10" x14ac:dyDescent="0.25">
      <c r="A6455" t="s">
        <v>150</v>
      </c>
      <c r="B6455">
        <f>75046.3307081286*(1/100/100)</f>
        <v>7.5046330708128606</v>
      </c>
      <c r="C6455">
        <v>67608</v>
      </c>
      <c r="D6455" t="s">
        <v>5433</v>
      </c>
      <c r="E6455">
        <v>61265</v>
      </c>
      <c r="F6455" t="s">
        <v>1612</v>
      </c>
      <c r="G6455">
        <v>612</v>
      </c>
      <c r="H6455" t="s">
        <v>106</v>
      </c>
      <c r="I6455">
        <v>6</v>
      </c>
      <c r="J6455" t="s">
        <v>101</v>
      </c>
    </row>
    <row r="6456" spans="1:10" x14ac:dyDescent="0.25">
      <c r="A6456" t="s">
        <v>150</v>
      </c>
      <c r="B6456">
        <f>63747.0996471921*(1/100/100)</f>
        <v>6.3747099647192105</v>
      </c>
      <c r="C6456">
        <v>67609</v>
      </c>
      <c r="D6456" t="s">
        <v>6569</v>
      </c>
      <c r="E6456">
        <v>61265</v>
      </c>
      <c r="F6456" t="s">
        <v>1612</v>
      </c>
      <c r="G6456">
        <v>612</v>
      </c>
      <c r="H6456" t="s">
        <v>106</v>
      </c>
      <c r="I6456">
        <v>6</v>
      </c>
      <c r="J6456" t="s">
        <v>101</v>
      </c>
    </row>
    <row r="6457" spans="1:10" x14ac:dyDescent="0.25">
      <c r="A6457" t="s">
        <v>150</v>
      </c>
      <c r="B6457">
        <f>183951.505125107*(1/100/100)</f>
        <v>18.395150512510703</v>
      </c>
      <c r="C6457">
        <v>67610</v>
      </c>
      <c r="D6457" t="s">
        <v>704</v>
      </c>
      <c r="E6457">
        <v>61236</v>
      </c>
      <c r="F6457" t="s">
        <v>1596</v>
      </c>
      <c r="G6457">
        <v>612</v>
      </c>
      <c r="H6457" t="s">
        <v>106</v>
      </c>
      <c r="I6457">
        <v>6</v>
      </c>
      <c r="J6457" t="s">
        <v>101</v>
      </c>
    </row>
    <row r="6458" spans="1:10" x14ac:dyDescent="0.25">
      <c r="A6458" t="s">
        <v>150</v>
      </c>
      <c r="B6458">
        <f>141449.404012526*(1/100/100)</f>
        <v>14.144940401252601</v>
      </c>
      <c r="C6458">
        <v>67611</v>
      </c>
      <c r="D6458" t="s">
        <v>6570</v>
      </c>
      <c r="E6458">
        <v>61265</v>
      </c>
      <c r="F6458" t="s">
        <v>1612</v>
      </c>
      <c r="G6458">
        <v>612</v>
      </c>
      <c r="H6458" t="s">
        <v>106</v>
      </c>
      <c r="I6458">
        <v>6</v>
      </c>
      <c r="J6458" t="s">
        <v>101</v>
      </c>
    </row>
    <row r="6459" spans="1:10" x14ac:dyDescent="0.25">
      <c r="A6459" t="s">
        <v>150</v>
      </c>
      <c r="B6459">
        <f>273861.833301036*(1/100/100)</f>
        <v>27.386183330103599</v>
      </c>
      <c r="C6459">
        <v>67612</v>
      </c>
      <c r="D6459" t="s">
        <v>1612</v>
      </c>
      <c r="E6459">
        <v>61265</v>
      </c>
      <c r="F6459" t="s">
        <v>1612</v>
      </c>
      <c r="G6459">
        <v>612</v>
      </c>
      <c r="H6459" t="s">
        <v>106</v>
      </c>
      <c r="I6459">
        <v>6</v>
      </c>
      <c r="J6459" t="s">
        <v>101</v>
      </c>
    </row>
    <row r="6460" spans="1:10" x14ac:dyDescent="0.25">
      <c r="A6460" t="s">
        <v>150</v>
      </c>
      <c r="B6460">
        <f>78367.5353809847*(1/100/100)</f>
        <v>7.8367535380984705</v>
      </c>
      <c r="C6460">
        <v>67613</v>
      </c>
      <c r="D6460" t="s">
        <v>6571</v>
      </c>
      <c r="E6460">
        <v>61265</v>
      </c>
      <c r="F6460" t="s">
        <v>1612</v>
      </c>
      <c r="G6460">
        <v>612</v>
      </c>
      <c r="H6460" t="s">
        <v>106</v>
      </c>
      <c r="I6460">
        <v>6</v>
      </c>
      <c r="J6460" t="s">
        <v>101</v>
      </c>
    </row>
    <row r="6461" spans="1:10" x14ac:dyDescent="0.25">
      <c r="A6461" t="s">
        <v>150</v>
      </c>
      <c r="B6461">
        <f>81314.2759140229*(1/100/100)</f>
        <v>8.1314275914022911</v>
      </c>
      <c r="C6461">
        <v>67614</v>
      </c>
      <c r="D6461" t="s">
        <v>2867</v>
      </c>
      <c r="E6461">
        <v>61217</v>
      </c>
      <c r="F6461" t="s">
        <v>1594</v>
      </c>
      <c r="G6461">
        <v>612</v>
      </c>
      <c r="H6461" t="s">
        <v>106</v>
      </c>
      <c r="I6461">
        <v>6</v>
      </c>
      <c r="J6461" t="s">
        <v>101</v>
      </c>
    </row>
    <row r="6462" spans="1:10" x14ac:dyDescent="0.25">
      <c r="A6462" t="s">
        <v>150</v>
      </c>
      <c r="B6462">
        <f>26782.6331128044*(1/100/100)</f>
        <v>2.6782633112804404</v>
      </c>
      <c r="C6462">
        <v>68001</v>
      </c>
      <c r="D6462" t="s">
        <v>6671</v>
      </c>
      <c r="E6462">
        <v>61711</v>
      </c>
      <c r="F6462" t="s">
        <v>1644</v>
      </c>
      <c r="G6462">
        <v>617</v>
      </c>
      <c r="H6462" t="s">
        <v>109</v>
      </c>
      <c r="I6462">
        <v>6</v>
      </c>
      <c r="J6462" t="s">
        <v>101</v>
      </c>
    </row>
    <row r="6463" spans="1:10" x14ac:dyDescent="0.25">
      <c r="A6463" t="s">
        <v>150</v>
      </c>
      <c r="B6463">
        <f>90395.2312402618*(1/100/100)</f>
        <v>9.0395231240261804</v>
      </c>
      <c r="C6463">
        <v>68002</v>
      </c>
      <c r="D6463" t="s">
        <v>1659</v>
      </c>
      <c r="E6463">
        <v>61756</v>
      </c>
      <c r="F6463" t="s">
        <v>1659</v>
      </c>
      <c r="G6463">
        <v>617</v>
      </c>
      <c r="H6463" t="s">
        <v>109</v>
      </c>
      <c r="I6463">
        <v>6</v>
      </c>
      <c r="J6463" t="s">
        <v>101</v>
      </c>
    </row>
    <row r="6464" spans="1:10" x14ac:dyDescent="0.25">
      <c r="A6464" t="s">
        <v>150</v>
      </c>
      <c r="B6464">
        <f>45631.6853242552*(1/100/100)</f>
        <v>4.5631685324255207</v>
      </c>
      <c r="C6464">
        <v>68003</v>
      </c>
      <c r="D6464" t="s">
        <v>2270</v>
      </c>
      <c r="E6464">
        <v>61757</v>
      </c>
      <c r="F6464" t="s">
        <v>1660</v>
      </c>
      <c r="G6464">
        <v>617</v>
      </c>
      <c r="H6464" t="s">
        <v>109</v>
      </c>
      <c r="I6464">
        <v>6</v>
      </c>
      <c r="J6464" t="s">
        <v>101</v>
      </c>
    </row>
    <row r="6465" spans="1:10" x14ac:dyDescent="0.25">
      <c r="A6465" t="s">
        <v>150</v>
      </c>
      <c r="B6465">
        <f>39035.5311002292*(1/100/100)</f>
        <v>3.9035531100229202</v>
      </c>
      <c r="C6465">
        <v>68004</v>
      </c>
      <c r="D6465" t="s">
        <v>6713</v>
      </c>
      <c r="E6465">
        <v>61750</v>
      </c>
      <c r="F6465" t="s">
        <v>1657</v>
      </c>
      <c r="G6465">
        <v>617</v>
      </c>
      <c r="H6465" t="s">
        <v>109</v>
      </c>
      <c r="I6465">
        <v>6</v>
      </c>
      <c r="J6465" t="s">
        <v>101</v>
      </c>
    </row>
    <row r="6466" spans="1:10" x14ac:dyDescent="0.25">
      <c r="A6466" t="s">
        <v>150</v>
      </c>
      <c r="B6466">
        <f>187456.283833635*(1/100/100)</f>
        <v>18.745628383363503</v>
      </c>
      <c r="C6466">
        <v>68005</v>
      </c>
      <c r="D6466" t="s">
        <v>3426</v>
      </c>
      <c r="E6466">
        <v>61756</v>
      </c>
      <c r="F6466" t="s">
        <v>1659</v>
      </c>
      <c r="G6466">
        <v>617</v>
      </c>
      <c r="H6466" t="s">
        <v>109</v>
      </c>
      <c r="I6466">
        <v>6</v>
      </c>
      <c r="J6466" t="s">
        <v>101</v>
      </c>
    </row>
    <row r="6467" spans="1:10" x14ac:dyDescent="0.25">
      <c r="A6467" t="s">
        <v>150</v>
      </c>
      <c r="B6467">
        <f>182693.472389843*(1/100/100)</f>
        <v>18.269347238984299</v>
      </c>
      <c r="C6467">
        <v>68006</v>
      </c>
      <c r="D6467" t="s">
        <v>1660</v>
      </c>
      <c r="E6467">
        <v>61757</v>
      </c>
      <c r="F6467" t="s">
        <v>1660</v>
      </c>
      <c r="G6467">
        <v>617</v>
      </c>
      <c r="H6467" t="s">
        <v>109</v>
      </c>
      <c r="I6467">
        <v>6</v>
      </c>
      <c r="J6467" t="s">
        <v>101</v>
      </c>
    </row>
    <row r="6468" spans="1:10" x14ac:dyDescent="0.25">
      <c r="A6468" t="s">
        <v>150</v>
      </c>
      <c r="B6468">
        <f>70262.0299194288*(1/100/100)</f>
        <v>7.0262029919428794</v>
      </c>
      <c r="C6468">
        <v>68007</v>
      </c>
      <c r="D6468" t="s">
        <v>749</v>
      </c>
      <c r="E6468">
        <v>61708</v>
      </c>
      <c r="F6468" t="s">
        <v>1642</v>
      </c>
      <c r="G6468">
        <v>617</v>
      </c>
      <c r="H6468" t="s">
        <v>109</v>
      </c>
      <c r="I6468">
        <v>6</v>
      </c>
      <c r="J6468" t="s">
        <v>101</v>
      </c>
    </row>
    <row r="6469" spans="1:10" x14ac:dyDescent="0.25">
      <c r="A6469" t="s">
        <v>150</v>
      </c>
      <c r="B6469">
        <f>62171.6113913663*(1/100/100)</f>
        <v>6.2171611391366302</v>
      </c>
      <c r="C6469">
        <v>68008</v>
      </c>
      <c r="D6469" t="s">
        <v>2511</v>
      </c>
      <c r="E6469">
        <v>61750</v>
      </c>
      <c r="F6469" t="s">
        <v>1657</v>
      </c>
      <c r="G6469">
        <v>617</v>
      </c>
      <c r="H6469" t="s">
        <v>109</v>
      </c>
      <c r="I6469">
        <v>6</v>
      </c>
      <c r="J6469" t="s">
        <v>101</v>
      </c>
    </row>
    <row r="6470" spans="1:10" x14ac:dyDescent="0.25">
      <c r="A6470" t="s">
        <v>150</v>
      </c>
      <c r="B6470">
        <f>87355.2622409788*(1/100/100)</f>
        <v>8.7355262240978799</v>
      </c>
      <c r="C6470">
        <v>68009</v>
      </c>
      <c r="D6470" t="s">
        <v>1642</v>
      </c>
      <c r="E6470">
        <v>61708</v>
      </c>
      <c r="F6470" t="s">
        <v>1642</v>
      </c>
      <c r="G6470">
        <v>617</v>
      </c>
      <c r="H6470" t="s">
        <v>109</v>
      </c>
      <c r="I6470">
        <v>6</v>
      </c>
      <c r="J6470" t="s">
        <v>101</v>
      </c>
    </row>
    <row r="6471" spans="1:10" x14ac:dyDescent="0.25">
      <c r="A6471" t="s">
        <v>150</v>
      </c>
      <c r="B6471">
        <f>11294.8156647796*(1/100/100)</f>
        <v>1.1294815664779601</v>
      </c>
      <c r="C6471">
        <v>68010</v>
      </c>
      <c r="D6471" t="s">
        <v>1644</v>
      </c>
      <c r="E6471">
        <v>61711</v>
      </c>
      <c r="F6471" t="s">
        <v>1644</v>
      </c>
      <c r="G6471">
        <v>617</v>
      </c>
      <c r="H6471" t="s">
        <v>109</v>
      </c>
      <c r="I6471">
        <v>6</v>
      </c>
      <c r="J6471" t="s">
        <v>101</v>
      </c>
    </row>
    <row r="6472" spans="1:10" x14ac:dyDescent="0.25">
      <c r="A6472" t="s">
        <v>150</v>
      </c>
      <c r="B6472">
        <f>61422.9912449214*(1/100/100)</f>
        <v>6.1422991244921405</v>
      </c>
      <c r="C6472">
        <v>68011</v>
      </c>
      <c r="D6472" t="s">
        <v>6694</v>
      </c>
      <c r="E6472">
        <v>61741</v>
      </c>
      <c r="F6472" t="s">
        <v>1653</v>
      </c>
      <c r="G6472">
        <v>617</v>
      </c>
      <c r="H6472" t="s">
        <v>109</v>
      </c>
      <c r="I6472">
        <v>6</v>
      </c>
      <c r="J6472" t="s">
        <v>101</v>
      </c>
    </row>
    <row r="6473" spans="1:10" x14ac:dyDescent="0.25">
      <c r="A6473" t="s">
        <v>150</v>
      </c>
      <c r="B6473">
        <f>122510.398612141*(1/100/100)</f>
        <v>12.2510398612141</v>
      </c>
      <c r="C6473">
        <v>68012</v>
      </c>
      <c r="D6473" t="s">
        <v>6724</v>
      </c>
      <c r="E6473">
        <v>61757</v>
      </c>
      <c r="F6473" t="s">
        <v>1660</v>
      </c>
      <c r="G6473">
        <v>617</v>
      </c>
      <c r="H6473" t="s">
        <v>109</v>
      </c>
      <c r="I6473">
        <v>6</v>
      </c>
      <c r="J6473" t="s">
        <v>101</v>
      </c>
    </row>
    <row r="6474" spans="1:10" x14ac:dyDescent="0.25">
      <c r="A6474" t="s">
        <v>150</v>
      </c>
      <c r="B6474">
        <f>45868.2822946286*(1/100/100)</f>
        <v>4.5868282294628608</v>
      </c>
      <c r="C6474">
        <v>68013</v>
      </c>
      <c r="D6474" t="s">
        <v>3294</v>
      </c>
      <c r="E6474">
        <v>61757</v>
      </c>
      <c r="F6474" t="s">
        <v>1660</v>
      </c>
      <c r="G6474">
        <v>617</v>
      </c>
      <c r="H6474" t="s">
        <v>109</v>
      </c>
      <c r="I6474">
        <v>6</v>
      </c>
      <c r="J6474" t="s">
        <v>101</v>
      </c>
    </row>
    <row r="6475" spans="1:10" x14ac:dyDescent="0.25">
      <c r="A6475" t="s">
        <v>150</v>
      </c>
      <c r="B6475">
        <f>93186.9963304249*(1/100/100)</f>
        <v>9.31869963304249</v>
      </c>
      <c r="C6475">
        <v>68014</v>
      </c>
      <c r="D6475" t="s">
        <v>6266</v>
      </c>
      <c r="E6475">
        <v>61741</v>
      </c>
      <c r="F6475" t="s">
        <v>1653</v>
      </c>
      <c r="G6475">
        <v>617</v>
      </c>
      <c r="H6475" t="s">
        <v>109</v>
      </c>
      <c r="I6475">
        <v>6</v>
      </c>
      <c r="J6475" t="s">
        <v>101</v>
      </c>
    </row>
    <row r="6476" spans="1:10" x14ac:dyDescent="0.25">
      <c r="A6476" t="s">
        <v>150</v>
      </c>
      <c r="B6476">
        <f>26898.8877998446*(1/100/100)</f>
        <v>2.68988877998446</v>
      </c>
      <c r="C6476">
        <v>68015</v>
      </c>
      <c r="D6476" t="s">
        <v>6695</v>
      </c>
      <c r="E6476">
        <v>61743</v>
      </c>
      <c r="F6476" t="s">
        <v>1654</v>
      </c>
      <c r="G6476">
        <v>617</v>
      </c>
      <c r="H6476" t="s">
        <v>109</v>
      </c>
      <c r="I6476">
        <v>6</v>
      </c>
      <c r="J6476" t="s">
        <v>101</v>
      </c>
    </row>
    <row r="6477" spans="1:10" x14ac:dyDescent="0.25">
      <c r="A6477" t="s">
        <v>150</v>
      </c>
      <c r="B6477">
        <f>22703.8854100922*(1/100/100)</f>
        <v>2.2703885410092202</v>
      </c>
      <c r="C6477">
        <v>68016</v>
      </c>
      <c r="D6477" t="s">
        <v>6696</v>
      </c>
      <c r="E6477">
        <v>61744</v>
      </c>
      <c r="F6477" t="s">
        <v>6697</v>
      </c>
      <c r="G6477">
        <v>617</v>
      </c>
      <c r="H6477" t="s">
        <v>109</v>
      </c>
      <c r="I6477">
        <v>6</v>
      </c>
      <c r="J6477" t="s">
        <v>101</v>
      </c>
    </row>
    <row r="6478" spans="1:10" x14ac:dyDescent="0.25">
      <c r="A6478" t="s">
        <v>150</v>
      </c>
      <c r="B6478">
        <f>20678.8297353322*(1/100/100)</f>
        <v>2.0678829735332203</v>
      </c>
      <c r="C6478">
        <v>68017</v>
      </c>
      <c r="D6478" t="s">
        <v>6672</v>
      </c>
      <c r="E6478">
        <v>61711</v>
      </c>
      <c r="F6478" t="s">
        <v>1644</v>
      </c>
      <c r="G6478">
        <v>617</v>
      </c>
      <c r="H6478" t="s">
        <v>109</v>
      </c>
      <c r="I6478">
        <v>6</v>
      </c>
      <c r="J6478" t="s">
        <v>101</v>
      </c>
    </row>
    <row r="6479" spans="1:10" x14ac:dyDescent="0.25">
      <c r="A6479" t="s">
        <v>150</v>
      </c>
      <c r="B6479">
        <f>69859.460630214*(1/100/100)</f>
        <v>6.9859460630214008</v>
      </c>
      <c r="C6479">
        <v>68018</v>
      </c>
      <c r="D6479" t="s">
        <v>6720</v>
      </c>
      <c r="E6479">
        <v>61756</v>
      </c>
      <c r="F6479" t="s">
        <v>1659</v>
      </c>
      <c r="G6479">
        <v>617</v>
      </c>
      <c r="H6479" t="s">
        <v>109</v>
      </c>
      <c r="I6479">
        <v>6</v>
      </c>
      <c r="J6479" t="s">
        <v>101</v>
      </c>
    </row>
    <row r="6480" spans="1:10" x14ac:dyDescent="0.25">
      <c r="A6480" t="s">
        <v>150</v>
      </c>
      <c r="B6480">
        <f>75696.650366653*(1/100/100)</f>
        <v>7.5696650366653007</v>
      </c>
      <c r="C6480">
        <v>68019</v>
      </c>
      <c r="D6480" t="s">
        <v>6721</v>
      </c>
      <c r="E6480">
        <v>61756</v>
      </c>
      <c r="F6480" t="s">
        <v>1659</v>
      </c>
      <c r="G6480">
        <v>617</v>
      </c>
      <c r="H6480" t="s">
        <v>109</v>
      </c>
      <c r="I6480">
        <v>6</v>
      </c>
      <c r="J6480" t="s">
        <v>101</v>
      </c>
    </row>
    <row r="6481" spans="1:10" x14ac:dyDescent="0.25">
      <c r="A6481" t="s">
        <v>150</v>
      </c>
      <c r="B6481">
        <f>15079.6702059649*(1/100/100)</f>
        <v>1.5079670205964901</v>
      </c>
      <c r="C6481">
        <v>68020</v>
      </c>
      <c r="D6481" t="s">
        <v>6722</v>
      </c>
      <c r="E6481">
        <v>61756</v>
      </c>
      <c r="F6481" t="s">
        <v>1659</v>
      </c>
      <c r="G6481">
        <v>617</v>
      </c>
      <c r="H6481" t="s">
        <v>109</v>
      </c>
      <c r="I6481">
        <v>6</v>
      </c>
      <c r="J6481" t="s">
        <v>101</v>
      </c>
    </row>
    <row r="6482" spans="1:10" x14ac:dyDescent="0.25">
      <c r="A6482" t="s">
        <v>150</v>
      </c>
      <c r="B6482">
        <f>45019.9794664465*(1/100/100)</f>
        <v>4.50199794664465</v>
      </c>
      <c r="C6482">
        <v>68021</v>
      </c>
      <c r="D6482" t="s">
        <v>6714</v>
      </c>
      <c r="E6482">
        <v>61750</v>
      </c>
      <c r="F6482" t="s">
        <v>1657</v>
      </c>
      <c r="G6482">
        <v>617</v>
      </c>
      <c r="H6482" t="s">
        <v>109</v>
      </c>
      <c r="I6482">
        <v>6</v>
      </c>
      <c r="J6482" t="s">
        <v>101</v>
      </c>
    </row>
    <row r="6483" spans="1:10" x14ac:dyDescent="0.25">
      <c r="A6483" t="s">
        <v>150</v>
      </c>
      <c r="B6483">
        <f>52995.5875058004*(1/100/100)</f>
        <v>5.2995587505800401</v>
      </c>
      <c r="C6483">
        <v>68022</v>
      </c>
      <c r="D6483" t="s">
        <v>6725</v>
      </c>
      <c r="E6483">
        <v>61757</v>
      </c>
      <c r="F6483" t="s">
        <v>1660</v>
      </c>
      <c r="G6483">
        <v>617</v>
      </c>
      <c r="H6483" t="s">
        <v>109</v>
      </c>
      <c r="I6483">
        <v>6</v>
      </c>
      <c r="J6483" t="s">
        <v>101</v>
      </c>
    </row>
    <row r="6484" spans="1:10" x14ac:dyDescent="0.25">
      <c r="A6484" t="s">
        <v>150</v>
      </c>
      <c r="B6484">
        <f>48288.6868967027*(1/100/100)</f>
        <v>4.8288686896702702</v>
      </c>
      <c r="C6484">
        <v>68023</v>
      </c>
      <c r="D6484" t="s">
        <v>6726</v>
      </c>
      <c r="E6484">
        <v>61757</v>
      </c>
      <c r="F6484" t="s">
        <v>1660</v>
      </c>
      <c r="G6484">
        <v>617</v>
      </c>
      <c r="H6484" t="s">
        <v>109</v>
      </c>
      <c r="I6484">
        <v>6</v>
      </c>
      <c r="J6484" t="s">
        <v>101</v>
      </c>
    </row>
    <row r="6485" spans="1:10" x14ac:dyDescent="0.25">
      <c r="A6485" t="s">
        <v>150</v>
      </c>
      <c r="B6485">
        <f>67071.1850801244*(1/100/100)</f>
        <v>6.7071185080124405</v>
      </c>
      <c r="C6485">
        <v>68024</v>
      </c>
      <c r="D6485" t="s">
        <v>1654</v>
      </c>
      <c r="E6485">
        <v>61743</v>
      </c>
      <c r="F6485" t="s">
        <v>1654</v>
      </c>
      <c r="G6485">
        <v>617</v>
      </c>
      <c r="H6485" t="s">
        <v>109</v>
      </c>
      <c r="I6485">
        <v>6</v>
      </c>
      <c r="J6485" t="s">
        <v>101</v>
      </c>
    </row>
    <row r="6486" spans="1:10" x14ac:dyDescent="0.25">
      <c r="A6486" t="s">
        <v>150</v>
      </c>
      <c r="B6486">
        <f>52852.4798116598*(1/100/100)</f>
        <v>5.2852479811659805</v>
      </c>
      <c r="C6486">
        <v>68025</v>
      </c>
      <c r="D6486" t="s">
        <v>6244</v>
      </c>
      <c r="E6486">
        <v>61757</v>
      </c>
      <c r="F6486" t="s">
        <v>1660</v>
      </c>
      <c r="G6486">
        <v>617</v>
      </c>
      <c r="H6486" t="s">
        <v>109</v>
      </c>
      <c r="I6486">
        <v>6</v>
      </c>
      <c r="J6486" t="s">
        <v>101</v>
      </c>
    </row>
    <row r="6487" spans="1:10" x14ac:dyDescent="0.25">
      <c r="A6487" t="s">
        <v>150</v>
      </c>
      <c r="B6487">
        <f>18725.8348864177*(1/100/100)</f>
        <v>1.87258348864177</v>
      </c>
      <c r="C6487">
        <v>68026</v>
      </c>
      <c r="D6487" t="s">
        <v>6170</v>
      </c>
      <c r="E6487">
        <v>61757</v>
      </c>
      <c r="F6487" t="s">
        <v>1660</v>
      </c>
      <c r="G6487">
        <v>617</v>
      </c>
      <c r="H6487" t="s">
        <v>109</v>
      </c>
      <c r="I6487">
        <v>6</v>
      </c>
      <c r="J6487" t="s">
        <v>101</v>
      </c>
    </row>
    <row r="6488" spans="1:10" x14ac:dyDescent="0.25">
      <c r="A6488" t="s">
        <v>150</v>
      </c>
      <c r="B6488">
        <f>71375.9974317532*(1/100/100)</f>
        <v>7.1375997431753211</v>
      </c>
      <c r="C6488">
        <v>68027</v>
      </c>
      <c r="D6488" t="s">
        <v>6697</v>
      </c>
      <c r="E6488">
        <v>61744</v>
      </c>
      <c r="F6488" t="s">
        <v>6697</v>
      </c>
      <c r="G6488">
        <v>617</v>
      </c>
      <c r="H6488" t="s">
        <v>109</v>
      </c>
      <c r="I6488">
        <v>6</v>
      </c>
      <c r="J6488" t="s">
        <v>101</v>
      </c>
    </row>
    <row r="6489" spans="1:10" x14ac:dyDescent="0.25">
      <c r="A6489" t="s">
        <v>150</v>
      </c>
      <c r="B6489">
        <f>55447.8119765709*(1/100/100)</f>
        <v>5.5447811976570902</v>
      </c>
      <c r="C6489">
        <v>68028</v>
      </c>
      <c r="D6489" t="s">
        <v>6673</v>
      </c>
      <c r="E6489">
        <v>61711</v>
      </c>
      <c r="F6489" t="s">
        <v>1644</v>
      </c>
      <c r="G6489">
        <v>617</v>
      </c>
      <c r="H6489" t="s">
        <v>109</v>
      </c>
      <c r="I6489">
        <v>6</v>
      </c>
      <c r="J6489" t="s">
        <v>101</v>
      </c>
    </row>
    <row r="6490" spans="1:10" x14ac:dyDescent="0.25">
      <c r="A6490" t="s">
        <v>150</v>
      </c>
      <c r="B6490">
        <f>105659.990517332*(1/100/100)</f>
        <v>10.565999051733201</v>
      </c>
      <c r="C6490">
        <v>68029</v>
      </c>
      <c r="D6490" t="s">
        <v>1657</v>
      </c>
      <c r="E6490">
        <v>61750</v>
      </c>
      <c r="F6490" t="s">
        <v>1657</v>
      </c>
      <c r="G6490">
        <v>617</v>
      </c>
      <c r="H6490" t="s">
        <v>109</v>
      </c>
      <c r="I6490">
        <v>6</v>
      </c>
      <c r="J6490" t="s">
        <v>101</v>
      </c>
    </row>
    <row r="6491" spans="1:10" x14ac:dyDescent="0.25">
      <c r="A6491" t="s">
        <v>150</v>
      </c>
      <c r="B6491">
        <f>53444.2996794159*(1/100/100)</f>
        <v>5.3444299679415899</v>
      </c>
      <c r="C6491">
        <v>68030</v>
      </c>
      <c r="D6491" t="s">
        <v>6723</v>
      </c>
      <c r="E6491">
        <v>61756</v>
      </c>
      <c r="F6491" t="s">
        <v>1659</v>
      </c>
      <c r="G6491">
        <v>617</v>
      </c>
      <c r="H6491" t="s">
        <v>109</v>
      </c>
      <c r="I6491">
        <v>6</v>
      </c>
      <c r="J6491" t="s">
        <v>101</v>
      </c>
    </row>
    <row r="6492" spans="1:10" x14ac:dyDescent="0.25">
      <c r="A6492" t="s">
        <v>150</v>
      </c>
      <c r="B6492">
        <f>32185.5519784388*(1/100/100)</f>
        <v>3.2185551978438802</v>
      </c>
      <c r="C6492">
        <v>68031</v>
      </c>
      <c r="D6492" t="s">
        <v>6669</v>
      </c>
      <c r="E6492">
        <v>61708</v>
      </c>
      <c r="F6492" t="s">
        <v>1642</v>
      </c>
      <c r="G6492">
        <v>617</v>
      </c>
      <c r="H6492" t="s">
        <v>109</v>
      </c>
      <c r="I6492">
        <v>6</v>
      </c>
      <c r="J6492" t="s">
        <v>101</v>
      </c>
    </row>
    <row r="6493" spans="1:10" x14ac:dyDescent="0.25">
      <c r="A6493" t="s">
        <v>150</v>
      </c>
      <c r="B6493">
        <f>96220.2356807296*(1/100/100)</f>
        <v>9.6220235680729598</v>
      </c>
      <c r="C6493">
        <v>68032</v>
      </c>
      <c r="D6493" t="s">
        <v>6727</v>
      </c>
      <c r="E6493">
        <v>61757</v>
      </c>
      <c r="F6493" t="s">
        <v>1660</v>
      </c>
      <c r="G6493">
        <v>617</v>
      </c>
      <c r="H6493" t="s">
        <v>109</v>
      </c>
      <c r="I6493">
        <v>6</v>
      </c>
      <c r="J6493" t="s">
        <v>101</v>
      </c>
    </row>
    <row r="6494" spans="1:10" x14ac:dyDescent="0.25">
      <c r="A6494" t="s">
        <v>150</v>
      </c>
      <c r="B6494">
        <f>92424.593864895*(1/100/100)</f>
        <v>9.2424593864895002</v>
      </c>
      <c r="C6494">
        <v>68033</v>
      </c>
      <c r="D6494" t="s">
        <v>6682</v>
      </c>
      <c r="E6494">
        <v>61728</v>
      </c>
      <c r="F6494" t="s">
        <v>1648</v>
      </c>
      <c r="G6494">
        <v>617</v>
      </c>
      <c r="H6494" t="s">
        <v>109</v>
      </c>
      <c r="I6494">
        <v>6</v>
      </c>
      <c r="J6494" t="s">
        <v>101</v>
      </c>
    </row>
    <row r="6495" spans="1:10" x14ac:dyDescent="0.25">
      <c r="A6495" t="s">
        <v>150</v>
      </c>
      <c r="B6495">
        <f>219714.511141499*(1/100/100)</f>
        <v>21.9714511141499</v>
      </c>
      <c r="C6495">
        <v>68101</v>
      </c>
      <c r="D6495" t="s">
        <v>6665</v>
      </c>
      <c r="E6495">
        <v>61701</v>
      </c>
      <c r="F6495" t="s">
        <v>1641</v>
      </c>
      <c r="G6495">
        <v>617</v>
      </c>
      <c r="H6495" t="s">
        <v>109</v>
      </c>
      <c r="I6495">
        <v>6</v>
      </c>
      <c r="J6495" t="s">
        <v>101</v>
      </c>
    </row>
    <row r="6496" spans="1:10" x14ac:dyDescent="0.25">
      <c r="A6496" t="s">
        <v>150</v>
      </c>
      <c r="B6496">
        <f>24156.6026663507*(1/100/100)</f>
        <v>2.4156602666350699</v>
      </c>
      <c r="C6496">
        <v>68102</v>
      </c>
      <c r="D6496" t="s">
        <v>6734</v>
      </c>
      <c r="E6496">
        <v>61760</v>
      </c>
      <c r="F6496" t="s">
        <v>1663</v>
      </c>
      <c r="G6496">
        <v>617</v>
      </c>
      <c r="H6496" t="s">
        <v>109</v>
      </c>
      <c r="I6496">
        <v>6</v>
      </c>
      <c r="J6496" t="s">
        <v>101</v>
      </c>
    </row>
    <row r="6497" spans="1:10" x14ac:dyDescent="0.25">
      <c r="A6497" t="s">
        <v>150</v>
      </c>
      <c r="B6497">
        <f>64102.0133017704*(1/100/100)</f>
        <v>6.4102013301770402</v>
      </c>
      <c r="C6497">
        <v>68103</v>
      </c>
      <c r="D6497" t="s">
        <v>6704</v>
      </c>
      <c r="E6497">
        <v>61748</v>
      </c>
      <c r="F6497" t="s">
        <v>1656</v>
      </c>
      <c r="G6497">
        <v>617</v>
      </c>
      <c r="H6497" t="s">
        <v>109</v>
      </c>
      <c r="I6497">
        <v>6</v>
      </c>
      <c r="J6497" t="s">
        <v>101</v>
      </c>
    </row>
    <row r="6498" spans="1:10" x14ac:dyDescent="0.25">
      <c r="A6498" t="s">
        <v>150</v>
      </c>
      <c r="B6498">
        <f>79306.4302592488*(1/100/100)</f>
        <v>7.9306430259248799</v>
      </c>
      <c r="C6498">
        <v>68104</v>
      </c>
      <c r="D6498" t="s">
        <v>6700</v>
      </c>
      <c r="E6498">
        <v>61746</v>
      </c>
      <c r="F6498" t="s">
        <v>6701</v>
      </c>
      <c r="G6498">
        <v>617</v>
      </c>
      <c r="H6498" t="s">
        <v>109</v>
      </c>
      <c r="I6498">
        <v>6</v>
      </c>
      <c r="J6498" t="s">
        <v>101</v>
      </c>
    </row>
    <row r="6499" spans="1:10" x14ac:dyDescent="0.25">
      <c r="A6499" t="s">
        <v>150</v>
      </c>
      <c r="B6499">
        <f>62804.1417952456*(1/100/100)</f>
        <v>6.2804141795245609</v>
      </c>
      <c r="C6499">
        <v>68105</v>
      </c>
      <c r="D6499" t="s">
        <v>6679</v>
      </c>
      <c r="E6499">
        <v>61727</v>
      </c>
      <c r="F6499" t="s">
        <v>1647</v>
      </c>
      <c r="G6499">
        <v>617</v>
      </c>
      <c r="H6499" t="s">
        <v>109</v>
      </c>
      <c r="I6499">
        <v>6</v>
      </c>
      <c r="J6499" t="s">
        <v>101</v>
      </c>
    </row>
    <row r="6500" spans="1:10" x14ac:dyDescent="0.25">
      <c r="A6500" t="s">
        <v>150</v>
      </c>
      <c r="B6500">
        <f>19330.7343787856*(1/100/100)</f>
        <v>1.9330734378785601</v>
      </c>
      <c r="C6500">
        <v>68106</v>
      </c>
      <c r="D6500" t="s">
        <v>6705</v>
      </c>
      <c r="E6500">
        <v>61748</v>
      </c>
      <c r="F6500" t="s">
        <v>1656</v>
      </c>
      <c r="G6500">
        <v>617</v>
      </c>
      <c r="H6500" t="s">
        <v>109</v>
      </c>
      <c r="I6500">
        <v>6</v>
      </c>
      <c r="J6500" t="s">
        <v>101</v>
      </c>
    </row>
    <row r="6501" spans="1:10" x14ac:dyDescent="0.25">
      <c r="A6501" t="s">
        <v>150</v>
      </c>
      <c r="B6501">
        <f>33408.807579823*(1/100/100)</f>
        <v>3.3408807579822999</v>
      </c>
      <c r="C6501">
        <v>68107</v>
      </c>
      <c r="D6501" t="s">
        <v>6706</v>
      </c>
      <c r="E6501">
        <v>61748</v>
      </c>
      <c r="F6501" t="s">
        <v>1656</v>
      </c>
      <c r="G6501">
        <v>617</v>
      </c>
      <c r="H6501" t="s">
        <v>109</v>
      </c>
      <c r="I6501">
        <v>6</v>
      </c>
      <c r="J6501" t="s">
        <v>101</v>
      </c>
    </row>
    <row r="6502" spans="1:10" x14ac:dyDescent="0.25">
      <c r="A6502" t="s">
        <v>150</v>
      </c>
      <c r="B6502">
        <f>32994.3646383614*(1/100/100)</f>
        <v>3.2994364638361406</v>
      </c>
      <c r="C6502">
        <v>68108</v>
      </c>
      <c r="D6502" t="s">
        <v>6707</v>
      </c>
      <c r="E6502">
        <v>61748</v>
      </c>
      <c r="F6502" t="s">
        <v>1656</v>
      </c>
      <c r="G6502">
        <v>617</v>
      </c>
      <c r="H6502" t="s">
        <v>109</v>
      </c>
      <c r="I6502">
        <v>6</v>
      </c>
      <c r="J6502" t="s">
        <v>101</v>
      </c>
    </row>
    <row r="6503" spans="1:10" x14ac:dyDescent="0.25">
      <c r="A6503" t="s">
        <v>150</v>
      </c>
      <c r="B6503">
        <f>28037.769452054*(1/100/100)</f>
        <v>2.8037769452054002</v>
      </c>
      <c r="C6503">
        <v>68109</v>
      </c>
      <c r="D6503" t="s">
        <v>6735</v>
      </c>
      <c r="E6503">
        <v>61760</v>
      </c>
      <c r="F6503" t="s">
        <v>1663</v>
      </c>
      <c r="G6503">
        <v>617</v>
      </c>
      <c r="H6503" t="s">
        <v>109</v>
      </c>
      <c r="I6503">
        <v>6</v>
      </c>
      <c r="J6503" t="s">
        <v>101</v>
      </c>
    </row>
    <row r="6504" spans="1:10" x14ac:dyDescent="0.25">
      <c r="A6504" t="s">
        <v>150</v>
      </c>
      <c r="B6504">
        <f>99266.1818098633*(1/100/100)</f>
        <v>9.9266181809863294</v>
      </c>
      <c r="C6504">
        <v>68110</v>
      </c>
      <c r="D6504" t="s">
        <v>6165</v>
      </c>
      <c r="E6504">
        <v>61759</v>
      </c>
      <c r="F6504" t="s">
        <v>1662</v>
      </c>
      <c r="G6504">
        <v>617</v>
      </c>
      <c r="H6504" t="s">
        <v>109</v>
      </c>
      <c r="I6504">
        <v>6</v>
      </c>
      <c r="J6504" t="s">
        <v>101</v>
      </c>
    </row>
    <row r="6505" spans="1:10" x14ac:dyDescent="0.25">
      <c r="A6505" t="s">
        <v>150</v>
      </c>
      <c r="B6505">
        <f>557163.970534656*(1/100/100)</f>
        <v>55.716397053465599</v>
      </c>
      <c r="C6505">
        <v>68111</v>
      </c>
      <c r="D6505" t="s">
        <v>1663</v>
      </c>
      <c r="E6505">
        <v>61760</v>
      </c>
      <c r="F6505" t="s">
        <v>1663</v>
      </c>
      <c r="G6505">
        <v>617</v>
      </c>
      <c r="H6505" t="s">
        <v>109</v>
      </c>
      <c r="I6505">
        <v>6</v>
      </c>
      <c r="J6505" t="s">
        <v>101</v>
      </c>
    </row>
    <row r="6506" spans="1:10" x14ac:dyDescent="0.25">
      <c r="A6506" t="s">
        <v>150</v>
      </c>
      <c r="B6506">
        <f>56934.2431701019*(1/100/100)</f>
        <v>5.6934243170101908</v>
      </c>
      <c r="C6506">
        <v>68112</v>
      </c>
      <c r="D6506" t="s">
        <v>6708</v>
      </c>
      <c r="E6506">
        <v>61748</v>
      </c>
      <c r="F6506" t="s">
        <v>1656</v>
      </c>
      <c r="G6506">
        <v>617</v>
      </c>
      <c r="H6506" t="s">
        <v>109</v>
      </c>
      <c r="I6506">
        <v>6</v>
      </c>
      <c r="J6506" t="s">
        <v>101</v>
      </c>
    </row>
    <row r="6507" spans="1:10" x14ac:dyDescent="0.25">
      <c r="A6507" t="s">
        <v>150</v>
      </c>
      <c r="B6507">
        <f>41242.005412753*(1/100/100)</f>
        <v>4.1242005412753002</v>
      </c>
      <c r="C6507">
        <v>68113</v>
      </c>
      <c r="D6507" t="s">
        <v>3521</v>
      </c>
      <c r="E6507">
        <v>61746</v>
      </c>
      <c r="F6507" t="s">
        <v>6701</v>
      </c>
      <c r="G6507">
        <v>617</v>
      </c>
      <c r="H6507" t="s">
        <v>109</v>
      </c>
      <c r="I6507">
        <v>6</v>
      </c>
      <c r="J6507" t="s">
        <v>101</v>
      </c>
    </row>
    <row r="6508" spans="1:10" x14ac:dyDescent="0.25">
      <c r="A6508" t="s">
        <v>150</v>
      </c>
      <c r="B6508">
        <f>29529.2200887664*(1/100/100)</f>
        <v>2.9529220088766404</v>
      </c>
      <c r="C6508">
        <v>68114</v>
      </c>
      <c r="D6508" t="s">
        <v>6745</v>
      </c>
      <c r="E6508">
        <v>61762</v>
      </c>
      <c r="F6508" t="s">
        <v>1665</v>
      </c>
      <c r="G6508">
        <v>617</v>
      </c>
      <c r="H6508" t="s">
        <v>109</v>
      </c>
      <c r="I6508">
        <v>6</v>
      </c>
      <c r="J6508" t="s">
        <v>101</v>
      </c>
    </row>
    <row r="6509" spans="1:10" x14ac:dyDescent="0.25">
      <c r="A6509" t="s">
        <v>150</v>
      </c>
      <c r="B6509">
        <f>106523.340695603*(1/100/100)</f>
        <v>10.6523340695603</v>
      </c>
      <c r="C6509">
        <v>68115</v>
      </c>
      <c r="D6509" t="s">
        <v>6731</v>
      </c>
      <c r="E6509">
        <v>61759</v>
      </c>
      <c r="F6509" t="s">
        <v>1662</v>
      </c>
      <c r="G6509">
        <v>617</v>
      </c>
      <c r="H6509" t="s">
        <v>109</v>
      </c>
      <c r="I6509">
        <v>6</v>
      </c>
      <c r="J6509" t="s">
        <v>101</v>
      </c>
    </row>
    <row r="6510" spans="1:10" x14ac:dyDescent="0.25">
      <c r="A6510" t="s">
        <v>150</v>
      </c>
      <c r="B6510">
        <f>41349.7141932412*(1/100/100)</f>
        <v>4.1349714193241196</v>
      </c>
      <c r="C6510">
        <v>68116</v>
      </c>
      <c r="D6510" t="s">
        <v>2630</v>
      </c>
      <c r="E6510">
        <v>61764</v>
      </c>
      <c r="F6510" t="s">
        <v>1667</v>
      </c>
      <c r="G6510">
        <v>617</v>
      </c>
      <c r="H6510" t="s">
        <v>109</v>
      </c>
      <c r="I6510">
        <v>6</v>
      </c>
      <c r="J6510" t="s">
        <v>101</v>
      </c>
    </row>
    <row r="6511" spans="1:10" x14ac:dyDescent="0.25">
      <c r="A6511" t="s">
        <v>150</v>
      </c>
      <c r="B6511">
        <f>41982.3647681302*(1/100/100)</f>
        <v>4.1982364768130207</v>
      </c>
      <c r="C6511">
        <v>68117</v>
      </c>
      <c r="D6511" t="s">
        <v>6732</v>
      </c>
      <c r="E6511">
        <v>61759</v>
      </c>
      <c r="F6511" t="s">
        <v>1662</v>
      </c>
      <c r="G6511">
        <v>617</v>
      </c>
      <c r="H6511" t="s">
        <v>109</v>
      </c>
      <c r="I6511">
        <v>6</v>
      </c>
      <c r="J6511" t="s">
        <v>101</v>
      </c>
    </row>
    <row r="6512" spans="1:10" x14ac:dyDescent="0.25">
      <c r="A6512" t="s">
        <v>150</v>
      </c>
      <c r="B6512">
        <f>173920.611748266*(1/100/100)</f>
        <v>17.392061174826601</v>
      </c>
      <c r="C6512">
        <v>68118</v>
      </c>
      <c r="D6512" t="s">
        <v>6674</v>
      </c>
      <c r="E6512">
        <v>61716</v>
      </c>
      <c r="F6512" t="s">
        <v>1645</v>
      </c>
      <c r="G6512">
        <v>617</v>
      </c>
      <c r="H6512" t="s">
        <v>109</v>
      </c>
      <c r="I6512">
        <v>6</v>
      </c>
      <c r="J6512" t="s">
        <v>101</v>
      </c>
    </row>
    <row r="6513" spans="1:10" x14ac:dyDescent="0.25">
      <c r="A6513" t="s">
        <v>150</v>
      </c>
      <c r="B6513">
        <f>112340.692544492*(1/100/100)</f>
        <v>11.234069254449201</v>
      </c>
      <c r="C6513">
        <v>68119</v>
      </c>
      <c r="D6513" t="s">
        <v>6986</v>
      </c>
      <c r="E6513">
        <v>62266</v>
      </c>
      <c r="F6513" t="s">
        <v>1730</v>
      </c>
      <c r="G6513">
        <v>622</v>
      </c>
      <c r="H6513" t="s">
        <v>112</v>
      </c>
      <c r="I6513">
        <v>6</v>
      </c>
      <c r="J6513" t="s">
        <v>101</v>
      </c>
    </row>
    <row r="6514" spans="1:10" x14ac:dyDescent="0.25">
      <c r="A6514" t="s">
        <v>150</v>
      </c>
      <c r="B6514">
        <f>58879.3107274*(1/100/100)</f>
        <v>5.8879310727399998</v>
      </c>
      <c r="C6514">
        <v>68120</v>
      </c>
      <c r="D6514" t="s">
        <v>6277</v>
      </c>
      <c r="E6514">
        <v>61719</v>
      </c>
      <c r="F6514" t="s">
        <v>1646</v>
      </c>
      <c r="G6514">
        <v>617</v>
      </c>
      <c r="H6514" t="s">
        <v>109</v>
      </c>
      <c r="I6514">
        <v>6</v>
      </c>
      <c r="J6514" t="s">
        <v>101</v>
      </c>
    </row>
    <row r="6515" spans="1:10" x14ac:dyDescent="0.25">
      <c r="A6515" t="s">
        <v>150</v>
      </c>
      <c r="B6515">
        <f>25914.5411439936*(1/100/100)</f>
        <v>2.5914541143993599</v>
      </c>
      <c r="C6515">
        <v>68121</v>
      </c>
      <c r="D6515" t="s">
        <v>2173</v>
      </c>
      <c r="E6515">
        <v>61701</v>
      </c>
      <c r="F6515" t="s">
        <v>1641</v>
      </c>
      <c r="G6515">
        <v>617</v>
      </c>
      <c r="H6515" t="s">
        <v>109</v>
      </c>
      <c r="I6515">
        <v>6</v>
      </c>
      <c r="J6515" t="s">
        <v>101</v>
      </c>
    </row>
    <row r="6516" spans="1:10" x14ac:dyDescent="0.25">
      <c r="A6516" t="s">
        <v>150</v>
      </c>
      <c r="B6516">
        <f>43498.6785116061*(1/100/100)</f>
        <v>4.3498678511606101</v>
      </c>
      <c r="C6516">
        <v>68122</v>
      </c>
      <c r="D6516" t="s">
        <v>2756</v>
      </c>
      <c r="E6516">
        <v>61760</v>
      </c>
      <c r="F6516" t="s">
        <v>1663</v>
      </c>
      <c r="G6516">
        <v>617</v>
      </c>
      <c r="H6516" t="s">
        <v>109</v>
      </c>
      <c r="I6516">
        <v>6</v>
      </c>
      <c r="J6516" t="s">
        <v>101</v>
      </c>
    </row>
    <row r="6517" spans="1:10" x14ac:dyDescent="0.25">
      <c r="A6517" t="s">
        <v>150</v>
      </c>
      <c r="B6517">
        <f>45773.7780076115*(1/100/100)</f>
        <v>4.5773778007611501</v>
      </c>
      <c r="C6517">
        <v>68123</v>
      </c>
      <c r="D6517" t="s">
        <v>5745</v>
      </c>
      <c r="E6517">
        <v>61746</v>
      </c>
      <c r="F6517" t="s">
        <v>6701</v>
      </c>
      <c r="G6517">
        <v>617</v>
      </c>
      <c r="H6517" t="s">
        <v>109</v>
      </c>
      <c r="I6517">
        <v>6</v>
      </c>
      <c r="J6517" t="s">
        <v>101</v>
      </c>
    </row>
    <row r="6518" spans="1:10" x14ac:dyDescent="0.25">
      <c r="A6518" t="s">
        <v>150</v>
      </c>
      <c r="B6518">
        <f>18321.5779793639*(1/100/100)</f>
        <v>1.8321577979363901</v>
      </c>
      <c r="C6518">
        <v>68124</v>
      </c>
      <c r="D6518" t="s">
        <v>6755</v>
      </c>
      <c r="E6518">
        <v>61764</v>
      </c>
      <c r="F6518" t="s">
        <v>1667</v>
      </c>
      <c r="G6518">
        <v>617</v>
      </c>
      <c r="H6518" t="s">
        <v>109</v>
      </c>
      <c r="I6518">
        <v>6</v>
      </c>
      <c r="J6518" t="s">
        <v>101</v>
      </c>
    </row>
    <row r="6519" spans="1:10" x14ac:dyDescent="0.25">
      <c r="A6519" t="s">
        <v>150</v>
      </c>
      <c r="B6519">
        <f>43017.1916142364*(1/100/100)</f>
        <v>4.3017191614236401</v>
      </c>
      <c r="C6519">
        <v>68125</v>
      </c>
      <c r="D6519" t="s">
        <v>6736</v>
      </c>
      <c r="E6519">
        <v>61760</v>
      </c>
      <c r="F6519" t="s">
        <v>1663</v>
      </c>
      <c r="G6519">
        <v>617</v>
      </c>
      <c r="H6519" t="s">
        <v>109</v>
      </c>
      <c r="I6519">
        <v>6</v>
      </c>
      <c r="J6519" t="s">
        <v>101</v>
      </c>
    </row>
    <row r="6520" spans="1:10" x14ac:dyDescent="0.25">
      <c r="A6520" t="s">
        <v>150</v>
      </c>
      <c r="B6520">
        <f>95028.4054058146*(1/100/100)</f>
        <v>9.5028405405814595</v>
      </c>
      <c r="C6520">
        <v>68126</v>
      </c>
      <c r="D6520" t="s">
        <v>6680</v>
      </c>
      <c r="E6520">
        <v>61727</v>
      </c>
      <c r="F6520" t="s">
        <v>1647</v>
      </c>
      <c r="G6520">
        <v>617</v>
      </c>
      <c r="H6520" t="s">
        <v>109</v>
      </c>
      <c r="I6520">
        <v>6</v>
      </c>
      <c r="J6520" t="s">
        <v>101</v>
      </c>
    </row>
    <row r="6521" spans="1:10" x14ac:dyDescent="0.25">
      <c r="A6521" t="s">
        <v>150</v>
      </c>
      <c r="B6521">
        <f>165167.971333155*(1/100/100)</f>
        <v>16.516797133315499</v>
      </c>
      <c r="C6521">
        <v>68127</v>
      </c>
      <c r="D6521" t="s">
        <v>6701</v>
      </c>
      <c r="E6521">
        <v>61746</v>
      </c>
      <c r="F6521" t="s">
        <v>6701</v>
      </c>
      <c r="G6521">
        <v>617</v>
      </c>
      <c r="H6521" t="s">
        <v>109</v>
      </c>
      <c r="I6521">
        <v>6</v>
      </c>
      <c r="J6521" t="s">
        <v>101</v>
      </c>
    </row>
    <row r="6522" spans="1:10" x14ac:dyDescent="0.25">
      <c r="A6522" t="s">
        <v>150</v>
      </c>
      <c r="B6522">
        <f>12863.4352880561*(1/100/100)</f>
        <v>1.28634352880561</v>
      </c>
      <c r="C6522">
        <v>68128</v>
      </c>
      <c r="D6522" t="s">
        <v>6709</v>
      </c>
      <c r="E6522">
        <v>61748</v>
      </c>
      <c r="F6522" t="s">
        <v>1656</v>
      </c>
      <c r="G6522">
        <v>617</v>
      </c>
      <c r="H6522" t="s">
        <v>109</v>
      </c>
      <c r="I6522">
        <v>6</v>
      </c>
      <c r="J6522" t="s">
        <v>101</v>
      </c>
    </row>
    <row r="6523" spans="1:10" x14ac:dyDescent="0.25">
      <c r="A6523" t="s">
        <v>150</v>
      </c>
      <c r="B6523">
        <f>45802.024805041*(1/100/100)</f>
        <v>4.5802024805041004</v>
      </c>
      <c r="C6523">
        <v>68129</v>
      </c>
      <c r="D6523" t="s">
        <v>280</v>
      </c>
      <c r="E6523">
        <v>61762</v>
      </c>
      <c r="F6523" t="s">
        <v>1665</v>
      </c>
      <c r="G6523">
        <v>617</v>
      </c>
      <c r="H6523" t="s">
        <v>109</v>
      </c>
      <c r="I6523">
        <v>6</v>
      </c>
      <c r="J6523" t="s">
        <v>101</v>
      </c>
    </row>
    <row r="6524" spans="1:10" x14ac:dyDescent="0.25">
      <c r="A6524" t="s">
        <v>150</v>
      </c>
      <c r="B6524">
        <f>75186.4026095459*(1/100/100)</f>
        <v>7.5186402609545899</v>
      </c>
      <c r="C6524">
        <v>68130</v>
      </c>
      <c r="D6524" t="s">
        <v>6737</v>
      </c>
      <c r="E6524">
        <v>61760</v>
      </c>
      <c r="F6524" t="s">
        <v>1663</v>
      </c>
      <c r="G6524">
        <v>617</v>
      </c>
      <c r="H6524" t="s">
        <v>109</v>
      </c>
      <c r="I6524">
        <v>6</v>
      </c>
      <c r="J6524" t="s">
        <v>101</v>
      </c>
    </row>
    <row r="6525" spans="1:10" x14ac:dyDescent="0.25">
      <c r="A6525" t="s">
        <v>150</v>
      </c>
      <c r="B6525">
        <f>18156.3758021111*(1/100/100)</f>
        <v>1.81563758021111</v>
      </c>
      <c r="C6525">
        <v>68131</v>
      </c>
      <c r="D6525" t="s">
        <v>6746</v>
      </c>
      <c r="E6525">
        <v>61762</v>
      </c>
      <c r="F6525" t="s">
        <v>1665</v>
      </c>
      <c r="G6525">
        <v>617</v>
      </c>
      <c r="H6525" t="s">
        <v>109</v>
      </c>
      <c r="I6525">
        <v>6</v>
      </c>
      <c r="J6525" t="s">
        <v>101</v>
      </c>
    </row>
    <row r="6526" spans="1:10" x14ac:dyDescent="0.25">
      <c r="A6526" t="s">
        <v>150</v>
      </c>
      <c r="B6526">
        <f>57930.8022508537*(1/100/100)</f>
        <v>5.7930802250853706</v>
      </c>
      <c r="C6526">
        <v>68132</v>
      </c>
      <c r="D6526" t="s">
        <v>6710</v>
      </c>
      <c r="E6526">
        <v>61748</v>
      </c>
      <c r="F6526" t="s">
        <v>1656</v>
      </c>
      <c r="G6526">
        <v>617</v>
      </c>
      <c r="H6526" t="s">
        <v>109</v>
      </c>
      <c r="I6526">
        <v>6</v>
      </c>
      <c r="J6526" t="s">
        <v>101</v>
      </c>
    </row>
    <row r="6527" spans="1:10" x14ac:dyDescent="0.25">
      <c r="A6527" t="s">
        <v>150</v>
      </c>
      <c r="B6527">
        <f>96385.7322143543*(1/100/100)</f>
        <v>9.6385732214354309</v>
      </c>
      <c r="C6527">
        <v>68133</v>
      </c>
      <c r="D6527" t="s">
        <v>6733</v>
      </c>
      <c r="E6527">
        <v>61759</v>
      </c>
      <c r="F6527" t="s">
        <v>1662</v>
      </c>
      <c r="G6527">
        <v>617</v>
      </c>
      <c r="H6527" t="s">
        <v>109</v>
      </c>
      <c r="I6527">
        <v>6</v>
      </c>
      <c r="J6527" t="s">
        <v>101</v>
      </c>
    </row>
    <row r="6528" spans="1:10" x14ac:dyDescent="0.25">
      <c r="A6528" t="s">
        <v>150</v>
      </c>
      <c r="B6528">
        <f>44201.6471579628*(1/100/100)</f>
        <v>4.4201647157962798</v>
      </c>
      <c r="C6528">
        <v>68134</v>
      </c>
      <c r="D6528" t="s">
        <v>4890</v>
      </c>
      <c r="E6528">
        <v>61716</v>
      </c>
      <c r="F6528" t="s">
        <v>1645</v>
      </c>
      <c r="G6528">
        <v>617</v>
      </c>
      <c r="H6528" t="s">
        <v>109</v>
      </c>
      <c r="I6528">
        <v>6</v>
      </c>
      <c r="J6528" t="s">
        <v>101</v>
      </c>
    </row>
    <row r="6529" spans="1:10" x14ac:dyDescent="0.25">
      <c r="A6529" t="s">
        <v>150</v>
      </c>
      <c r="B6529">
        <f>44936.7973544662*(1/100/100)</f>
        <v>4.4936797354466202</v>
      </c>
      <c r="C6529">
        <v>68136</v>
      </c>
      <c r="D6529" t="s">
        <v>6681</v>
      </c>
      <c r="E6529">
        <v>61727</v>
      </c>
      <c r="F6529" t="s">
        <v>1647</v>
      </c>
      <c r="G6529">
        <v>617</v>
      </c>
      <c r="H6529" t="s">
        <v>109</v>
      </c>
      <c r="I6529">
        <v>6</v>
      </c>
      <c r="J6529" t="s">
        <v>101</v>
      </c>
    </row>
    <row r="6530" spans="1:10" x14ac:dyDescent="0.25">
      <c r="A6530" t="s">
        <v>150</v>
      </c>
      <c r="B6530">
        <f>97542.8758030194*(1/100/100)</f>
        <v>9.7542875803019413</v>
      </c>
      <c r="C6530">
        <v>68137</v>
      </c>
      <c r="D6530" t="s">
        <v>6676</v>
      </c>
      <c r="E6530">
        <v>61719</v>
      </c>
      <c r="F6530" t="s">
        <v>1646</v>
      </c>
      <c r="G6530">
        <v>617</v>
      </c>
      <c r="H6530" t="s">
        <v>109</v>
      </c>
      <c r="I6530">
        <v>6</v>
      </c>
      <c r="J6530" t="s">
        <v>101</v>
      </c>
    </row>
    <row r="6531" spans="1:10" x14ac:dyDescent="0.25">
      <c r="A6531" t="s">
        <v>150</v>
      </c>
      <c r="B6531">
        <f>180176.307328395*(1/100/100)</f>
        <v>18.0176307328395</v>
      </c>
      <c r="C6531">
        <v>68138</v>
      </c>
      <c r="D6531" t="s">
        <v>3143</v>
      </c>
      <c r="E6531">
        <v>61764</v>
      </c>
      <c r="F6531" t="s">
        <v>1667</v>
      </c>
      <c r="G6531">
        <v>617</v>
      </c>
      <c r="H6531" t="s">
        <v>109</v>
      </c>
      <c r="I6531">
        <v>6</v>
      </c>
      <c r="J6531" t="s">
        <v>101</v>
      </c>
    </row>
    <row r="6532" spans="1:10" x14ac:dyDescent="0.25">
      <c r="A6532" t="s">
        <v>150</v>
      </c>
      <c r="B6532">
        <f>21562.376699885*(1/100/100)</f>
        <v>2.1562376699885002</v>
      </c>
      <c r="C6532">
        <v>68139</v>
      </c>
      <c r="D6532" t="s">
        <v>6666</v>
      </c>
      <c r="E6532">
        <v>61701</v>
      </c>
      <c r="F6532" t="s">
        <v>1641</v>
      </c>
      <c r="G6532">
        <v>617</v>
      </c>
      <c r="H6532" t="s">
        <v>109</v>
      </c>
      <c r="I6532">
        <v>6</v>
      </c>
      <c r="J6532" t="s">
        <v>101</v>
      </c>
    </row>
    <row r="6533" spans="1:10" x14ac:dyDescent="0.25">
      <c r="A6533" t="s">
        <v>150</v>
      </c>
      <c r="B6533">
        <f>83109.528395425*(1/100/100)</f>
        <v>8.3109528395425016</v>
      </c>
      <c r="C6533">
        <v>68140</v>
      </c>
      <c r="D6533" t="s">
        <v>6675</v>
      </c>
      <c r="E6533">
        <v>61716</v>
      </c>
      <c r="F6533" t="s">
        <v>1645</v>
      </c>
      <c r="G6533">
        <v>617</v>
      </c>
      <c r="H6533" t="s">
        <v>109</v>
      </c>
      <c r="I6533">
        <v>6</v>
      </c>
      <c r="J6533" t="s">
        <v>101</v>
      </c>
    </row>
    <row r="6534" spans="1:10" x14ac:dyDescent="0.25">
      <c r="A6534" t="s">
        <v>150</v>
      </c>
      <c r="B6534">
        <f>101700.363745782*(1/100/100)</f>
        <v>10.170036374578201</v>
      </c>
      <c r="C6534">
        <v>68141</v>
      </c>
      <c r="D6534" t="s">
        <v>6747</v>
      </c>
      <c r="E6534">
        <v>61762</v>
      </c>
      <c r="F6534" t="s">
        <v>1665</v>
      </c>
      <c r="G6534">
        <v>617</v>
      </c>
      <c r="H6534" t="s">
        <v>109</v>
      </c>
      <c r="I6534">
        <v>6</v>
      </c>
      <c r="J6534" t="s">
        <v>101</v>
      </c>
    </row>
    <row r="6535" spans="1:10" x14ac:dyDescent="0.25">
      <c r="A6535" t="s">
        <v>150</v>
      </c>
      <c r="B6535">
        <f>43084.9558652976*(1/100/100)</f>
        <v>4.3084955865297596</v>
      </c>
      <c r="C6535">
        <v>68142</v>
      </c>
      <c r="D6535" t="s">
        <v>6667</v>
      </c>
      <c r="E6535">
        <v>61701</v>
      </c>
      <c r="F6535" t="s">
        <v>1641</v>
      </c>
      <c r="G6535">
        <v>617</v>
      </c>
      <c r="H6535" t="s">
        <v>109</v>
      </c>
      <c r="I6535">
        <v>6</v>
      </c>
      <c r="J6535" t="s">
        <v>101</v>
      </c>
    </row>
    <row r="6536" spans="1:10" x14ac:dyDescent="0.25">
      <c r="A6536" t="s">
        <v>150</v>
      </c>
      <c r="B6536">
        <f>65975.1308611408*(1/100/100)</f>
        <v>6.5975130861140805</v>
      </c>
      <c r="C6536">
        <v>68143</v>
      </c>
      <c r="D6536" t="s">
        <v>6748</v>
      </c>
      <c r="E6536">
        <v>61762</v>
      </c>
      <c r="F6536" t="s">
        <v>1665</v>
      </c>
      <c r="G6536">
        <v>617</v>
      </c>
      <c r="H6536" t="s">
        <v>109</v>
      </c>
      <c r="I6536">
        <v>6</v>
      </c>
      <c r="J6536" t="s">
        <v>101</v>
      </c>
    </row>
    <row r="6537" spans="1:10" x14ac:dyDescent="0.25">
      <c r="A6537" t="s">
        <v>150</v>
      </c>
      <c r="B6537">
        <f>70931.6642912715*(1/100/100)</f>
        <v>7.0931664291271508</v>
      </c>
      <c r="C6537">
        <v>68144</v>
      </c>
      <c r="D6537" t="s">
        <v>6756</v>
      </c>
      <c r="E6537">
        <v>61764</v>
      </c>
      <c r="F6537" t="s">
        <v>1667</v>
      </c>
      <c r="G6537">
        <v>617</v>
      </c>
      <c r="H6537" t="s">
        <v>109</v>
      </c>
      <c r="I6537">
        <v>6</v>
      </c>
      <c r="J6537" t="s">
        <v>101</v>
      </c>
    </row>
    <row r="6538" spans="1:10" x14ac:dyDescent="0.25">
      <c r="A6538" t="s">
        <v>150</v>
      </c>
      <c r="B6538">
        <f>45609.2916786723*(1/100/100)</f>
        <v>4.5609291678672301</v>
      </c>
      <c r="C6538">
        <v>68145</v>
      </c>
      <c r="D6538" t="s">
        <v>87</v>
      </c>
      <c r="E6538">
        <v>61764</v>
      </c>
      <c r="F6538" t="s">
        <v>1667</v>
      </c>
      <c r="G6538">
        <v>617</v>
      </c>
      <c r="H6538" t="s">
        <v>109</v>
      </c>
      <c r="I6538">
        <v>6</v>
      </c>
      <c r="J6538" t="s">
        <v>101</v>
      </c>
    </row>
    <row r="6539" spans="1:10" x14ac:dyDescent="0.25">
      <c r="A6539" t="s">
        <v>150</v>
      </c>
      <c r="B6539">
        <f>78428.9360893175*(1/100/100)</f>
        <v>7.8428936089317505</v>
      </c>
      <c r="C6539">
        <v>68146</v>
      </c>
      <c r="D6539" t="s">
        <v>6757</v>
      </c>
      <c r="E6539">
        <v>61764</v>
      </c>
      <c r="F6539" t="s">
        <v>1667</v>
      </c>
      <c r="G6539">
        <v>617</v>
      </c>
      <c r="H6539" t="s">
        <v>109</v>
      </c>
      <c r="I6539">
        <v>6</v>
      </c>
      <c r="J6539" t="s">
        <v>101</v>
      </c>
    </row>
    <row r="6540" spans="1:10" x14ac:dyDescent="0.25">
      <c r="A6540" t="s">
        <v>150</v>
      </c>
      <c r="B6540">
        <f>47845.9148430639*(1/100/100)</f>
        <v>4.7845914843063904</v>
      </c>
      <c r="C6540">
        <v>68147</v>
      </c>
      <c r="D6540" t="s">
        <v>6758</v>
      </c>
      <c r="E6540">
        <v>61764</v>
      </c>
      <c r="F6540" t="s">
        <v>1667</v>
      </c>
      <c r="G6540">
        <v>617</v>
      </c>
      <c r="H6540" t="s">
        <v>109</v>
      </c>
      <c r="I6540">
        <v>6</v>
      </c>
      <c r="J6540" t="s">
        <v>101</v>
      </c>
    </row>
    <row r="6541" spans="1:10" x14ac:dyDescent="0.25">
      <c r="A6541" t="s">
        <v>150</v>
      </c>
      <c r="B6541">
        <f>90917.8448501215*(1/100/100)</f>
        <v>9.0917844850121501</v>
      </c>
      <c r="C6541">
        <v>68148</v>
      </c>
      <c r="D6541" t="s">
        <v>1656</v>
      </c>
      <c r="E6541">
        <v>61748</v>
      </c>
      <c r="F6541" t="s">
        <v>1656</v>
      </c>
      <c r="G6541">
        <v>617</v>
      </c>
      <c r="H6541" t="s">
        <v>109</v>
      </c>
      <c r="I6541">
        <v>6</v>
      </c>
      <c r="J6541" t="s">
        <v>101</v>
      </c>
    </row>
    <row r="6542" spans="1:10" x14ac:dyDescent="0.25">
      <c r="A6542" t="s">
        <v>150</v>
      </c>
      <c r="B6542">
        <f>65870.9765191402*(1/100/100)</f>
        <v>6.5870976519140196</v>
      </c>
      <c r="C6542">
        <v>68149</v>
      </c>
      <c r="D6542" t="s">
        <v>2111</v>
      </c>
      <c r="E6542">
        <v>61746</v>
      </c>
      <c r="F6542" t="s">
        <v>6701</v>
      </c>
      <c r="G6542">
        <v>617</v>
      </c>
      <c r="H6542" t="s">
        <v>109</v>
      </c>
      <c r="I6542">
        <v>6</v>
      </c>
      <c r="J6542" t="s">
        <v>101</v>
      </c>
    </row>
    <row r="6543" spans="1:10" x14ac:dyDescent="0.25">
      <c r="A6543" t="s">
        <v>150</v>
      </c>
      <c r="B6543">
        <f>44464.6292653197*(1/100/100)</f>
        <v>4.4464629265319706</v>
      </c>
      <c r="C6543">
        <v>68150</v>
      </c>
      <c r="D6543" t="s">
        <v>6702</v>
      </c>
      <c r="E6543">
        <v>61746</v>
      </c>
      <c r="F6543" t="s">
        <v>6701</v>
      </c>
      <c r="G6543">
        <v>617</v>
      </c>
      <c r="H6543" t="s">
        <v>109</v>
      </c>
      <c r="I6543">
        <v>6</v>
      </c>
      <c r="J6543" t="s">
        <v>101</v>
      </c>
    </row>
    <row r="6544" spans="1:10" x14ac:dyDescent="0.25">
      <c r="A6544" t="s">
        <v>150</v>
      </c>
      <c r="B6544">
        <f>84177.2692702186*(1/100/100)</f>
        <v>8.4177269270218602</v>
      </c>
      <c r="C6544">
        <v>68151</v>
      </c>
      <c r="D6544" t="s">
        <v>6703</v>
      </c>
      <c r="E6544">
        <v>61746</v>
      </c>
      <c r="F6544" t="s">
        <v>6701</v>
      </c>
      <c r="G6544">
        <v>617</v>
      </c>
      <c r="H6544" t="s">
        <v>109</v>
      </c>
      <c r="I6544">
        <v>6</v>
      </c>
      <c r="J6544" t="s">
        <v>101</v>
      </c>
    </row>
    <row r="6545" spans="1:10" x14ac:dyDescent="0.25">
      <c r="A6545" t="s">
        <v>150</v>
      </c>
      <c r="B6545">
        <f>72396.1480825402*(1/100/100)</f>
        <v>7.2396148082540197</v>
      </c>
      <c r="C6545">
        <v>68152</v>
      </c>
      <c r="D6545" t="s">
        <v>6738</v>
      </c>
      <c r="E6545">
        <v>61760</v>
      </c>
      <c r="F6545" t="s">
        <v>1663</v>
      </c>
      <c r="G6545">
        <v>617</v>
      </c>
      <c r="H6545" t="s">
        <v>109</v>
      </c>
      <c r="I6545">
        <v>6</v>
      </c>
      <c r="J6545" t="s">
        <v>101</v>
      </c>
    </row>
    <row r="6546" spans="1:10" x14ac:dyDescent="0.25">
      <c r="A6546" t="s">
        <v>150</v>
      </c>
      <c r="B6546">
        <f>129004.102154187*(1/100/100)</f>
        <v>12.900410215418701</v>
      </c>
      <c r="C6546">
        <v>68153</v>
      </c>
      <c r="D6546" t="s">
        <v>6711</v>
      </c>
      <c r="E6546">
        <v>61748</v>
      </c>
      <c r="F6546" t="s">
        <v>1656</v>
      </c>
      <c r="G6546">
        <v>617</v>
      </c>
      <c r="H6546" t="s">
        <v>109</v>
      </c>
      <c r="I6546">
        <v>6</v>
      </c>
      <c r="J6546" t="s">
        <v>101</v>
      </c>
    </row>
    <row r="6547" spans="1:10" x14ac:dyDescent="0.25">
      <c r="A6547" t="s">
        <v>150</v>
      </c>
      <c r="B6547">
        <f>119391.264468544*(1/100/100)</f>
        <v>11.9391264468544</v>
      </c>
      <c r="C6547">
        <v>68154</v>
      </c>
      <c r="D6547" t="s">
        <v>6739</v>
      </c>
      <c r="E6547">
        <v>61760</v>
      </c>
      <c r="F6547" t="s">
        <v>1663</v>
      </c>
      <c r="G6547">
        <v>617</v>
      </c>
      <c r="H6547" t="s">
        <v>109</v>
      </c>
      <c r="I6547">
        <v>6</v>
      </c>
      <c r="J6547" t="s">
        <v>101</v>
      </c>
    </row>
    <row r="6548" spans="1:10" x14ac:dyDescent="0.25">
      <c r="A6548" t="s">
        <v>150</v>
      </c>
      <c r="B6548">
        <f>57701.6407395692*(1/100/100)</f>
        <v>5.77016407395692</v>
      </c>
      <c r="C6548">
        <v>68155</v>
      </c>
      <c r="D6548" t="s">
        <v>6712</v>
      </c>
      <c r="E6548">
        <v>61748</v>
      </c>
      <c r="F6548" t="s">
        <v>1656</v>
      </c>
      <c r="G6548">
        <v>617</v>
      </c>
      <c r="H6548" t="s">
        <v>109</v>
      </c>
      <c r="I6548">
        <v>6</v>
      </c>
      <c r="J6548" t="s">
        <v>101</v>
      </c>
    </row>
    <row r="6549" spans="1:10" x14ac:dyDescent="0.25">
      <c r="A6549" t="s">
        <v>150</v>
      </c>
      <c r="B6549">
        <f>46490.5068634678*(1/100/100)</f>
        <v>4.6490506863467802</v>
      </c>
      <c r="C6549">
        <v>68156</v>
      </c>
      <c r="D6549" t="s">
        <v>6740</v>
      </c>
      <c r="E6549">
        <v>61760</v>
      </c>
      <c r="F6549" t="s">
        <v>1663</v>
      </c>
      <c r="G6549">
        <v>617</v>
      </c>
      <c r="H6549" t="s">
        <v>109</v>
      </c>
      <c r="I6549">
        <v>6</v>
      </c>
      <c r="J6549" t="s">
        <v>101</v>
      </c>
    </row>
    <row r="6550" spans="1:10" x14ac:dyDescent="0.25">
      <c r="A6550" t="s">
        <v>150</v>
      </c>
      <c r="B6550">
        <f>59598.1175784784*(1/100/100)</f>
        <v>5.9598117578478398</v>
      </c>
      <c r="C6550">
        <v>68157</v>
      </c>
      <c r="D6550" t="s">
        <v>6677</v>
      </c>
      <c r="E6550">
        <v>61719</v>
      </c>
      <c r="F6550" t="s">
        <v>1646</v>
      </c>
      <c r="G6550">
        <v>617</v>
      </c>
      <c r="H6550" t="s">
        <v>109</v>
      </c>
      <c r="I6550">
        <v>6</v>
      </c>
      <c r="J6550" t="s">
        <v>101</v>
      </c>
    </row>
    <row r="6551" spans="1:10" x14ac:dyDescent="0.25">
      <c r="A6551" t="s">
        <v>150</v>
      </c>
      <c r="B6551">
        <f>52986.3228758117*(1/100/100)</f>
        <v>5.29863228758117</v>
      </c>
      <c r="C6551">
        <v>68158</v>
      </c>
      <c r="D6551" t="s">
        <v>775</v>
      </c>
      <c r="E6551">
        <v>61727</v>
      </c>
      <c r="F6551" t="s">
        <v>1647</v>
      </c>
      <c r="G6551">
        <v>617</v>
      </c>
      <c r="H6551" t="s">
        <v>109</v>
      </c>
      <c r="I6551">
        <v>6</v>
      </c>
      <c r="J6551" t="s">
        <v>101</v>
      </c>
    </row>
    <row r="6552" spans="1:10" x14ac:dyDescent="0.25">
      <c r="A6552" t="s">
        <v>150</v>
      </c>
      <c r="B6552">
        <f>42720.9905097411*(1/100/100)</f>
        <v>4.2720990509741101</v>
      </c>
      <c r="C6552">
        <v>68159</v>
      </c>
      <c r="D6552" t="s">
        <v>6749</v>
      </c>
      <c r="E6552">
        <v>61762</v>
      </c>
      <c r="F6552" t="s">
        <v>1665</v>
      </c>
      <c r="G6552">
        <v>617</v>
      </c>
      <c r="H6552" t="s">
        <v>109</v>
      </c>
      <c r="I6552">
        <v>6</v>
      </c>
      <c r="J6552" t="s">
        <v>101</v>
      </c>
    </row>
    <row r="6553" spans="1:10" x14ac:dyDescent="0.25">
      <c r="A6553" t="s">
        <v>150</v>
      </c>
      <c r="B6553">
        <f>19895.1014506253*(1/100/100)</f>
        <v>1.9895101450625303</v>
      </c>
      <c r="C6553">
        <v>68160</v>
      </c>
      <c r="D6553" t="s">
        <v>6668</v>
      </c>
      <c r="E6553">
        <v>61701</v>
      </c>
      <c r="F6553" t="s">
        <v>1641</v>
      </c>
      <c r="G6553">
        <v>617</v>
      </c>
      <c r="H6553" t="s">
        <v>109</v>
      </c>
      <c r="I6553">
        <v>6</v>
      </c>
      <c r="J6553" t="s">
        <v>101</v>
      </c>
    </row>
    <row r="6554" spans="1:10" x14ac:dyDescent="0.25">
      <c r="A6554" t="s">
        <v>150</v>
      </c>
      <c r="B6554">
        <f>98842.5809544391*(1/100/100)</f>
        <v>9.8842580954439097</v>
      </c>
      <c r="C6554">
        <v>68161</v>
      </c>
      <c r="D6554" t="s">
        <v>6678</v>
      </c>
      <c r="E6554">
        <v>61719</v>
      </c>
      <c r="F6554" t="s">
        <v>1646</v>
      </c>
      <c r="G6554">
        <v>617</v>
      </c>
      <c r="H6554" t="s">
        <v>109</v>
      </c>
      <c r="I6554">
        <v>6</v>
      </c>
      <c r="J6554" t="s">
        <v>101</v>
      </c>
    </row>
    <row r="6555" spans="1:10" x14ac:dyDescent="0.25">
      <c r="A6555" t="s">
        <v>150</v>
      </c>
      <c r="B6555">
        <f>55167.0664419513*(1/100/100)</f>
        <v>5.5167066441951302</v>
      </c>
      <c r="C6555">
        <v>68162</v>
      </c>
      <c r="D6555" t="s">
        <v>3743</v>
      </c>
      <c r="E6555">
        <v>61746</v>
      </c>
      <c r="F6555" t="s">
        <v>6701</v>
      </c>
      <c r="G6555">
        <v>617</v>
      </c>
      <c r="H6555" t="s">
        <v>109</v>
      </c>
      <c r="I6555">
        <v>6</v>
      </c>
      <c r="J6555" t="s">
        <v>101</v>
      </c>
    </row>
    <row r="6556" spans="1:10" x14ac:dyDescent="0.25">
      <c r="A6556" t="s">
        <v>150</v>
      </c>
      <c r="B6556">
        <f>58211.4875507977*(1/100/100)</f>
        <v>5.8211487550797703</v>
      </c>
      <c r="C6556">
        <v>68163</v>
      </c>
      <c r="D6556" t="s">
        <v>4125</v>
      </c>
      <c r="E6556">
        <v>61716</v>
      </c>
      <c r="F6556" t="s">
        <v>1645</v>
      </c>
      <c r="G6556">
        <v>617</v>
      </c>
      <c r="H6556" t="s">
        <v>109</v>
      </c>
      <c r="I6556">
        <v>6</v>
      </c>
      <c r="J6556" t="s">
        <v>101</v>
      </c>
    </row>
    <row r="6557" spans="1:10" x14ac:dyDescent="0.25">
      <c r="A6557" t="s">
        <v>150</v>
      </c>
      <c r="B6557">
        <f>66885.2322253616*(1/100/100)</f>
        <v>6.6885232225361602</v>
      </c>
      <c r="C6557">
        <v>68201</v>
      </c>
      <c r="D6557" t="s">
        <v>6687</v>
      </c>
      <c r="E6557">
        <v>61731</v>
      </c>
      <c r="F6557" t="s">
        <v>1651</v>
      </c>
      <c r="G6557">
        <v>617</v>
      </c>
      <c r="H6557" t="s">
        <v>109</v>
      </c>
      <c r="I6557">
        <v>6</v>
      </c>
      <c r="J6557" t="s">
        <v>101</v>
      </c>
    </row>
    <row r="6558" spans="1:10" x14ac:dyDescent="0.25">
      <c r="A6558" t="s">
        <v>150</v>
      </c>
      <c r="B6558">
        <f>42405.6138365543*(1/100/100)</f>
        <v>4.2405613836554306</v>
      </c>
      <c r="C6558">
        <v>68202</v>
      </c>
      <c r="D6558" t="s">
        <v>4030</v>
      </c>
      <c r="E6558">
        <v>61765</v>
      </c>
      <c r="F6558" t="s">
        <v>1668</v>
      </c>
      <c r="G6558">
        <v>617</v>
      </c>
      <c r="H6558" t="s">
        <v>109</v>
      </c>
      <c r="I6558">
        <v>6</v>
      </c>
      <c r="J6558" t="s">
        <v>101</v>
      </c>
    </row>
    <row r="6559" spans="1:10" x14ac:dyDescent="0.25">
      <c r="A6559" t="s">
        <v>150</v>
      </c>
      <c r="B6559">
        <f>77322.8018191185*(1/100/100)</f>
        <v>7.7322801819118503</v>
      </c>
      <c r="C6559">
        <v>68203</v>
      </c>
      <c r="D6559" t="s">
        <v>5730</v>
      </c>
      <c r="E6559">
        <v>61763</v>
      </c>
      <c r="F6559" t="s">
        <v>1666</v>
      </c>
      <c r="G6559">
        <v>617</v>
      </c>
      <c r="H6559" t="s">
        <v>109</v>
      </c>
      <c r="I6559">
        <v>6</v>
      </c>
      <c r="J6559" t="s">
        <v>101</v>
      </c>
    </row>
    <row r="6560" spans="1:10" x14ac:dyDescent="0.25">
      <c r="A6560" t="s">
        <v>150</v>
      </c>
      <c r="B6560">
        <f>48768.2273586726*(1/100/100)</f>
        <v>4.8768227358672602</v>
      </c>
      <c r="C6560">
        <v>68204</v>
      </c>
      <c r="D6560" t="s">
        <v>6688</v>
      </c>
      <c r="E6560">
        <v>61731</v>
      </c>
      <c r="F6560" t="s">
        <v>1651</v>
      </c>
      <c r="G6560">
        <v>617</v>
      </c>
      <c r="H6560" t="s">
        <v>109</v>
      </c>
      <c r="I6560">
        <v>6</v>
      </c>
      <c r="J6560" t="s">
        <v>101</v>
      </c>
    </row>
    <row r="6561" spans="1:10" x14ac:dyDescent="0.25">
      <c r="A6561" t="s">
        <v>150</v>
      </c>
      <c r="B6561">
        <f>30134.516591943*(1/100/100)</f>
        <v>3.0134516591943004</v>
      </c>
      <c r="C6561">
        <v>68205</v>
      </c>
      <c r="D6561" t="s">
        <v>6767</v>
      </c>
      <c r="E6561">
        <v>61766</v>
      </c>
      <c r="F6561" t="s">
        <v>109</v>
      </c>
      <c r="G6561">
        <v>617</v>
      </c>
      <c r="H6561" t="s">
        <v>109</v>
      </c>
      <c r="I6561">
        <v>6</v>
      </c>
      <c r="J6561" t="s">
        <v>101</v>
      </c>
    </row>
    <row r="6562" spans="1:10" x14ac:dyDescent="0.25">
      <c r="A6562" t="s">
        <v>150</v>
      </c>
      <c r="B6562">
        <f>28587.9209562348*(1/100/100)</f>
        <v>2.85879209562348</v>
      </c>
      <c r="C6562">
        <v>68206</v>
      </c>
      <c r="D6562" t="s">
        <v>3464</v>
      </c>
      <c r="E6562">
        <v>61765</v>
      </c>
      <c r="F6562" t="s">
        <v>1668</v>
      </c>
      <c r="G6562">
        <v>617</v>
      </c>
      <c r="H6562" t="s">
        <v>109</v>
      </c>
      <c r="I6562">
        <v>6</v>
      </c>
      <c r="J6562" t="s">
        <v>101</v>
      </c>
    </row>
    <row r="6563" spans="1:10" x14ac:dyDescent="0.25">
      <c r="A6563" t="s">
        <v>150</v>
      </c>
      <c r="B6563">
        <f>50884.6666026119*(1/100/100)</f>
        <v>5.0884666602611901</v>
      </c>
      <c r="C6563">
        <v>68207</v>
      </c>
      <c r="D6563" t="s">
        <v>2229</v>
      </c>
      <c r="E6563">
        <v>61729</v>
      </c>
      <c r="F6563" t="s">
        <v>1649</v>
      </c>
      <c r="G6563">
        <v>617</v>
      </c>
      <c r="H6563" t="s">
        <v>109</v>
      </c>
      <c r="I6563">
        <v>6</v>
      </c>
      <c r="J6563" t="s">
        <v>101</v>
      </c>
    </row>
    <row r="6564" spans="1:10" x14ac:dyDescent="0.25">
      <c r="A6564" t="s">
        <v>150</v>
      </c>
      <c r="B6564">
        <f>16670.0997133287*(1/100/100)</f>
        <v>1.6670099713328699</v>
      </c>
      <c r="C6564">
        <v>68208</v>
      </c>
      <c r="D6564" t="s">
        <v>6689</v>
      </c>
      <c r="E6564">
        <v>61731</v>
      </c>
      <c r="F6564" t="s">
        <v>1651</v>
      </c>
      <c r="G6564">
        <v>617</v>
      </c>
      <c r="H6564" t="s">
        <v>109</v>
      </c>
      <c r="I6564">
        <v>6</v>
      </c>
      <c r="J6564" t="s">
        <v>101</v>
      </c>
    </row>
    <row r="6565" spans="1:10" x14ac:dyDescent="0.25">
      <c r="A6565" t="s">
        <v>150</v>
      </c>
      <c r="B6565">
        <f>59911.9106056729*(1/100/100)</f>
        <v>5.9911910605672904</v>
      </c>
      <c r="C6565">
        <v>68209</v>
      </c>
      <c r="D6565" t="s">
        <v>6691</v>
      </c>
      <c r="E6565">
        <v>61740</v>
      </c>
      <c r="F6565" t="s">
        <v>1652</v>
      </c>
      <c r="G6565">
        <v>617</v>
      </c>
      <c r="H6565" t="s">
        <v>109</v>
      </c>
      <c r="I6565">
        <v>6</v>
      </c>
      <c r="J6565" t="s">
        <v>101</v>
      </c>
    </row>
    <row r="6566" spans="1:10" x14ac:dyDescent="0.25">
      <c r="A6566" t="s">
        <v>150</v>
      </c>
      <c r="B6566">
        <f>71637.2924252728*(1/100/100)</f>
        <v>7.1637292425272801</v>
      </c>
      <c r="C6566">
        <v>68210</v>
      </c>
      <c r="D6566" t="s">
        <v>4400</v>
      </c>
      <c r="E6566">
        <v>61765</v>
      </c>
      <c r="F6566" t="s">
        <v>1668</v>
      </c>
      <c r="G6566">
        <v>617</v>
      </c>
      <c r="H6566" t="s">
        <v>109</v>
      </c>
      <c r="I6566">
        <v>6</v>
      </c>
      <c r="J6566" t="s">
        <v>101</v>
      </c>
    </row>
    <row r="6567" spans="1:10" x14ac:dyDescent="0.25">
      <c r="A6567" t="s">
        <v>150</v>
      </c>
      <c r="B6567">
        <f>20768.4987484351*(1/100/100)</f>
        <v>2.0768498748435102</v>
      </c>
      <c r="C6567">
        <v>68211</v>
      </c>
      <c r="D6567" t="s">
        <v>6768</v>
      </c>
      <c r="E6567">
        <v>61766</v>
      </c>
      <c r="F6567" t="s">
        <v>109</v>
      </c>
      <c r="G6567">
        <v>617</v>
      </c>
      <c r="H6567" t="s">
        <v>109</v>
      </c>
      <c r="I6567">
        <v>6</v>
      </c>
      <c r="J6567" t="s">
        <v>101</v>
      </c>
    </row>
    <row r="6568" spans="1:10" x14ac:dyDescent="0.25">
      <c r="A6568" t="s">
        <v>150</v>
      </c>
      <c r="B6568">
        <f>124125.816072351*(1/100/100)</f>
        <v>12.412581607235101</v>
      </c>
      <c r="C6568">
        <v>68212</v>
      </c>
      <c r="D6568" t="s">
        <v>6730</v>
      </c>
      <c r="E6568">
        <v>61758</v>
      </c>
      <c r="F6568" t="s">
        <v>1661</v>
      </c>
      <c r="G6568">
        <v>617</v>
      </c>
      <c r="H6568" t="s">
        <v>109</v>
      </c>
      <c r="I6568">
        <v>6</v>
      </c>
      <c r="J6568" t="s">
        <v>101</v>
      </c>
    </row>
    <row r="6569" spans="1:10" x14ac:dyDescent="0.25">
      <c r="A6569" t="s">
        <v>150</v>
      </c>
      <c r="B6569">
        <f>107077.736961234*(1/100/100)</f>
        <v>10.7077736961234</v>
      </c>
      <c r="C6569">
        <v>68213</v>
      </c>
      <c r="D6569" t="s">
        <v>1643</v>
      </c>
      <c r="E6569">
        <v>61710</v>
      </c>
      <c r="F6569" t="s">
        <v>1643</v>
      </c>
      <c r="G6569">
        <v>617</v>
      </c>
      <c r="H6569" t="s">
        <v>109</v>
      </c>
      <c r="I6569">
        <v>6</v>
      </c>
      <c r="J6569" t="s">
        <v>101</v>
      </c>
    </row>
    <row r="6570" spans="1:10" x14ac:dyDescent="0.25">
      <c r="A6570" t="s">
        <v>150</v>
      </c>
      <c r="B6570">
        <f>50866.8084982596*(1/100/100)</f>
        <v>5.0866808498259601</v>
      </c>
      <c r="C6570">
        <v>68214</v>
      </c>
      <c r="D6570" t="s">
        <v>6759</v>
      </c>
      <c r="E6570">
        <v>61765</v>
      </c>
      <c r="F6570" t="s">
        <v>1668</v>
      </c>
      <c r="G6570">
        <v>617</v>
      </c>
      <c r="H6570" t="s">
        <v>109</v>
      </c>
      <c r="I6570">
        <v>6</v>
      </c>
      <c r="J6570" t="s">
        <v>101</v>
      </c>
    </row>
    <row r="6571" spans="1:10" x14ac:dyDescent="0.25">
      <c r="A6571" t="s">
        <v>150</v>
      </c>
      <c r="B6571">
        <f>53898.6186258072*(1/100/100)</f>
        <v>5.3898618625807204</v>
      </c>
      <c r="C6571">
        <v>68215</v>
      </c>
      <c r="D6571" t="s">
        <v>6741</v>
      </c>
      <c r="E6571">
        <v>61761</v>
      </c>
      <c r="F6571" t="s">
        <v>1664</v>
      </c>
      <c r="G6571">
        <v>617</v>
      </c>
      <c r="H6571" t="s">
        <v>109</v>
      </c>
      <c r="I6571">
        <v>6</v>
      </c>
      <c r="J6571" t="s">
        <v>101</v>
      </c>
    </row>
    <row r="6572" spans="1:10" x14ac:dyDescent="0.25">
      <c r="A6572" t="s">
        <v>150</v>
      </c>
      <c r="B6572">
        <f>93135.0139259151*(1/100/100)</f>
        <v>9.31350139259151</v>
      </c>
      <c r="C6572">
        <v>68216</v>
      </c>
      <c r="D6572" t="s">
        <v>6685</v>
      </c>
      <c r="E6572">
        <v>61730</v>
      </c>
      <c r="F6572" t="s">
        <v>1650</v>
      </c>
      <c r="G6572">
        <v>617</v>
      </c>
      <c r="H6572" t="s">
        <v>109</v>
      </c>
      <c r="I6572">
        <v>6</v>
      </c>
      <c r="J6572" t="s">
        <v>101</v>
      </c>
    </row>
    <row r="6573" spans="1:10" x14ac:dyDescent="0.25">
      <c r="A6573" t="s">
        <v>150</v>
      </c>
      <c r="B6573">
        <f>29358.6429958578*(1/100/100)</f>
        <v>2.9358642995857802</v>
      </c>
      <c r="C6573">
        <v>68217</v>
      </c>
      <c r="D6573" t="s">
        <v>3069</v>
      </c>
      <c r="E6573">
        <v>61765</v>
      </c>
      <c r="F6573" t="s">
        <v>1668</v>
      </c>
      <c r="G6573">
        <v>617</v>
      </c>
      <c r="H6573" t="s">
        <v>109</v>
      </c>
      <c r="I6573">
        <v>6</v>
      </c>
      <c r="J6573" t="s">
        <v>101</v>
      </c>
    </row>
    <row r="6574" spans="1:10" x14ac:dyDescent="0.25">
      <c r="A6574" t="s">
        <v>150</v>
      </c>
      <c r="B6574">
        <f>11221.1171034729*(1/100/100)</f>
        <v>1.12211171034729</v>
      </c>
      <c r="C6574">
        <v>68218</v>
      </c>
      <c r="D6574" t="s">
        <v>6690</v>
      </c>
      <c r="E6574">
        <v>61731</v>
      </c>
      <c r="F6574" t="s">
        <v>1651</v>
      </c>
      <c r="G6574">
        <v>617</v>
      </c>
      <c r="H6574" t="s">
        <v>109</v>
      </c>
      <c r="I6574">
        <v>6</v>
      </c>
      <c r="J6574" t="s">
        <v>101</v>
      </c>
    </row>
    <row r="6575" spans="1:10" x14ac:dyDescent="0.25">
      <c r="A6575" t="s">
        <v>150</v>
      </c>
      <c r="B6575">
        <f>19788.7192739716*(1/100/100)</f>
        <v>1.9788719273971602</v>
      </c>
      <c r="C6575">
        <v>68219</v>
      </c>
      <c r="D6575" t="s">
        <v>4305</v>
      </c>
      <c r="E6575">
        <v>61730</v>
      </c>
      <c r="F6575" t="s">
        <v>1650</v>
      </c>
      <c r="G6575">
        <v>617</v>
      </c>
      <c r="H6575" t="s">
        <v>109</v>
      </c>
      <c r="I6575">
        <v>6</v>
      </c>
      <c r="J6575" t="s">
        <v>101</v>
      </c>
    </row>
    <row r="6576" spans="1:10" x14ac:dyDescent="0.25">
      <c r="A6576" t="s">
        <v>150</v>
      </c>
      <c r="B6576">
        <f>67568.0232385347*(1/100/100)</f>
        <v>6.7568023238534707</v>
      </c>
      <c r="C6576">
        <v>68220</v>
      </c>
      <c r="D6576" t="s">
        <v>6692</v>
      </c>
      <c r="E6576">
        <v>61740</v>
      </c>
      <c r="F6576" t="s">
        <v>1652</v>
      </c>
      <c r="G6576">
        <v>617</v>
      </c>
      <c r="H6576" t="s">
        <v>109</v>
      </c>
      <c r="I6576">
        <v>6</v>
      </c>
      <c r="J6576" t="s">
        <v>101</v>
      </c>
    </row>
    <row r="6577" spans="1:10" x14ac:dyDescent="0.25">
      <c r="A6577" t="s">
        <v>150</v>
      </c>
      <c r="B6577">
        <f>23941.4530706974*(1/100/100)</f>
        <v>2.3941453070697403</v>
      </c>
      <c r="C6577">
        <v>68221</v>
      </c>
      <c r="D6577" t="s">
        <v>3668</v>
      </c>
      <c r="E6577">
        <v>61730</v>
      </c>
      <c r="F6577" t="s">
        <v>1650</v>
      </c>
      <c r="G6577">
        <v>617</v>
      </c>
      <c r="H6577" t="s">
        <v>109</v>
      </c>
      <c r="I6577">
        <v>6</v>
      </c>
      <c r="J6577" t="s">
        <v>101</v>
      </c>
    </row>
    <row r="6578" spans="1:10" x14ac:dyDescent="0.25">
      <c r="A6578" t="s">
        <v>150</v>
      </c>
      <c r="B6578">
        <f>45772.3272665486*(1/100/100)</f>
        <v>4.5772327266548603</v>
      </c>
      <c r="C6578">
        <v>68222</v>
      </c>
      <c r="D6578" t="s">
        <v>6750</v>
      </c>
      <c r="E6578">
        <v>61763</v>
      </c>
      <c r="F6578" t="s">
        <v>1666</v>
      </c>
      <c r="G6578">
        <v>617</v>
      </c>
      <c r="H6578" t="s">
        <v>109</v>
      </c>
      <c r="I6578">
        <v>6</v>
      </c>
      <c r="J6578" t="s">
        <v>101</v>
      </c>
    </row>
    <row r="6579" spans="1:10" x14ac:dyDescent="0.25">
      <c r="A6579" t="s">
        <v>150</v>
      </c>
      <c r="B6579">
        <f>17596.7636360464*(1/100/100)</f>
        <v>1.75967636360464</v>
      </c>
      <c r="C6579">
        <v>68223</v>
      </c>
      <c r="D6579" t="s">
        <v>2880</v>
      </c>
      <c r="E6579">
        <v>61740</v>
      </c>
      <c r="F6579" t="s">
        <v>1652</v>
      </c>
      <c r="G6579">
        <v>617</v>
      </c>
      <c r="H6579" t="s">
        <v>109</v>
      </c>
      <c r="I6579">
        <v>6</v>
      </c>
      <c r="J6579" t="s">
        <v>101</v>
      </c>
    </row>
    <row r="6580" spans="1:10" x14ac:dyDescent="0.25">
      <c r="A6580" t="s">
        <v>150</v>
      </c>
      <c r="B6580">
        <f>77410.5041971524*(1/100/100)</f>
        <v>7.7410504197152408</v>
      </c>
      <c r="C6580">
        <v>68224</v>
      </c>
      <c r="D6580" t="s">
        <v>3207</v>
      </c>
      <c r="E6580">
        <v>61763</v>
      </c>
      <c r="F6580" t="s">
        <v>1666</v>
      </c>
      <c r="G6580">
        <v>617</v>
      </c>
      <c r="H6580" t="s">
        <v>109</v>
      </c>
      <c r="I6580">
        <v>6</v>
      </c>
      <c r="J6580" t="s">
        <v>101</v>
      </c>
    </row>
    <row r="6581" spans="1:10" x14ac:dyDescent="0.25">
      <c r="A6581" t="s">
        <v>150</v>
      </c>
      <c r="B6581">
        <f>30318.6787142465*(1/100/100)</f>
        <v>3.0318678714246503</v>
      </c>
      <c r="C6581">
        <v>68225</v>
      </c>
      <c r="D6581" t="s">
        <v>6683</v>
      </c>
      <c r="E6581">
        <v>61729</v>
      </c>
      <c r="F6581" t="s">
        <v>1649</v>
      </c>
      <c r="G6581">
        <v>617</v>
      </c>
      <c r="H6581" t="s">
        <v>109</v>
      </c>
      <c r="I6581">
        <v>6</v>
      </c>
      <c r="J6581" t="s">
        <v>101</v>
      </c>
    </row>
    <row r="6582" spans="1:10" x14ac:dyDescent="0.25">
      <c r="A6582" t="s">
        <v>150</v>
      </c>
      <c r="B6582">
        <f>83977.6546503226*(1/100/100)</f>
        <v>8.3977654650322595</v>
      </c>
      <c r="C6582">
        <v>68226</v>
      </c>
      <c r="D6582" t="s">
        <v>6698</v>
      </c>
      <c r="E6582">
        <v>61745</v>
      </c>
      <c r="F6582" t="s">
        <v>1655</v>
      </c>
      <c r="G6582">
        <v>617</v>
      </c>
      <c r="H6582" t="s">
        <v>109</v>
      </c>
      <c r="I6582">
        <v>6</v>
      </c>
      <c r="J6582" t="s">
        <v>101</v>
      </c>
    </row>
    <row r="6583" spans="1:10" x14ac:dyDescent="0.25">
      <c r="A6583" t="s">
        <v>150</v>
      </c>
      <c r="B6583">
        <f>90586.337601205*(1/100/100)</f>
        <v>9.0586337601205003</v>
      </c>
      <c r="C6583">
        <v>68227</v>
      </c>
      <c r="D6583" t="s">
        <v>6699</v>
      </c>
      <c r="E6583">
        <v>61745</v>
      </c>
      <c r="F6583" t="s">
        <v>1655</v>
      </c>
      <c r="G6583">
        <v>617</v>
      </c>
      <c r="H6583" t="s">
        <v>109</v>
      </c>
      <c r="I6583">
        <v>6</v>
      </c>
      <c r="J6583" t="s">
        <v>101</v>
      </c>
    </row>
    <row r="6584" spans="1:10" x14ac:dyDescent="0.25">
      <c r="A6584" t="s">
        <v>150</v>
      </c>
      <c r="B6584">
        <f>71183.1517061871*(1/100/100)</f>
        <v>7.1183151706187102</v>
      </c>
      <c r="C6584">
        <v>68228</v>
      </c>
      <c r="D6584" t="s">
        <v>6742</v>
      </c>
      <c r="E6584">
        <v>61761</v>
      </c>
      <c r="F6584" t="s">
        <v>1664</v>
      </c>
      <c r="G6584">
        <v>617</v>
      </c>
      <c r="H6584" t="s">
        <v>109</v>
      </c>
      <c r="I6584">
        <v>6</v>
      </c>
      <c r="J6584" t="s">
        <v>101</v>
      </c>
    </row>
    <row r="6585" spans="1:10" x14ac:dyDescent="0.25">
      <c r="A6585" t="s">
        <v>150</v>
      </c>
      <c r="B6585">
        <f>40409.69892693*(1/100/100)</f>
        <v>4.0409698926930009</v>
      </c>
      <c r="C6585">
        <v>68229</v>
      </c>
      <c r="D6585" t="s">
        <v>6693</v>
      </c>
      <c r="E6585">
        <v>61740</v>
      </c>
      <c r="F6585" t="s">
        <v>1652</v>
      </c>
      <c r="G6585">
        <v>617</v>
      </c>
      <c r="H6585" t="s">
        <v>109</v>
      </c>
      <c r="I6585">
        <v>6</v>
      </c>
      <c r="J6585" t="s">
        <v>101</v>
      </c>
    </row>
    <row r="6586" spans="1:10" x14ac:dyDescent="0.25">
      <c r="A6586" t="s">
        <v>150</v>
      </c>
      <c r="B6586">
        <f>74238.5164899307*(1/100/100)</f>
        <v>7.4238516489930699</v>
      </c>
      <c r="C6586">
        <v>68230</v>
      </c>
      <c r="D6586" t="s">
        <v>6751</v>
      </c>
      <c r="E6586">
        <v>61763</v>
      </c>
      <c r="F6586" t="s">
        <v>1666</v>
      </c>
      <c r="G6586">
        <v>617</v>
      </c>
      <c r="H6586" t="s">
        <v>109</v>
      </c>
      <c r="I6586">
        <v>6</v>
      </c>
      <c r="J6586" t="s">
        <v>101</v>
      </c>
    </row>
    <row r="6587" spans="1:10" x14ac:dyDescent="0.25">
      <c r="A6587" t="s">
        <v>150</v>
      </c>
      <c r="B6587">
        <f>124071.07520906*(1/100/100)</f>
        <v>12.407107520906001</v>
      </c>
      <c r="C6587">
        <v>68231</v>
      </c>
      <c r="D6587" t="s">
        <v>2999</v>
      </c>
      <c r="E6587">
        <v>61766</v>
      </c>
      <c r="F6587" t="s">
        <v>109</v>
      </c>
      <c r="G6587">
        <v>617</v>
      </c>
      <c r="H6587" t="s">
        <v>109</v>
      </c>
      <c r="I6587">
        <v>6</v>
      </c>
      <c r="J6587" t="s">
        <v>101</v>
      </c>
    </row>
    <row r="6588" spans="1:10" x14ac:dyDescent="0.25">
      <c r="A6588" t="s">
        <v>150</v>
      </c>
      <c r="B6588">
        <f>29735.8252243522*(1/100/100)</f>
        <v>2.9735825224352204</v>
      </c>
      <c r="C6588">
        <v>68232</v>
      </c>
      <c r="D6588" t="s">
        <v>6760</v>
      </c>
      <c r="E6588">
        <v>61765</v>
      </c>
      <c r="F6588" t="s">
        <v>1668</v>
      </c>
      <c r="G6588">
        <v>617</v>
      </c>
      <c r="H6588" t="s">
        <v>109</v>
      </c>
      <c r="I6588">
        <v>6</v>
      </c>
      <c r="J6588" t="s">
        <v>101</v>
      </c>
    </row>
    <row r="6589" spans="1:10" x14ac:dyDescent="0.25">
      <c r="A6589" t="s">
        <v>150</v>
      </c>
      <c r="B6589">
        <f>55314.8078373684*(1/100/100)</f>
        <v>5.53148078373684</v>
      </c>
      <c r="C6589">
        <v>68233</v>
      </c>
      <c r="D6589" t="s">
        <v>6351</v>
      </c>
      <c r="E6589">
        <v>61751</v>
      </c>
      <c r="F6589" t="s">
        <v>1658</v>
      </c>
      <c r="G6589">
        <v>617</v>
      </c>
      <c r="H6589" t="s">
        <v>109</v>
      </c>
      <c r="I6589">
        <v>6</v>
      </c>
      <c r="J6589" t="s">
        <v>101</v>
      </c>
    </row>
    <row r="6590" spans="1:10" x14ac:dyDescent="0.25">
      <c r="A6590" t="s">
        <v>150</v>
      </c>
      <c r="B6590">
        <f>30665.0129353566*(1/100/100)</f>
        <v>3.0665012935356604</v>
      </c>
      <c r="C6590">
        <v>68234</v>
      </c>
      <c r="D6590" t="s">
        <v>6686</v>
      </c>
      <c r="E6590">
        <v>61730</v>
      </c>
      <c r="F6590" t="s">
        <v>1650</v>
      </c>
      <c r="G6590">
        <v>617</v>
      </c>
      <c r="H6590" t="s">
        <v>109</v>
      </c>
      <c r="I6590">
        <v>6</v>
      </c>
      <c r="J6590" t="s">
        <v>101</v>
      </c>
    </row>
    <row r="6591" spans="1:10" x14ac:dyDescent="0.25">
      <c r="A6591" t="s">
        <v>150</v>
      </c>
      <c r="B6591">
        <f>98201.9432517744*(1/100/100)</f>
        <v>9.8201943251774395</v>
      </c>
      <c r="C6591">
        <v>68235</v>
      </c>
      <c r="D6591" t="s">
        <v>6761</v>
      </c>
      <c r="E6591">
        <v>61765</v>
      </c>
      <c r="F6591" t="s">
        <v>1668</v>
      </c>
      <c r="G6591">
        <v>617</v>
      </c>
      <c r="H6591" t="s">
        <v>109</v>
      </c>
      <c r="I6591">
        <v>6</v>
      </c>
      <c r="J6591" t="s">
        <v>101</v>
      </c>
    </row>
    <row r="6592" spans="1:10" x14ac:dyDescent="0.25">
      <c r="A6592" t="s">
        <v>150</v>
      </c>
      <c r="B6592">
        <f>26844.7828348601*(1/100/100)</f>
        <v>2.6844782834860101</v>
      </c>
      <c r="C6592">
        <v>68236</v>
      </c>
      <c r="D6592" t="s">
        <v>6581</v>
      </c>
      <c r="E6592">
        <v>61729</v>
      </c>
      <c r="F6592" t="s">
        <v>1649</v>
      </c>
      <c r="G6592">
        <v>617</v>
      </c>
      <c r="H6592" t="s">
        <v>109</v>
      </c>
      <c r="I6592">
        <v>6</v>
      </c>
      <c r="J6592" t="s">
        <v>101</v>
      </c>
    </row>
    <row r="6593" spans="1:10" x14ac:dyDescent="0.25">
      <c r="A6593" t="s">
        <v>150</v>
      </c>
      <c r="B6593">
        <f>27717.7805470396*(1/100/100)</f>
        <v>2.7717780547039603</v>
      </c>
      <c r="C6593">
        <v>68237</v>
      </c>
      <c r="D6593" t="s">
        <v>1650</v>
      </c>
      <c r="E6593">
        <v>61730</v>
      </c>
      <c r="F6593" t="s">
        <v>1650</v>
      </c>
      <c r="G6593">
        <v>617</v>
      </c>
      <c r="H6593" t="s">
        <v>109</v>
      </c>
      <c r="I6593">
        <v>6</v>
      </c>
      <c r="J6593" t="s">
        <v>101</v>
      </c>
    </row>
    <row r="6594" spans="1:10" x14ac:dyDescent="0.25">
      <c r="A6594" t="s">
        <v>150</v>
      </c>
      <c r="B6594">
        <f>40086.5641362832*(1/100/100)</f>
        <v>4.0086564136283203</v>
      </c>
      <c r="C6594">
        <v>68238</v>
      </c>
      <c r="D6594" t="s">
        <v>1651</v>
      </c>
      <c r="E6594">
        <v>61731</v>
      </c>
      <c r="F6594" t="s">
        <v>1651</v>
      </c>
      <c r="G6594">
        <v>617</v>
      </c>
      <c r="H6594" t="s">
        <v>109</v>
      </c>
      <c r="I6594">
        <v>6</v>
      </c>
      <c r="J6594" t="s">
        <v>101</v>
      </c>
    </row>
    <row r="6595" spans="1:10" x14ac:dyDescent="0.25">
      <c r="A6595" t="s">
        <v>150</v>
      </c>
      <c r="B6595">
        <f>39395.6230870531*(1/100/100)</f>
        <v>3.9395623087053102</v>
      </c>
      <c r="C6595">
        <v>68239</v>
      </c>
      <c r="D6595" t="s">
        <v>6762</v>
      </c>
      <c r="E6595">
        <v>61765</v>
      </c>
      <c r="F6595" t="s">
        <v>1668</v>
      </c>
      <c r="G6595">
        <v>617</v>
      </c>
      <c r="H6595" t="s">
        <v>109</v>
      </c>
      <c r="I6595">
        <v>6</v>
      </c>
      <c r="J6595" t="s">
        <v>101</v>
      </c>
    </row>
    <row r="6596" spans="1:10" x14ac:dyDescent="0.25">
      <c r="A6596" t="s">
        <v>150</v>
      </c>
      <c r="B6596">
        <f>72762.6016023484*(1/100/100)</f>
        <v>7.2762601602348402</v>
      </c>
      <c r="C6596">
        <v>68240</v>
      </c>
      <c r="D6596" t="s">
        <v>6752</v>
      </c>
      <c r="E6596">
        <v>61763</v>
      </c>
      <c r="F6596" t="s">
        <v>1666</v>
      </c>
      <c r="G6596">
        <v>617</v>
      </c>
      <c r="H6596" t="s">
        <v>109</v>
      </c>
      <c r="I6596">
        <v>6</v>
      </c>
      <c r="J6596" t="s">
        <v>101</v>
      </c>
    </row>
    <row r="6597" spans="1:10" x14ac:dyDescent="0.25">
      <c r="A6597" t="s">
        <v>150</v>
      </c>
      <c r="B6597">
        <f>33262.164156251*(1/100/100)</f>
        <v>3.3262164156250997</v>
      </c>
      <c r="C6597">
        <v>68241</v>
      </c>
      <c r="D6597" t="s">
        <v>6769</v>
      </c>
      <c r="E6597">
        <v>61766</v>
      </c>
      <c r="F6597" t="s">
        <v>109</v>
      </c>
      <c r="G6597">
        <v>617</v>
      </c>
      <c r="H6597" t="s">
        <v>109</v>
      </c>
      <c r="I6597">
        <v>6</v>
      </c>
      <c r="J6597" t="s">
        <v>101</v>
      </c>
    </row>
    <row r="6598" spans="1:10" x14ac:dyDescent="0.25">
      <c r="A6598" t="s">
        <v>150</v>
      </c>
      <c r="B6598">
        <f>24835.9042722321*(1/100/100)</f>
        <v>2.4835904272232101</v>
      </c>
      <c r="C6598">
        <v>68242</v>
      </c>
      <c r="D6598" t="s">
        <v>6684</v>
      </c>
      <c r="E6598">
        <v>61729</v>
      </c>
      <c r="F6598" t="s">
        <v>1649</v>
      </c>
      <c r="G6598">
        <v>617</v>
      </c>
      <c r="H6598" t="s">
        <v>109</v>
      </c>
      <c r="I6598">
        <v>6</v>
      </c>
      <c r="J6598" t="s">
        <v>101</v>
      </c>
    </row>
    <row r="6599" spans="1:10" x14ac:dyDescent="0.25">
      <c r="A6599" t="s">
        <v>150</v>
      </c>
      <c r="B6599">
        <f>20827.1091063418*(1/100/100)</f>
        <v>2.0827109106341801</v>
      </c>
      <c r="C6599">
        <v>68243</v>
      </c>
      <c r="D6599" t="s">
        <v>6715</v>
      </c>
      <c r="E6599">
        <v>61751</v>
      </c>
      <c r="F6599" t="s">
        <v>1658</v>
      </c>
      <c r="G6599">
        <v>617</v>
      </c>
      <c r="H6599" t="s">
        <v>109</v>
      </c>
      <c r="I6599">
        <v>6</v>
      </c>
      <c r="J6599" t="s">
        <v>101</v>
      </c>
    </row>
    <row r="6600" spans="1:10" x14ac:dyDescent="0.25">
      <c r="A6600" t="s">
        <v>150</v>
      </c>
      <c r="B6600">
        <f>46078.7089364937*(1/100/100)</f>
        <v>4.6078708936493697</v>
      </c>
      <c r="C6600">
        <v>68244</v>
      </c>
      <c r="D6600" t="s">
        <v>3601</v>
      </c>
      <c r="E6600">
        <v>61751</v>
      </c>
      <c r="F6600" t="s">
        <v>1658</v>
      </c>
      <c r="G6600">
        <v>617</v>
      </c>
      <c r="H6600" t="s">
        <v>109</v>
      </c>
      <c r="I6600">
        <v>6</v>
      </c>
      <c r="J6600" t="s">
        <v>101</v>
      </c>
    </row>
    <row r="6601" spans="1:10" x14ac:dyDescent="0.25">
      <c r="A6601" t="s">
        <v>150</v>
      </c>
      <c r="B6601">
        <f>25141.2568257475*(1/100/100)</f>
        <v>2.51412568257475</v>
      </c>
      <c r="C6601">
        <v>68245</v>
      </c>
      <c r="D6601" t="s">
        <v>6383</v>
      </c>
      <c r="E6601">
        <v>61729</v>
      </c>
      <c r="F6601" t="s">
        <v>1649</v>
      </c>
      <c r="G6601">
        <v>617</v>
      </c>
      <c r="H6601" t="s">
        <v>109</v>
      </c>
      <c r="I6601">
        <v>6</v>
      </c>
      <c r="J6601" t="s">
        <v>101</v>
      </c>
    </row>
    <row r="6602" spans="1:10" x14ac:dyDescent="0.25">
      <c r="A6602" t="s">
        <v>150</v>
      </c>
      <c r="B6602">
        <f>187828.829922414*(1/100/100)</f>
        <v>18.782882992241401</v>
      </c>
      <c r="C6602">
        <v>68246</v>
      </c>
      <c r="D6602" t="s">
        <v>1666</v>
      </c>
      <c r="E6602">
        <v>61763</v>
      </c>
      <c r="F6602" t="s">
        <v>1666</v>
      </c>
      <c r="G6602">
        <v>617</v>
      </c>
      <c r="H6602" t="s">
        <v>109</v>
      </c>
      <c r="I6602">
        <v>6</v>
      </c>
      <c r="J6602" t="s">
        <v>101</v>
      </c>
    </row>
    <row r="6603" spans="1:10" x14ac:dyDescent="0.25">
      <c r="A6603" t="s">
        <v>150</v>
      </c>
      <c r="B6603">
        <f>70522.5403663788*(1/100/100)</f>
        <v>7.0522540366378808</v>
      </c>
      <c r="C6603">
        <v>68247</v>
      </c>
      <c r="D6603" t="s">
        <v>6716</v>
      </c>
      <c r="E6603">
        <v>61751</v>
      </c>
      <c r="F6603" t="s">
        <v>1658</v>
      </c>
      <c r="G6603">
        <v>617</v>
      </c>
      <c r="H6603" t="s">
        <v>109</v>
      </c>
      <c r="I6603">
        <v>6</v>
      </c>
      <c r="J6603" t="s">
        <v>101</v>
      </c>
    </row>
    <row r="6604" spans="1:10" x14ac:dyDescent="0.25">
      <c r="A6604" t="s">
        <v>150</v>
      </c>
      <c r="B6604">
        <f>43927.0292129039*(1/100/100)</f>
        <v>4.3927029212903905</v>
      </c>
      <c r="C6604">
        <v>68248</v>
      </c>
      <c r="D6604" t="s">
        <v>5073</v>
      </c>
      <c r="E6604">
        <v>61740</v>
      </c>
      <c r="F6604" t="s">
        <v>1652</v>
      </c>
      <c r="G6604">
        <v>617</v>
      </c>
      <c r="H6604" t="s">
        <v>109</v>
      </c>
      <c r="I6604">
        <v>6</v>
      </c>
      <c r="J6604" t="s">
        <v>101</v>
      </c>
    </row>
    <row r="6605" spans="1:10" x14ac:dyDescent="0.25">
      <c r="A6605" t="s">
        <v>150</v>
      </c>
      <c r="B6605">
        <f>52621.0163805153*(1/100/100)</f>
        <v>5.2621016380515302</v>
      </c>
      <c r="C6605">
        <v>68249</v>
      </c>
      <c r="D6605" t="s">
        <v>5433</v>
      </c>
      <c r="E6605">
        <v>61729</v>
      </c>
      <c r="F6605" t="s">
        <v>1649</v>
      </c>
      <c r="G6605">
        <v>617</v>
      </c>
      <c r="H6605" t="s">
        <v>109</v>
      </c>
      <c r="I6605">
        <v>6</v>
      </c>
      <c r="J6605" t="s">
        <v>101</v>
      </c>
    </row>
    <row r="6606" spans="1:10" x14ac:dyDescent="0.25">
      <c r="A6606" t="s">
        <v>150</v>
      </c>
      <c r="B6606">
        <f>25456.0780065728*(1/100/100)</f>
        <v>2.54560780065728</v>
      </c>
      <c r="C6606">
        <v>68250</v>
      </c>
      <c r="D6606" t="s">
        <v>6753</v>
      </c>
      <c r="E6606">
        <v>61763</v>
      </c>
      <c r="F6606" t="s">
        <v>1666</v>
      </c>
      <c r="G6606">
        <v>617</v>
      </c>
      <c r="H6606" t="s">
        <v>109</v>
      </c>
      <c r="I6606">
        <v>6</v>
      </c>
      <c r="J6606" t="s">
        <v>101</v>
      </c>
    </row>
    <row r="6607" spans="1:10" x14ac:dyDescent="0.25">
      <c r="A6607" t="s">
        <v>150</v>
      </c>
      <c r="B6607">
        <f>45504.9827621895*(1/100/100)</f>
        <v>4.5504982762189501</v>
      </c>
      <c r="C6607">
        <v>68251</v>
      </c>
      <c r="D6607" t="s">
        <v>6717</v>
      </c>
      <c r="E6607">
        <v>61751</v>
      </c>
      <c r="F6607" t="s">
        <v>1658</v>
      </c>
      <c r="G6607">
        <v>617</v>
      </c>
      <c r="H6607" t="s">
        <v>109</v>
      </c>
      <c r="I6607">
        <v>6</v>
      </c>
      <c r="J6607" t="s">
        <v>101</v>
      </c>
    </row>
    <row r="6608" spans="1:10" x14ac:dyDescent="0.25">
      <c r="A6608" t="s">
        <v>150</v>
      </c>
      <c r="B6608">
        <f>166357.338160702*(1/100/100)</f>
        <v>16.6357338160702</v>
      </c>
      <c r="C6608">
        <v>68252</v>
      </c>
      <c r="D6608" t="s">
        <v>1498</v>
      </c>
      <c r="E6608">
        <v>61766</v>
      </c>
      <c r="F6608" t="s">
        <v>109</v>
      </c>
      <c r="G6608">
        <v>617</v>
      </c>
      <c r="H6608" t="s">
        <v>109</v>
      </c>
      <c r="I6608">
        <v>6</v>
      </c>
      <c r="J6608" t="s">
        <v>101</v>
      </c>
    </row>
    <row r="6609" spans="1:10" x14ac:dyDescent="0.25">
      <c r="A6609" t="s">
        <v>150</v>
      </c>
      <c r="B6609">
        <f>66195.9373660735*(1/100/100)</f>
        <v>6.6195937366073503</v>
      </c>
      <c r="C6609">
        <v>68253</v>
      </c>
      <c r="D6609" t="s">
        <v>2682</v>
      </c>
      <c r="E6609">
        <v>61740</v>
      </c>
      <c r="F6609" t="s">
        <v>1652</v>
      </c>
      <c r="G6609">
        <v>617</v>
      </c>
      <c r="H6609" t="s">
        <v>109</v>
      </c>
      <c r="I6609">
        <v>6</v>
      </c>
      <c r="J6609" t="s">
        <v>101</v>
      </c>
    </row>
    <row r="6610" spans="1:10" x14ac:dyDescent="0.25">
      <c r="A6610" t="s">
        <v>150</v>
      </c>
      <c r="B6610">
        <f>18450.4014779493*(1/100/100)</f>
        <v>1.8450401477949301</v>
      </c>
      <c r="C6610">
        <v>68254</v>
      </c>
      <c r="D6610" t="s">
        <v>6718</v>
      </c>
      <c r="E6610">
        <v>61751</v>
      </c>
      <c r="F6610" t="s">
        <v>1658</v>
      </c>
      <c r="G6610">
        <v>617</v>
      </c>
      <c r="H6610" t="s">
        <v>109</v>
      </c>
      <c r="I6610">
        <v>6</v>
      </c>
      <c r="J6610" t="s">
        <v>101</v>
      </c>
    </row>
    <row r="6611" spans="1:10" x14ac:dyDescent="0.25">
      <c r="A6611" t="s">
        <v>150</v>
      </c>
      <c r="B6611">
        <f>17268.8019301226*(1/100/100)</f>
        <v>1.7268801930122601</v>
      </c>
      <c r="C6611">
        <v>68255</v>
      </c>
      <c r="D6611" t="s">
        <v>6770</v>
      </c>
      <c r="E6611">
        <v>61766</v>
      </c>
      <c r="F6611" t="s">
        <v>109</v>
      </c>
      <c r="G6611">
        <v>617</v>
      </c>
      <c r="H6611" t="s">
        <v>109</v>
      </c>
      <c r="I6611">
        <v>6</v>
      </c>
      <c r="J6611" t="s">
        <v>101</v>
      </c>
    </row>
    <row r="6612" spans="1:10" x14ac:dyDescent="0.25">
      <c r="A6612" t="s">
        <v>150</v>
      </c>
      <c r="B6612">
        <f>153575.023308356*(1/100/100)</f>
        <v>15.357502330835601</v>
      </c>
      <c r="C6612">
        <v>68256</v>
      </c>
      <c r="D6612" t="s">
        <v>6763</v>
      </c>
      <c r="E6612">
        <v>61765</v>
      </c>
      <c r="F6612" t="s">
        <v>1668</v>
      </c>
      <c r="G6612">
        <v>617</v>
      </c>
      <c r="H6612" t="s">
        <v>109</v>
      </c>
      <c r="I6612">
        <v>6</v>
      </c>
      <c r="J6612" t="s">
        <v>101</v>
      </c>
    </row>
    <row r="6613" spans="1:10" x14ac:dyDescent="0.25">
      <c r="A6613" t="s">
        <v>150</v>
      </c>
      <c r="B6613">
        <f>56478.4213206213*(1/100/100)</f>
        <v>5.6478421320621308</v>
      </c>
      <c r="C6613">
        <v>68257</v>
      </c>
      <c r="D6613" t="s">
        <v>605</v>
      </c>
      <c r="E6613">
        <v>61758</v>
      </c>
      <c r="F6613" t="s">
        <v>1661</v>
      </c>
      <c r="G6613">
        <v>617</v>
      </c>
      <c r="H6613" t="s">
        <v>109</v>
      </c>
      <c r="I6613">
        <v>6</v>
      </c>
      <c r="J6613" t="s">
        <v>101</v>
      </c>
    </row>
    <row r="6614" spans="1:10" x14ac:dyDescent="0.25">
      <c r="A6614" t="s">
        <v>150</v>
      </c>
      <c r="B6614">
        <f>27231.5364700584*(1/100/100)</f>
        <v>2.72315364700584</v>
      </c>
      <c r="C6614">
        <v>68258</v>
      </c>
      <c r="D6614" t="s">
        <v>2230</v>
      </c>
      <c r="E6614">
        <v>61730</v>
      </c>
      <c r="F6614" t="s">
        <v>1650</v>
      </c>
      <c r="G6614">
        <v>617</v>
      </c>
      <c r="H6614" t="s">
        <v>109</v>
      </c>
      <c r="I6614">
        <v>6</v>
      </c>
      <c r="J6614" t="s">
        <v>101</v>
      </c>
    </row>
    <row r="6615" spans="1:10" x14ac:dyDescent="0.25">
      <c r="A6615" t="s">
        <v>150</v>
      </c>
      <c r="B6615">
        <f>26124.5329917201*(1/100/100)</f>
        <v>2.6124532991720102</v>
      </c>
      <c r="C6615">
        <v>68259</v>
      </c>
      <c r="D6615" t="s">
        <v>6743</v>
      </c>
      <c r="E6615">
        <v>61761</v>
      </c>
      <c r="F6615" t="s">
        <v>1664</v>
      </c>
      <c r="G6615">
        <v>617</v>
      </c>
      <c r="H6615" t="s">
        <v>109</v>
      </c>
      <c r="I6615">
        <v>6</v>
      </c>
      <c r="J6615" t="s">
        <v>101</v>
      </c>
    </row>
    <row r="6616" spans="1:10" x14ac:dyDescent="0.25">
      <c r="A6616" t="s">
        <v>150</v>
      </c>
      <c r="B6616">
        <f>15286.7664866367*(1/100/100)</f>
        <v>1.52867664866367</v>
      </c>
      <c r="C6616">
        <v>68260</v>
      </c>
      <c r="D6616" t="s">
        <v>6744</v>
      </c>
      <c r="E6616">
        <v>61761</v>
      </c>
      <c r="F6616" t="s">
        <v>1664</v>
      </c>
      <c r="G6616">
        <v>617</v>
      </c>
      <c r="H6616" t="s">
        <v>109</v>
      </c>
      <c r="I6616">
        <v>6</v>
      </c>
      <c r="J6616" t="s">
        <v>101</v>
      </c>
    </row>
    <row r="6617" spans="1:10" x14ac:dyDescent="0.25">
      <c r="A6617" t="s">
        <v>150</v>
      </c>
      <c r="B6617">
        <f>47810.8994385953*(1/100/100)</f>
        <v>4.7810899438595298</v>
      </c>
      <c r="C6617">
        <v>68261</v>
      </c>
      <c r="D6617" t="s">
        <v>6754</v>
      </c>
      <c r="E6617">
        <v>61763</v>
      </c>
      <c r="F6617" t="s">
        <v>1666</v>
      </c>
      <c r="G6617">
        <v>617</v>
      </c>
      <c r="H6617" t="s">
        <v>109</v>
      </c>
      <c r="I6617">
        <v>6</v>
      </c>
      <c r="J6617" t="s">
        <v>101</v>
      </c>
    </row>
    <row r="6618" spans="1:10" x14ac:dyDescent="0.25">
      <c r="A6618" t="s">
        <v>150</v>
      </c>
      <c r="B6618">
        <f>22424.043706536*(1/100/100)</f>
        <v>2.2424043706535999</v>
      </c>
      <c r="C6618">
        <v>68262</v>
      </c>
      <c r="D6618" t="s">
        <v>6719</v>
      </c>
      <c r="E6618">
        <v>61751</v>
      </c>
      <c r="F6618" t="s">
        <v>1658</v>
      </c>
      <c r="G6618">
        <v>617</v>
      </c>
      <c r="H6618" t="s">
        <v>109</v>
      </c>
      <c r="I6618">
        <v>6</v>
      </c>
      <c r="J6618" t="s">
        <v>101</v>
      </c>
    </row>
    <row r="6619" spans="1:10" x14ac:dyDescent="0.25">
      <c r="A6619" t="s">
        <v>150</v>
      </c>
      <c r="B6619">
        <f>38888.706937764*(1/100/100)</f>
        <v>3.8888706937764002</v>
      </c>
      <c r="C6619">
        <v>68263</v>
      </c>
      <c r="D6619" t="s">
        <v>6670</v>
      </c>
      <c r="E6619">
        <v>61710</v>
      </c>
      <c r="F6619" t="s">
        <v>1643</v>
      </c>
      <c r="G6619">
        <v>617</v>
      </c>
      <c r="H6619" t="s">
        <v>109</v>
      </c>
      <c r="I6619">
        <v>6</v>
      </c>
      <c r="J6619" t="s">
        <v>101</v>
      </c>
    </row>
    <row r="6620" spans="1:10" x14ac:dyDescent="0.25">
      <c r="A6620" t="s">
        <v>150</v>
      </c>
      <c r="B6620">
        <f>56260.7174878839*(1/100/100)</f>
        <v>5.62607174878839</v>
      </c>
      <c r="C6620">
        <v>68264</v>
      </c>
      <c r="D6620" t="s">
        <v>6764</v>
      </c>
      <c r="E6620">
        <v>61765</v>
      </c>
      <c r="F6620" t="s">
        <v>1668</v>
      </c>
      <c r="G6620">
        <v>617</v>
      </c>
      <c r="H6620" t="s">
        <v>109</v>
      </c>
      <c r="I6620">
        <v>6</v>
      </c>
      <c r="J6620" t="s">
        <v>101</v>
      </c>
    </row>
    <row r="6621" spans="1:10" x14ac:dyDescent="0.25">
      <c r="A6621" t="s">
        <v>150</v>
      </c>
      <c r="B6621">
        <f>58368.2153521439*(1/100/100)</f>
        <v>5.8368215352143906</v>
      </c>
      <c r="C6621">
        <v>68265</v>
      </c>
      <c r="D6621" t="s">
        <v>6396</v>
      </c>
      <c r="E6621">
        <v>61729</v>
      </c>
      <c r="F6621" t="s">
        <v>1649</v>
      </c>
      <c r="G6621">
        <v>617</v>
      </c>
      <c r="H6621" t="s">
        <v>109</v>
      </c>
      <c r="I6621">
        <v>6</v>
      </c>
      <c r="J6621" t="s">
        <v>101</v>
      </c>
    </row>
    <row r="6622" spans="1:10" x14ac:dyDescent="0.25">
      <c r="A6622" t="s">
        <v>150</v>
      </c>
      <c r="B6622">
        <f>673837.903260205*(1/100/100)</f>
        <v>67.383790326020502</v>
      </c>
      <c r="C6622">
        <v>68266</v>
      </c>
      <c r="D6622" t="s">
        <v>109</v>
      </c>
      <c r="E6622">
        <v>61766</v>
      </c>
      <c r="F6622" t="s">
        <v>109</v>
      </c>
      <c r="G6622">
        <v>617</v>
      </c>
      <c r="H6622" t="s">
        <v>109</v>
      </c>
      <c r="I6622">
        <v>6</v>
      </c>
      <c r="J6622" t="s">
        <v>101</v>
      </c>
    </row>
    <row r="6623" spans="1:10" x14ac:dyDescent="0.25">
      <c r="A6623" t="s">
        <v>150</v>
      </c>
      <c r="B6623">
        <f>36038.7755580123*(1/100/100)</f>
        <v>3.6038775558012301</v>
      </c>
      <c r="C6623">
        <v>68267</v>
      </c>
      <c r="D6623" t="s">
        <v>6765</v>
      </c>
      <c r="E6623">
        <v>61765</v>
      </c>
      <c r="F6623" t="s">
        <v>1668</v>
      </c>
      <c r="G6623">
        <v>617</v>
      </c>
      <c r="H6623" t="s">
        <v>109</v>
      </c>
      <c r="I6623">
        <v>6</v>
      </c>
      <c r="J6623" t="s">
        <v>101</v>
      </c>
    </row>
    <row r="6624" spans="1:10" x14ac:dyDescent="0.25">
      <c r="A6624" t="s">
        <v>150</v>
      </c>
      <c r="B6624">
        <f>124514.569063823*(1/100/100)</f>
        <v>12.451456906382301</v>
      </c>
      <c r="C6624">
        <v>68268</v>
      </c>
      <c r="D6624" t="s">
        <v>6766</v>
      </c>
      <c r="E6624">
        <v>61765</v>
      </c>
      <c r="F6624" t="s">
        <v>1668</v>
      </c>
      <c r="G6624">
        <v>617</v>
      </c>
      <c r="H6624" t="s">
        <v>109</v>
      </c>
      <c r="I6624">
        <v>6</v>
      </c>
      <c r="J6624" t="s">
        <v>101</v>
      </c>
    </row>
    <row r="6625" spans="1:10" x14ac:dyDescent="0.25">
      <c r="A6625" t="s">
        <v>145</v>
      </c>
      <c r="B6625">
        <f>111409.324177719*(1/100/100)</f>
        <v>11.1409324177719</v>
      </c>
      <c r="C6625">
        <v>72001</v>
      </c>
      <c r="D6625" t="s">
        <v>350</v>
      </c>
      <c r="E6625">
        <v>20403</v>
      </c>
      <c r="F6625" t="s">
        <v>350</v>
      </c>
      <c r="G6625">
        <v>204</v>
      </c>
      <c r="H6625" t="s">
        <v>43</v>
      </c>
      <c r="I6625">
        <v>2</v>
      </c>
      <c r="J6625" t="s">
        <v>40</v>
      </c>
    </row>
    <row r="6626" spans="1:10" x14ac:dyDescent="0.25">
      <c r="A6626" t="s">
        <v>145</v>
      </c>
      <c r="B6626">
        <f>412586.411593183*(1/100/100)</f>
        <v>41.258641159318302</v>
      </c>
      <c r="C6626">
        <v>72002</v>
      </c>
      <c r="D6626" t="s">
        <v>351</v>
      </c>
      <c r="E6626">
        <v>20405</v>
      </c>
      <c r="F6626" t="s">
        <v>351</v>
      </c>
      <c r="G6626">
        <v>204</v>
      </c>
      <c r="H6626" t="s">
        <v>43</v>
      </c>
      <c r="I6626">
        <v>2</v>
      </c>
      <c r="J6626" t="s">
        <v>40</v>
      </c>
    </row>
    <row r="6627" spans="1:10" x14ac:dyDescent="0.25">
      <c r="A6627" t="s">
        <v>145</v>
      </c>
      <c r="B6627">
        <f>32386.7011121984*(1/100/100)</f>
        <v>3.2386701112198399</v>
      </c>
      <c r="C6627">
        <v>72003</v>
      </c>
      <c r="D6627" t="s">
        <v>2375</v>
      </c>
      <c r="E6627">
        <v>20403</v>
      </c>
      <c r="F6627" t="s">
        <v>350</v>
      </c>
      <c r="G6627">
        <v>204</v>
      </c>
      <c r="H6627" t="s">
        <v>43</v>
      </c>
      <c r="I6627">
        <v>2</v>
      </c>
      <c r="J6627" t="s">
        <v>40</v>
      </c>
    </row>
    <row r="6628" spans="1:10" x14ac:dyDescent="0.25">
      <c r="A6628" t="s">
        <v>145</v>
      </c>
      <c r="B6628">
        <f>40165.5385029414*(1/100/100)</f>
        <v>4.0165538502941409</v>
      </c>
      <c r="C6628">
        <v>72004</v>
      </c>
      <c r="D6628" t="s">
        <v>2380</v>
      </c>
      <c r="E6628">
        <v>20405</v>
      </c>
      <c r="F6628" t="s">
        <v>351</v>
      </c>
      <c r="G6628">
        <v>204</v>
      </c>
      <c r="H6628" t="s">
        <v>43</v>
      </c>
      <c r="I6628">
        <v>2</v>
      </c>
      <c r="J6628" t="s">
        <v>40</v>
      </c>
    </row>
    <row r="6629" spans="1:10" x14ac:dyDescent="0.25">
      <c r="A6629" t="s">
        <v>145</v>
      </c>
      <c r="B6629">
        <f>42865.7040989833*(1/100/100)</f>
        <v>4.2865704098983297</v>
      </c>
      <c r="C6629">
        <v>72005</v>
      </c>
      <c r="D6629" t="s">
        <v>2431</v>
      </c>
      <c r="E6629">
        <v>20428</v>
      </c>
      <c r="F6629" t="s">
        <v>2432</v>
      </c>
      <c r="G6629">
        <v>204</v>
      </c>
      <c r="H6629" t="s">
        <v>43</v>
      </c>
      <c r="I6629">
        <v>2</v>
      </c>
      <c r="J6629" t="s">
        <v>40</v>
      </c>
    </row>
    <row r="6630" spans="1:10" x14ac:dyDescent="0.25">
      <c r="A6630" t="s">
        <v>145</v>
      </c>
      <c r="B6630">
        <f>20639.3430128244*(1/100/100)</f>
        <v>2.06393430128244</v>
      </c>
      <c r="C6630">
        <v>72006</v>
      </c>
      <c r="D6630" t="s">
        <v>2376</v>
      </c>
      <c r="E6630">
        <v>20403</v>
      </c>
      <c r="F6630" t="s">
        <v>350</v>
      </c>
      <c r="G6630">
        <v>204</v>
      </c>
      <c r="H6630" t="s">
        <v>43</v>
      </c>
      <c r="I6630">
        <v>2</v>
      </c>
      <c r="J6630" t="s">
        <v>40</v>
      </c>
    </row>
    <row r="6631" spans="1:10" x14ac:dyDescent="0.25">
      <c r="A6631" t="s">
        <v>145</v>
      </c>
      <c r="B6631">
        <f>45723.0598556524*(1/100/100)</f>
        <v>4.5723059855652401</v>
      </c>
      <c r="C6631">
        <v>72007</v>
      </c>
      <c r="D6631" t="s">
        <v>2381</v>
      </c>
      <c r="E6631">
        <v>20405</v>
      </c>
      <c r="F6631" t="s">
        <v>351</v>
      </c>
      <c r="G6631">
        <v>204</v>
      </c>
      <c r="H6631" t="s">
        <v>43</v>
      </c>
      <c r="I6631">
        <v>2</v>
      </c>
      <c r="J6631" t="s">
        <v>40</v>
      </c>
    </row>
    <row r="6632" spans="1:10" x14ac:dyDescent="0.25">
      <c r="A6632" t="s">
        <v>145</v>
      </c>
      <c r="B6632">
        <f>97653.0682978142*(1/100/100)</f>
        <v>9.7653068297814212</v>
      </c>
      <c r="C6632">
        <v>72008</v>
      </c>
      <c r="D6632" t="s">
        <v>2382</v>
      </c>
      <c r="E6632">
        <v>20405</v>
      </c>
      <c r="F6632" t="s">
        <v>351</v>
      </c>
      <c r="G6632">
        <v>204</v>
      </c>
      <c r="H6632" t="s">
        <v>43</v>
      </c>
      <c r="I6632">
        <v>2</v>
      </c>
      <c r="J6632" t="s">
        <v>40</v>
      </c>
    </row>
    <row r="6633" spans="1:10" x14ac:dyDescent="0.25">
      <c r="A6633" t="s">
        <v>145</v>
      </c>
      <c r="B6633">
        <f>12143.6717605263*(1/100/100)</f>
        <v>1.21436717605263</v>
      </c>
      <c r="C6633">
        <v>72009</v>
      </c>
      <c r="D6633" t="s">
        <v>2383</v>
      </c>
      <c r="E6633">
        <v>20405</v>
      </c>
      <c r="F6633" t="s">
        <v>351</v>
      </c>
      <c r="G6633">
        <v>204</v>
      </c>
      <c r="H6633" t="s">
        <v>43</v>
      </c>
      <c r="I6633">
        <v>2</v>
      </c>
      <c r="J6633" t="s">
        <v>40</v>
      </c>
    </row>
    <row r="6634" spans="1:10" x14ac:dyDescent="0.25">
      <c r="A6634" t="s">
        <v>145</v>
      </c>
      <c r="B6634">
        <f>23028.7613801789*(1/100/100)</f>
        <v>2.3028761380178904</v>
      </c>
      <c r="C6634">
        <v>72010</v>
      </c>
      <c r="D6634" t="s">
        <v>2377</v>
      </c>
      <c r="E6634">
        <v>20403</v>
      </c>
      <c r="F6634" t="s">
        <v>350</v>
      </c>
      <c r="G6634">
        <v>204</v>
      </c>
      <c r="H6634" t="s">
        <v>43</v>
      </c>
      <c r="I6634">
        <v>2</v>
      </c>
      <c r="J6634" t="s">
        <v>40</v>
      </c>
    </row>
    <row r="6635" spans="1:10" x14ac:dyDescent="0.25">
      <c r="A6635" t="s">
        <v>145</v>
      </c>
      <c r="B6635">
        <f>47108.8236991571*(1/100/100)</f>
        <v>4.7108823699157103</v>
      </c>
      <c r="C6635">
        <v>72011</v>
      </c>
      <c r="D6635" t="s">
        <v>2433</v>
      </c>
      <c r="E6635">
        <v>20428</v>
      </c>
      <c r="F6635" t="s">
        <v>2432</v>
      </c>
      <c r="G6635">
        <v>204</v>
      </c>
      <c r="H6635" t="s">
        <v>43</v>
      </c>
      <c r="I6635">
        <v>2</v>
      </c>
      <c r="J6635" t="s">
        <v>40</v>
      </c>
    </row>
    <row r="6636" spans="1:10" x14ac:dyDescent="0.25">
      <c r="A6636" t="s">
        <v>145</v>
      </c>
      <c r="B6636">
        <f>47785.2312144508*(1/100/100)</f>
        <v>4.7785231214450805</v>
      </c>
      <c r="C6636">
        <v>72012</v>
      </c>
      <c r="D6636" t="s">
        <v>2434</v>
      </c>
      <c r="E6636">
        <v>20428</v>
      </c>
      <c r="F6636" t="s">
        <v>2432</v>
      </c>
      <c r="G6636">
        <v>204</v>
      </c>
      <c r="H6636" t="s">
        <v>43</v>
      </c>
      <c r="I6636">
        <v>2</v>
      </c>
      <c r="J6636" t="s">
        <v>40</v>
      </c>
    </row>
    <row r="6637" spans="1:10" x14ac:dyDescent="0.25">
      <c r="A6637" t="s">
        <v>145</v>
      </c>
      <c r="B6637">
        <f>17780.2255861716*(1/100/100)</f>
        <v>1.7780225586171601</v>
      </c>
      <c r="C6637">
        <v>72013</v>
      </c>
      <c r="D6637" t="s">
        <v>2384</v>
      </c>
      <c r="E6637">
        <v>20405</v>
      </c>
      <c r="F6637" t="s">
        <v>351</v>
      </c>
      <c r="G6637">
        <v>204</v>
      </c>
      <c r="H6637" t="s">
        <v>43</v>
      </c>
      <c r="I6637">
        <v>2</v>
      </c>
      <c r="J6637" t="s">
        <v>40</v>
      </c>
    </row>
    <row r="6638" spans="1:10" x14ac:dyDescent="0.25">
      <c r="A6638" t="s">
        <v>145</v>
      </c>
      <c r="B6638">
        <f>74349.5777620223*(1/100/100)</f>
        <v>7.4349577762022294</v>
      </c>
      <c r="C6638">
        <v>72014</v>
      </c>
      <c r="D6638" t="s">
        <v>2378</v>
      </c>
      <c r="E6638">
        <v>20403</v>
      </c>
      <c r="F6638" t="s">
        <v>350</v>
      </c>
      <c r="G6638">
        <v>204</v>
      </c>
      <c r="H6638" t="s">
        <v>43</v>
      </c>
      <c r="I6638">
        <v>2</v>
      </c>
      <c r="J6638" t="s">
        <v>40</v>
      </c>
    </row>
    <row r="6639" spans="1:10" x14ac:dyDescent="0.25">
      <c r="A6639" t="s">
        <v>145</v>
      </c>
      <c r="B6639">
        <f>76315.8380606007*(1/100/100)</f>
        <v>7.6315838060600703</v>
      </c>
      <c r="C6639">
        <v>72015</v>
      </c>
      <c r="D6639" t="s">
        <v>2385</v>
      </c>
      <c r="E6639">
        <v>20405</v>
      </c>
      <c r="F6639" t="s">
        <v>351</v>
      </c>
      <c r="G6639">
        <v>204</v>
      </c>
      <c r="H6639" t="s">
        <v>43</v>
      </c>
      <c r="I6639">
        <v>2</v>
      </c>
      <c r="J6639" t="s">
        <v>40</v>
      </c>
    </row>
    <row r="6640" spans="1:10" x14ac:dyDescent="0.25">
      <c r="A6640" t="s">
        <v>145</v>
      </c>
      <c r="B6640">
        <f>31193.5854352465*(1/100/100)</f>
        <v>3.1193585435246503</v>
      </c>
      <c r="C6640">
        <v>72016</v>
      </c>
      <c r="D6640" t="s">
        <v>2386</v>
      </c>
      <c r="E6640">
        <v>20405</v>
      </c>
      <c r="F6640" t="s">
        <v>351</v>
      </c>
      <c r="G6640">
        <v>204</v>
      </c>
      <c r="H6640" t="s">
        <v>43</v>
      </c>
      <c r="I6640">
        <v>2</v>
      </c>
      <c r="J6640" t="s">
        <v>40</v>
      </c>
    </row>
    <row r="6641" spans="1:10" x14ac:dyDescent="0.25">
      <c r="A6641" t="s">
        <v>145</v>
      </c>
      <c r="B6641">
        <f>16119.0984968578*(1/100/100)</f>
        <v>1.61190984968578</v>
      </c>
      <c r="C6641">
        <v>72017</v>
      </c>
      <c r="D6641" t="s">
        <v>2387</v>
      </c>
      <c r="E6641">
        <v>20405</v>
      </c>
      <c r="F6641" t="s">
        <v>351</v>
      </c>
      <c r="G6641">
        <v>204</v>
      </c>
      <c r="H6641" t="s">
        <v>43</v>
      </c>
      <c r="I6641">
        <v>2</v>
      </c>
      <c r="J6641" t="s">
        <v>40</v>
      </c>
    </row>
    <row r="6642" spans="1:10" x14ac:dyDescent="0.25">
      <c r="A6642" t="s">
        <v>145</v>
      </c>
      <c r="B6642">
        <f>49257.2475220276*(1/100/100)</f>
        <v>4.9257247522027603</v>
      </c>
      <c r="C6642">
        <v>72018</v>
      </c>
      <c r="D6642" t="s">
        <v>2379</v>
      </c>
      <c r="E6642">
        <v>20403</v>
      </c>
      <c r="F6642" t="s">
        <v>350</v>
      </c>
      <c r="G6642">
        <v>204</v>
      </c>
      <c r="H6642" t="s">
        <v>43</v>
      </c>
      <c r="I6642">
        <v>2</v>
      </c>
      <c r="J6642" t="s">
        <v>40</v>
      </c>
    </row>
    <row r="6643" spans="1:10" x14ac:dyDescent="0.25">
      <c r="A6643" t="s">
        <v>145</v>
      </c>
      <c r="B6643">
        <f>44381.8906951291*(1/100/100)</f>
        <v>4.4381890695129105</v>
      </c>
      <c r="C6643">
        <v>72019</v>
      </c>
      <c r="D6643" t="s">
        <v>2388</v>
      </c>
      <c r="E6643">
        <v>20405</v>
      </c>
      <c r="F6643" t="s">
        <v>351</v>
      </c>
      <c r="G6643">
        <v>204</v>
      </c>
      <c r="H6643" t="s">
        <v>43</v>
      </c>
      <c r="I6643">
        <v>2</v>
      </c>
      <c r="J6643" t="s">
        <v>40</v>
      </c>
    </row>
    <row r="6644" spans="1:10" x14ac:dyDescent="0.25">
      <c r="A6644" t="s">
        <v>145</v>
      </c>
      <c r="B6644">
        <f>43379.1270617332*(1/100/100)</f>
        <v>4.33791270617332</v>
      </c>
      <c r="C6644">
        <v>72020</v>
      </c>
      <c r="D6644" t="s">
        <v>2442</v>
      </c>
      <c r="E6644">
        <v>20441</v>
      </c>
      <c r="F6644" t="s">
        <v>364</v>
      </c>
      <c r="G6644">
        <v>204</v>
      </c>
      <c r="H6644" t="s">
        <v>43</v>
      </c>
      <c r="I6644">
        <v>2</v>
      </c>
      <c r="J6644" t="s">
        <v>40</v>
      </c>
    </row>
    <row r="6645" spans="1:10" x14ac:dyDescent="0.25">
      <c r="A6645" t="s">
        <v>145</v>
      </c>
      <c r="B6645">
        <f>16066.5438852935*(1/100/100)</f>
        <v>1.6066543885293501</v>
      </c>
      <c r="C6645">
        <v>72021</v>
      </c>
      <c r="D6645" t="s">
        <v>2443</v>
      </c>
      <c r="E6645">
        <v>20441</v>
      </c>
      <c r="F6645" t="s">
        <v>364</v>
      </c>
      <c r="G6645">
        <v>204</v>
      </c>
      <c r="H6645" t="s">
        <v>43</v>
      </c>
      <c r="I6645">
        <v>2</v>
      </c>
      <c r="J6645" t="s">
        <v>40</v>
      </c>
    </row>
    <row r="6646" spans="1:10" x14ac:dyDescent="0.25">
      <c r="A6646" t="s">
        <v>145</v>
      </c>
      <c r="B6646">
        <f>23966.3189063705*(1/100/100)</f>
        <v>2.3966318906370501</v>
      </c>
      <c r="C6646">
        <v>72022</v>
      </c>
      <c r="D6646" t="s">
        <v>2444</v>
      </c>
      <c r="E6646">
        <v>20441</v>
      </c>
      <c r="F6646" t="s">
        <v>364</v>
      </c>
      <c r="G6646">
        <v>204</v>
      </c>
      <c r="H6646" t="s">
        <v>43</v>
      </c>
      <c r="I6646">
        <v>2</v>
      </c>
      <c r="J6646" t="s">
        <v>40</v>
      </c>
    </row>
    <row r="6647" spans="1:10" x14ac:dyDescent="0.25">
      <c r="A6647" t="s">
        <v>145</v>
      </c>
      <c r="B6647">
        <f>35003.491989753*(1/100/100)</f>
        <v>3.5003491989753002</v>
      </c>
      <c r="C6647">
        <v>72101</v>
      </c>
      <c r="D6647" t="s">
        <v>2418</v>
      </c>
      <c r="E6647">
        <v>20421</v>
      </c>
      <c r="F6647" t="s">
        <v>359</v>
      </c>
      <c r="G6647">
        <v>204</v>
      </c>
      <c r="H6647" t="s">
        <v>43</v>
      </c>
      <c r="I6647">
        <v>2</v>
      </c>
      <c r="J6647" t="s">
        <v>40</v>
      </c>
    </row>
    <row r="6648" spans="1:10" x14ac:dyDescent="0.25">
      <c r="A6648" t="s">
        <v>145</v>
      </c>
      <c r="B6648">
        <f>5660.58841223231*(1/100/100)</f>
        <v>0.56605884122323102</v>
      </c>
      <c r="C6648">
        <v>72102</v>
      </c>
      <c r="D6648" t="s">
        <v>518</v>
      </c>
      <c r="E6648">
        <v>20409</v>
      </c>
      <c r="F6648" t="s">
        <v>352</v>
      </c>
      <c r="G6648">
        <v>204</v>
      </c>
      <c r="H6648" t="s">
        <v>43</v>
      </c>
      <c r="I6648">
        <v>2</v>
      </c>
      <c r="J6648" t="s">
        <v>40</v>
      </c>
    </row>
    <row r="6649" spans="1:10" x14ac:dyDescent="0.25">
      <c r="A6649" t="s">
        <v>145</v>
      </c>
      <c r="B6649">
        <f>31370.6073133836*(1/100/100)</f>
        <v>3.1370607313383601</v>
      </c>
      <c r="C6649">
        <v>72103</v>
      </c>
      <c r="D6649" t="s">
        <v>2299</v>
      </c>
      <c r="E6649">
        <v>20101</v>
      </c>
      <c r="F6649" t="s">
        <v>341</v>
      </c>
      <c r="G6649">
        <v>201</v>
      </c>
      <c r="H6649" t="s">
        <v>39</v>
      </c>
      <c r="I6649">
        <v>2</v>
      </c>
      <c r="J6649" t="s">
        <v>40</v>
      </c>
    </row>
    <row r="6650" spans="1:10" x14ac:dyDescent="0.25">
      <c r="A6650" t="s">
        <v>145</v>
      </c>
      <c r="B6650">
        <f>96208.1294096827*(1/100/100)</f>
        <v>9.6208129409682712</v>
      </c>
      <c r="C6650">
        <v>72104</v>
      </c>
      <c r="D6650" t="s">
        <v>2401</v>
      </c>
      <c r="E6650">
        <v>20415</v>
      </c>
      <c r="F6650" t="s">
        <v>2402</v>
      </c>
      <c r="G6650">
        <v>204</v>
      </c>
      <c r="H6650" t="s">
        <v>43</v>
      </c>
      <c r="I6650">
        <v>2</v>
      </c>
      <c r="J6650" t="s">
        <v>40</v>
      </c>
    </row>
    <row r="6651" spans="1:10" x14ac:dyDescent="0.25">
      <c r="A6651" t="s">
        <v>145</v>
      </c>
      <c r="B6651">
        <f>70621.2923402489*(1/100/100)</f>
        <v>7.0621292340248898</v>
      </c>
      <c r="C6651">
        <v>72105</v>
      </c>
      <c r="D6651" t="s">
        <v>555</v>
      </c>
      <c r="E6651">
        <v>20402</v>
      </c>
      <c r="F6651" t="s">
        <v>349</v>
      </c>
      <c r="G6651">
        <v>204</v>
      </c>
      <c r="H6651" t="s">
        <v>43</v>
      </c>
      <c r="I6651">
        <v>2</v>
      </c>
      <c r="J6651" t="s">
        <v>40</v>
      </c>
    </row>
    <row r="6652" spans="1:10" x14ac:dyDescent="0.25">
      <c r="A6652" t="s">
        <v>145</v>
      </c>
      <c r="B6652">
        <f>455696.432122332*(1/100/100)</f>
        <v>45.569643212233203</v>
      </c>
      <c r="C6652">
        <v>72106</v>
      </c>
      <c r="D6652" t="s">
        <v>2300</v>
      </c>
      <c r="E6652">
        <v>20101</v>
      </c>
      <c r="F6652" t="s">
        <v>341</v>
      </c>
      <c r="G6652">
        <v>201</v>
      </c>
      <c r="H6652" t="s">
        <v>39</v>
      </c>
      <c r="I6652">
        <v>2</v>
      </c>
      <c r="J6652" t="s">
        <v>40</v>
      </c>
    </row>
    <row r="6653" spans="1:10" x14ac:dyDescent="0.25">
      <c r="A6653" t="s">
        <v>145</v>
      </c>
      <c r="B6653">
        <f>46503.2313479025*(1/100/100)</f>
        <v>4.6503231347902503</v>
      </c>
      <c r="C6653">
        <v>72107</v>
      </c>
      <c r="D6653" t="s">
        <v>2445</v>
      </c>
      <c r="E6653">
        <v>20442</v>
      </c>
      <c r="F6653" t="s">
        <v>365</v>
      </c>
      <c r="G6653">
        <v>204</v>
      </c>
      <c r="H6653" t="s">
        <v>43</v>
      </c>
      <c r="I6653">
        <v>2</v>
      </c>
      <c r="J6653" t="s">
        <v>40</v>
      </c>
    </row>
    <row r="6654" spans="1:10" x14ac:dyDescent="0.25">
      <c r="A6654" t="s">
        <v>145</v>
      </c>
      <c r="B6654">
        <f>20269.5095436642*(1/100/100)</f>
        <v>2.0269509543664204</v>
      </c>
      <c r="C6654">
        <v>72108</v>
      </c>
      <c r="D6654" t="s">
        <v>2446</v>
      </c>
      <c r="E6654">
        <v>20442</v>
      </c>
      <c r="F6654" t="s">
        <v>365</v>
      </c>
      <c r="G6654">
        <v>204</v>
      </c>
      <c r="H6654" t="s">
        <v>43</v>
      </c>
      <c r="I6654">
        <v>2</v>
      </c>
      <c r="J6654" t="s">
        <v>40</v>
      </c>
    </row>
    <row r="6655" spans="1:10" x14ac:dyDescent="0.25">
      <c r="A6655" t="s">
        <v>145</v>
      </c>
      <c r="B6655">
        <f>53302.6647015954*(1/100/100)</f>
        <v>5.3302664701595406</v>
      </c>
      <c r="C6655">
        <v>72109</v>
      </c>
      <c r="D6655" t="s">
        <v>2410</v>
      </c>
      <c r="E6655">
        <v>20417</v>
      </c>
      <c r="F6655" t="s">
        <v>356</v>
      </c>
      <c r="G6655">
        <v>204</v>
      </c>
      <c r="H6655" t="s">
        <v>43</v>
      </c>
      <c r="I6655">
        <v>2</v>
      </c>
      <c r="J6655" t="s">
        <v>40</v>
      </c>
    </row>
    <row r="6656" spans="1:10" x14ac:dyDescent="0.25">
      <c r="A6656" t="s">
        <v>145</v>
      </c>
      <c r="B6656">
        <f>154625.17483468*(1/100/100)</f>
        <v>15.462517483468</v>
      </c>
      <c r="C6656">
        <v>72110</v>
      </c>
      <c r="D6656" t="s">
        <v>2301</v>
      </c>
      <c r="E6656">
        <v>20101</v>
      </c>
      <c r="F6656" t="s">
        <v>341</v>
      </c>
      <c r="G6656">
        <v>201</v>
      </c>
      <c r="H6656" t="s">
        <v>39</v>
      </c>
      <c r="I6656">
        <v>2</v>
      </c>
      <c r="J6656" t="s">
        <v>40</v>
      </c>
    </row>
    <row r="6657" spans="1:10" x14ac:dyDescent="0.25">
      <c r="A6657" t="s">
        <v>145</v>
      </c>
      <c r="B6657">
        <f>27445.4197204891*(1/100/100)</f>
        <v>2.7445419720489102</v>
      </c>
      <c r="C6657">
        <v>72111</v>
      </c>
      <c r="D6657" t="s">
        <v>2419</v>
      </c>
      <c r="E6657">
        <v>20421</v>
      </c>
      <c r="F6657" t="s">
        <v>359</v>
      </c>
      <c r="G6657">
        <v>204</v>
      </c>
      <c r="H6657" t="s">
        <v>43</v>
      </c>
      <c r="I6657">
        <v>2</v>
      </c>
      <c r="J6657" t="s">
        <v>40</v>
      </c>
    </row>
    <row r="6658" spans="1:10" x14ac:dyDescent="0.25">
      <c r="A6658" t="s">
        <v>145</v>
      </c>
      <c r="B6658">
        <f>173142.151030456*(1/100/100)</f>
        <v>17.314215103045601</v>
      </c>
      <c r="C6658">
        <v>72112</v>
      </c>
      <c r="D6658" t="s">
        <v>2366</v>
      </c>
      <c r="E6658">
        <v>20402</v>
      </c>
      <c r="F6658" t="s">
        <v>349</v>
      </c>
      <c r="G6658">
        <v>204</v>
      </c>
      <c r="H6658" t="s">
        <v>43</v>
      </c>
      <c r="I6658">
        <v>2</v>
      </c>
      <c r="J6658" t="s">
        <v>40</v>
      </c>
    </row>
    <row r="6659" spans="1:10" x14ac:dyDescent="0.25">
      <c r="A6659" t="s">
        <v>145</v>
      </c>
      <c r="B6659">
        <f>85610.0187943513*(1/100/100)</f>
        <v>8.5610018794351301</v>
      </c>
      <c r="C6659">
        <v>72113</v>
      </c>
      <c r="D6659" t="s">
        <v>352</v>
      </c>
      <c r="E6659">
        <v>20409</v>
      </c>
      <c r="F6659" t="s">
        <v>352</v>
      </c>
      <c r="G6659">
        <v>204</v>
      </c>
      <c r="H6659" t="s">
        <v>43</v>
      </c>
      <c r="I6659">
        <v>2</v>
      </c>
      <c r="J6659" t="s">
        <v>40</v>
      </c>
    </row>
    <row r="6660" spans="1:10" x14ac:dyDescent="0.25">
      <c r="A6660" t="s">
        <v>145</v>
      </c>
      <c r="B6660">
        <f>50759.3479571473*(1/100/100)</f>
        <v>5.0759347957147298</v>
      </c>
      <c r="C6660">
        <v>72114</v>
      </c>
      <c r="D6660" t="s">
        <v>2302</v>
      </c>
      <c r="E6660">
        <v>20101</v>
      </c>
      <c r="F6660" t="s">
        <v>341</v>
      </c>
      <c r="G6660">
        <v>201</v>
      </c>
      <c r="H6660" t="s">
        <v>39</v>
      </c>
      <c r="I6660">
        <v>2</v>
      </c>
      <c r="J6660" t="s">
        <v>40</v>
      </c>
    </row>
    <row r="6661" spans="1:10" x14ac:dyDescent="0.25">
      <c r="A6661" t="s">
        <v>145</v>
      </c>
      <c r="B6661">
        <f>28159.2836102694*(1/100/100)</f>
        <v>2.8159283610269399</v>
      </c>
      <c r="C6661">
        <v>72115</v>
      </c>
      <c r="D6661" t="s">
        <v>2406</v>
      </c>
      <c r="E6661">
        <v>20416</v>
      </c>
      <c r="F6661" t="s">
        <v>355</v>
      </c>
      <c r="G6661">
        <v>204</v>
      </c>
      <c r="H6661" t="s">
        <v>43</v>
      </c>
      <c r="I6661">
        <v>2</v>
      </c>
      <c r="J6661" t="s">
        <v>40</v>
      </c>
    </row>
    <row r="6662" spans="1:10" x14ac:dyDescent="0.25">
      <c r="A6662" t="s">
        <v>145</v>
      </c>
      <c r="B6662">
        <f>168614.317380398*(1/100/100)</f>
        <v>16.861431738039801</v>
      </c>
      <c r="C6662">
        <v>72116</v>
      </c>
      <c r="D6662" t="s">
        <v>2303</v>
      </c>
      <c r="E6662">
        <v>20101</v>
      </c>
      <c r="F6662" t="s">
        <v>341</v>
      </c>
      <c r="G6662">
        <v>201</v>
      </c>
      <c r="H6662" t="s">
        <v>39</v>
      </c>
      <c r="I6662">
        <v>2</v>
      </c>
      <c r="J6662" t="s">
        <v>40</v>
      </c>
    </row>
    <row r="6663" spans="1:10" x14ac:dyDescent="0.25">
      <c r="A6663" t="s">
        <v>145</v>
      </c>
      <c r="B6663">
        <f>112060.128017265*(1/100/100)</f>
        <v>11.2060128017265</v>
      </c>
      <c r="C6663">
        <v>72117</v>
      </c>
      <c r="D6663" t="s">
        <v>2304</v>
      </c>
      <c r="E6663">
        <v>20101</v>
      </c>
      <c r="F6663" t="s">
        <v>341</v>
      </c>
      <c r="G6663">
        <v>201</v>
      </c>
      <c r="H6663" t="s">
        <v>39</v>
      </c>
      <c r="I6663">
        <v>2</v>
      </c>
      <c r="J6663" t="s">
        <v>40</v>
      </c>
    </row>
    <row r="6664" spans="1:10" x14ac:dyDescent="0.25">
      <c r="A6664" t="s">
        <v>145</v>
      </c>
      <c r="B6664">
        <f>38514.0047361082*(1/100/100)</f>
        <v>3.8514004736108207</v>
      </c>
      <c r="C6664">
        <v>72118</v>
      </c>
      <c r="D6664" t="s">
        <v>2403</v>
      </c>
      <c r="E6664">
        <v>20415</v>
      </c>
      <c r="F6664" t="s">
        <v>2402</v>
      </c>
      <c r="G6664">
        <v>204</v>
      </c>
      <c r="H6664" t="s">
        <v>43</v>
      </c>
      <c r="I6664">
        <v>2</v>
      </c>
      <c r="J6664" t="s">
        <v>40</v>
      </c>
    </row>
    <row r="6665" spans="1:10" x14ac:dyDescent="0.25">
      <c r="A6665" t="s">
        <v>145</v>
      </c>
      <c r="B6665">
        <f>39690.4955707158*(1/100/100)</f>
        <v>3.96904955707158</v>
      </c>
      <c r="C6665">
        <v>72119</v>
      </c>
      <c r="D6665" t="s">
        <v>2367</v>
      </c>
      <c r="E6665">
        <v>20402</v>
      </c>
      <c r="F6665" t="s">
        <v>349</v>
      </c>
      <c r="G6665">
        <v>204</v>
      </c>
      <c r="H6665" t="s">
        <v>43</v>
      </c>
      <c r="I6665">
        <v>2</v>
      </c>
      <c r="J6665" t="s">
        <v>40</v>
      </c>
    </row>
    <row r="6666" spans="1:10" x14ac:dyDescent="0.25">
      <c r="A6666" t="s">
        <v>145</v>
      </c>
      <c r="B6666">
        <f>38488.328333715*(1/100/100)</f>
        <v>3.8488328333715001</v>
      </c>
      <c r="C6666">
        <v>72120</v>
      </c>
      <c r="D6666" t="s">
        <v>2305</v>
      </c>
      <c r="E6666">
        <v>20101</v>
      </c>
      <c r="F6666" t="s">
        <v>341</v>
      </c>
      <c r="G6666">
        <v>201</v>
      </c>
      <c r="H6666" t="s">
        <v>39</v>
      </c>
      <c r="I6666">
        <v>2</v>
      </c>
      <c r="J6666" t="s">
        <v>40</v>
      </c>
    </row>
    <row r="6667" spans="1:10" x14ac:dyDescent="0.25">
      <c r="A6667" t="s">
        <v>145</v>
      </c>
      <c r="B6667">
        <f>25416.9477342866*(1/100/100)</f>
        <v>2.5416947734286603</v>
      </c>
      <c r="C6667">
        <v>72121</v>
      </c>
      <c r="D6667" t="s">
        <v>2368</v>
      </c>
      <c r="E6667">
        <v>20402</v>
      </c>
      <c r="F6667" t="s">
        <v>349</v>
      </c>
      <c r="G6667">
        <v>204</v>
      </c>
      <c r="H6667" t="s">
        <v>43</v>
      </c>
      <c r="I6667">
        <v>2</v>
      </c>
      <c r="J6667" t="s">
        <v>40</v>
      </c>
    </row>
    <row r="6668" spans="1:10" x14ac:dyDescent="0.25">
      <c r="A6668" t="s">
        <v>145</v>
      </c>
      <c r="B6668">
        <f>48623.1512674914*(1/100/100)</f>
        <v>4.8623151267491398</v>
      </c>
      <c r="C6668">
        <v>72122</v>
      </c>
      <c r="D6668" t="s">
        <v>2398</v>
      </c>
      <c r="E6668">
        <v>20414</v>
      </c>
      <c r="F6668" t="s">
        <v>354</v>
      </c>
      <c r="G6668">
        <v>204</v>
      </c>
      <c r="H6668" t="s">
        <v>43</v>
      </c>
      <c r="I6668">
        <v>2</v>
      </c>
      <c r="J6668" t="s">
        <v>40</v>
      </c>
    </row>
    <row r="6669" spans="1:10" x14ac:dyDescent="0.25">
      <c r="A6669" t="s">
        <v>145</v>
      </c>
      <c r="B6669">
        <f>291093.795550408*(1/100/100)</f>
        <v>29.109379555040803</v>
      </c>
      <c r="C6669">
        <v>72123</v>
      </c>
      <c r="D6669" t="s">
        <v>2306</v>
      </c>
      <c r="E6669">
        <v>20101</v>
      </c>
      <c r="F6669" t="s">
        <v>341</v>
      </c>
      <c r="G6669">
        <v>201</v>
      </c>
      <c r="H6669" t="s">
        <v>39</v>
      </c>
      <c r="I6669">
        <v>2</v>
      </c>
      <c r="J6669" t="s">
        <v>40</v>
      </c>
    </row>
    <row r="6670" spans="1:10" x14ac:dyDescent="0.25">
      <c r="A6670" t="s">
        <v>145</v>
      </c>
      <c r="B6670">
        <f>80257.7223905581*(1/100/100)</f>
        <v>8.0257722390558115</v>
      </c>
      <c r="C6670">
        <v>72124</v>
      </c>
      <c r="D6670" t="s">
        <v>2413</v>
      </c>
      <c r="E6670">
        <v>20418</v>
      </c>
      <c r="F6670" t="s">
        <v>357</v>
      </c>
      <c r="G6670">
        <v>204</v>
      </c>
      <c r="H6670" t="s">
        <v>43</v>
      </c>
      <c r="I6670">
        <v>2</v>
      </c>
      <c r="J6670" t="s">
        <v>40</v>
      </c>
    </row>
    <row r="6671" spans="1:10" x14ac:dyDescent="0.25">
      <c r="A6671" t="s">
        <v>145</v>
      </c>
      <c r="B6671">
        <f>56363.187048802*(1/100/100)</f>
        <v>5.6363187048802006</v>
      </c>
      <c r="C6671">
        <v>72125</v>
      </c>
      <c r="D6671" t="s">
        <v>2414</v>
      </c>
      <c r="E6671">
        <v>20418</v>
      </c>
      <c r="F6671" t="s">
        <v>357</v>
      </c>
      <c r="G6671">
        <v>204</v>
      </c>
      <c r="H6671" t="s">
        <v>43</v>
      </c>
      <c r="I6671">
        <v>2</v>
      </c>
      <c r="J6671" t="s">
        <v>40</v>
      </c>
    </row>
    <row r="6672" spans="1:10" x14ac:dyDescent="0.25">
      <c r="A6672" t="s">
        <v>145</v>
      </c>
      <c r="B6672">
        <f>80489.3272054784*(1/100/100)</f>
        <v>8.0489327205478407</v>
      </c>
      <c r="C6672">
        <v>72126</v>
      </c>
      <c r="D6672" t="s">
        <v>2395</v>
      </c>
      <c r="E6672">
        <v>20412</v>
      </c>
      <c r="F6672" t="s">
        <v>353</v>
      </c>
      <c r="G6672">
        <v>204</v>
      </c>
      <c r="H6672" t="s">
        <v>43</v>
      </c>
      <c r="I6672">
        <v>2</v>
      </c>
      <c r="J6672" t="s">
        <v>40</v>
      </c>
    </row>
    <row r="6673" spans="1:10" x14ac:dyDescent="0.25">
      <c r="A6673" t="s">
        <v>145</v>
      </c>
      <c r="B6673">
        <f>1357113.33650212*(1/100/100)</f>
        <v>135.711333650212</v>
      </c>
      <c r="C6673">
        <v>72127</v>
      </c>
      <c r="D6673" t="s">
        <v>2307</v>
      </c>
      <c r="E6673">
        <v>20101</v>
      </c>
      <c r="F6673" t="s">
        <v>341</v>
      </c>
      <c r="G6673">
        <v>201</v>
      </c>
      <c r="H6673" t="s">
        <v>39</v>
      </c>
      <c r="I6673">
        <v>2</v>
      </c>
      <c r="J6673" t="s">
        <v>40</v>
      </c>
    </row>
    <row r="6674" spans="1:10" x14ac:dyDescent="0.25">
      <c r="A6674" t="s">
        <v>145</v>
      </c>
      <c r="B6674">
        <f>29584.9197044616*(1/100/100)</f>
        <v>2.9584919704461603</v>
      </c>
      <c r="C6674">
        <v>72128</v>
      </c>
      <c r="D6674" t="s">
        <v>2308</v>
      </c>
      <c r="E6674">
        <v>20101</v>
      </c>
      <c r="F6674" t="s">
        <v>341</v>
      </c>
      <c r="G6674">
        <v>201</v>
      </c>
      <c r="H6674" t="s">
        <v>39</v>
      </c>
      <c r="I6674">
        <v>2</v>
      </c>
      <c r="J6674" t="s">
        <v>40</v>
      </c>
    </row>
    <row r="6675" spans="1:10" x14ac:dyDescent="0.25">
      <c r="A6675" t="s">
        <v>145</v>
      </c>
      <c r="B6675">
        <f>96895.0918921112*(1/100/100)</f>
        <v>9.6895091892111207</v>
      </c>
      <c r="C6675">
        <v>72130</v>
      </c>
      <c r="D6675" t="s">
        <v>354</v>
      </c>
      <c r="E6675">
        <v>20414</v>
      </c>
      <c r="F6675" t="s">
        <v>354</v>
      </c>
      <c r="G6675">
        <v>204</v>
      </c>
      <c r="H6675" t="s">
        <v>43</v>
      </c>
      <c r="I6675">
        <v>2</v>
      </c>
      <c r="J6675" t="s">
        <v>40</v>
      </c>
    </row>
    <row r="6676" spans="1:10" x14ac:dyDescent="0.25">
      <c r="A6676" t="s">
        <v>145</v>
      </c>
      <c r="B6676">
        <f>29536.2041692491*(1/100/100)</f>
        <v>2.9536204169249101</v>
      </c>
      <c r="C6676">
        <v>72131</v>
      </c>
      <c r="D6676" t="s">
        <v>2420</v>
      </c>
      <c r="E6676">
        <v>20421</v>
      </c>
      <c r="F6676" t="s">
        <v>359</v>
      </c>
      <c r="G6676">
        <v>204</v>
      </c>
      <c r="H6676" t="s">
        <v>43</v>
      </c>
      <c r="I6676">
        <v>2</v>
      </c>
      <c r="J6676" t="s">
        <v>40</v>
      </c>
    </row>
    <row r="6677" spans="1:10" x14ac:dyDescent="0.25">
      <c r="A6677" t="s">
        <v>145</v>
      </c>
      <c r="B6677">
        <f>17105.8260465624*(1/100/100)</f>
        <v>1.7105826046562402</v>
      </c>
      <c r="C6677">
        <v>72132</v>
      </c>
      <c r="D6677" t="s">
        <v>2369</v>
      </c>
      <c r="E6677">
        <v>20402</v>
      </c>
      <c r="F6677" t="s">
        <v>349</v>
      </c>
      <c r="G6677">
        <v>204</v>
      </c>
      <c r="H6677" t="s">
        <v>43</v>
      </c>
      <c r="I6677">
        <v>2</v>
      </c>
      <c r="J6677" t="s">
        <v>40</v>
      </c>
    </row>
    <row r="6678" spans="1:10" x14ac:dyDescent="0.25">
      <c r="A6678" t="s">
        <v>145</v>
      </c>
      <c r="B6678">
        <f>137190.556691369*(1/100/100)</f>
        <v>13.719055669136901</v>
      </c>
      <c r="C6678">
        <v>72133</v>
      </c>
      <c r="D6678" t="s">
        <v>2404</v>
      </c>
      <c r="E6678">
        <v>20415</v>
      </c>
      <c r="F6678" t="s">
        <v>2402</v>
      </c>
      <c r="G6678">
        <v>204</v>
      </c>
      <c r="H6678" t="s">
        <v>43</v>
      </c>
      <c r="I6678">
        <v>2</v>
      </c>
      <c r="J6678" t="s">
        <v>40</v>
      </c>
    </row>
    <row r="6679" spans="1:10" x14ac:dyDescent="0.25">
      <c r="A6679" t="s">
        <v>145</v>
      </c>
      <c r="B6679">
        <f>9451.92240979992*(1/100/100)</f>
        <v>0.94519224097999199</v>
      </c>
      <c r="C6679">
        <v>72134</v>
      </c>
      <c r="D6679" t="s">
        <v>2447</v>
      </c>
      <c r="E6679">
        <v>20442</v>
      </c>
      <c r="F6679" t="s">
        <v>365</v>
      </c>
      <c r="G6679">
        <v>204</v>
      </c>
      <c r="H6679" t="s">
        <v>43</v>
      </c>
      <c r="I6679">
        <v>2</v>
      </c>
      <c r="J6679" t="s">
        <v>40</v>
      </c>
    </row>
    <row r="6680" spans="1:10" x14ac:dyDescent="0.25">
      <c r="A6680" t="s">
        <v>145</v>
      </c>
      <c r="B6680">
        <f>115818.358167654*(1/100/100)</f>
        <v>11.581835816765402</v>
      </c>
      <c r="C6680">
        <v>72135</v>
      </c>
      <c r="D6680" t="s">
        <v>2427</v>
      </c>
      <c r="E6680">
        <v>20425</v>
      </c>
      <c r="F6680" t="s">
        <v>361</v>
      </c>
      <c r="G6680">
        <v>204</v>
      </c>
      <c r="H6680" t="s">
        <v>43</v>
      </c>
      <c r="I6680">
        <v>2</v>
      </c>
      <c r="J6680" t="s">
        <v>40</v>
      </c>
    </row>
    <row r="6681" spans="1:10" x14ac:dyDescent="0.25">
      <c r="A6681" t="s">
        <v>145</v>
      </c>
      <c r="B6681">
        <f>114403.370970638*(1/100/100)</f>
        <v>11.4403370970638</v>
      </c>
      <c r="C6681">
        <v>72136</v>
      </c>
      <c r="D6681" t="s">
        <v>394</v>
      </c>
      <c r="E6681">
        <v>20101</v>
      </c>
      <c r="F6681" t="s">
        <v>341</v>
      </c>
      <c r="G6681">
        <v>201</v>
      </c>
      <c r="H6681" t="s">
        <v>39</v>
      </c>
      <c r="I6681">
        <v>2</v>
      </c>
      <c r="J6681" t="s">
        <v>40</v>
      </c>
    </row>
    <row r="6682" spans="1:10" x14ac:dyDescent="0.25">
      <c r="A6682" t="s">
        <v>145</v>
      </c>
      <c r="B6682">
        <f>23324.0575859206*(1/100/100)</f>
        <v>2.3324057585920603</v>
      </c>
      <c r="C6682">
        <v>72137</v>
      </c>
      <c r="D6682" t="s">
        <v>2428</v>
      </c>
      <c r="E6682">
        <v>20425</v>
      </c>
      <c r="F6682" t="s">
        <v>361</v>
      </c>
      <c r="G6682">
        <v>204</v>
      </c>
      <c r="H6682" t="s">
        <v>43</v>
      </c>
      <c r="I6682">
        <v>2</v>
      </c>
      <c r="J6682" t="s">
        <v>40</v>
      </c>
    </row>
    <row r="6683" spans="1:10" x14ac:dyDescent="0.25">
      <c r="A6683" t="s">
        <v>145</v>
      </c>
      <c r="B6683">
        <f>9884.24548747801*(1/100/100)</f>
        <v>0.98842454874780106</v>
      </c>
      <c r="C6683">
        <v>72138</v>
      </c>
      <c r="D6683" t="s">
        <v>2370</v>
      </c>
      <c r="E6683">
        <v>20402</v>
      </c>
      <c r="F6683" t="s">
        <v>349</v>
      </c>
      <c r="G6683">
        <v>204</v>
      </c>
      <c r="H6683" t="s">
        <v>43</v>
      </c>
      <c r="I6683">
        <v>2</v>
      </c>
      <c r="J6683" t="s">
        <v>40</v>
      </c>
    </row>
    <row r="6684" spans="1:10" x14ac:dyDescent="0.25">
      <c r="A6684" t="s">
        <v>145</v>
      </c>
      <c r="B6684">
        <f>64957.0417331294*(1/100/100)</f>
        <v>6.4957041733129408</v>
      </c>
      <c r="C6684">
        <v>72139</v>
      </c>
      <c r="D6684" t="s">
        <v>355</v>
      </c>
      <c r="E6684">
        <v>20416</v>
      </c>
      <c r="F6684" t="s">
        <v>355</v>
      </c>
      <c r="G6684">
        <v>204</v>
      </c>
      <c r="H6684" t="s">
        <v>43</v>
      </c>
      <c r="I6684">
        <v>2</v>
      </c>
      <c r="J6684" t="s">
        <v>40</v>
      </c>
    </row>
    <row r="6685" spans="1:10" x14ac:dyDescent="0.25">
      <c r="A6685" t="s">
        <v>145</v>
      </c>
      <c r="B6685">
        <f>212163.924662925*(1/100/100)</f>
        <v>21.216392466292501</v>
      </c>
      <c r="C6685">
        <v>72140</v>
      </c>
      <c r="D6685" t="s">
        <v>357</v>
      </c>
      <c r="E6685">
        <v>20418</v>
      </c>
      <c r="F6685" t="s">
        <v>357</v>
      </c>
      <c r="G6685">
        <v>204</v>
      </c>
      <c r="H6685" t="s">
        <v>43</v>
      </c>
      <c r="I6685">
        <v>2</v>
      </c>
      <c r="J6685" t="s">
        <v>40</v>
      </c>
    </row>
    <row r="6686" spans="1:10" x14ac:dyDescent="0.25">
      <c r="A6686" t="s">
        <v>145</v>
      </c>
      <c r="B6686">
        <f>62860.9905046892*(1/100/100)</f>
        <v>6.2860990504689207</v>
      </c>
      <c r="C6686">
        <v>72141</v>
      </c>
      <c r="D6686" t="s">
        <v>358</v>
      </c>
      <c r="E6686">
        <v>20419</v>
      </c>
      <c r="F6686" t="s">
        <v>358</v>
      </c>
      <c r="G6686">
        <v>204</v>
      </c>
      <c r="H6686" t="s">
        <v>43</v>
      </c>
      <c r="I6686">
        <v>2</v>
      </c>
      <c r="J6686" t="s">
        <v>40</v>
      </c>
    </row>
    <row r="6687" spans="1:10" x14ac:dyDescent="0.25">
      <c r="A6687" t="s">
        <v>145</v>
      </c>
      <c r="B6687">
        <f>221300.325017734*(1/100/100)</f>
        <v>22.1300325017734</v>
      </c>
      <c r="C6687">
        <v>72142</v>
      </c>
      <c r="D6687" t="s">
        <v>2309</v>
      </c>
      <c r="E6687">
        <v>20101</v>
      </c>
      <c r="F6687" t="s">
        <v>341</v>
      </c>
      <c r="G6687">
        <v>201</v>
      </c>
      <c r="H6687" t="s">
        <v>39</v>
      </c>
      <c r="I6687">
        <v>2</v>
      </c>
      <c r="J6687" t="s">
        <v>40</v>
      </c>
    </row>
    <row r="6688" spans="1:10" x14ac:dyDescent="0.25">
      <c r="A6688" t="s">
        <v>145</v>
      </c>
      <c r="B6688">
        <f>56172.2641231728*(1/100/100)</f>
        <v>5.6172264123172804</v>
      </c>
      <c r="C6688">
        <v>72143</v>
      </c>
      <c r="D6688" t="s">
        <v>2371</v>
      </c>
      <c r="E6688">
        <v>20402</v>
      </c>
      <c r="F6688" t="s">
        <v>349</v>
      </c>
      <c r="G6688">
        <v>204</v>
      </c>
      <c r="H6688" t="s">
        <v>43</v>
      </c>
      <c r="I6688">
        <v>2</v>
      </c>
      <c r="J6688" t="s">
        <v>40</v>
      </c>
    </row>
    <row r="6689" spans="1:10" x14ac:dyDescent="0.25">
      <c r="A6689" t="s">
        <v>145</v>
      </c>
      <c r="B6689">
        <f>19606.5065933027*(1/100/100)</f>
        <v>1.9606506593302702</v>
      </c>
      <c r="C6689">
        <v>72144</v>
      </c>
      <c r="D6689" t="s">
        <v>2341</v>
      </c>
      <c r="E6689">
        <v>20418</v>
      </c>
      <c r="F6689" t="s">
        <v>357</v>
      </c>
      <c r="G6689">
        <v>204</v>
      </c>
      <c r="H6689" t="s">
        <v>43</v>
      </c>
      <c r="I6689">
        <v>2</v>
      </c>
      <c r="J6689" t="s">
        <v>40</v>
      </c>
    </row>
    <row r="6690" spans="1:10" x14ac:dyDescent="0.25">
      <c r="A6690" t="s">
        <v>145</v>
      </c>
      <c r="B6690">
        <f>115420.692120566*(1/100/100)</f>
        <v>11.542069212056601</v>
      </c>
      <c r="C6690">
        <v>72145</v>
      </c>
      <c r="D6690" t="s">
        <v>359</v>
      </c>
      <c r="E6690">
        <v>20421</v>
      </c>
      <c r="F6690" t="s">
        <v>359</v>
      </c>
      <c r="G6690">
        <v>204</v>
      </c>
      <c r="H6690" t="s">
        <v>43</v>
      </c>
      <c r="I6690">
        <v>2</v>
      </c>
      <c r="J6690" t="s">
        <v>40</v>
      </c>
    </row>
    <row r="6691" spans="1:10" x14ac:dyDescent="0.25">
      <c r="A6691" t="s">
        <v>145</v>
      </c>
      <c r="B6691">
        <f>3343.44850263248*(1/100/100)</f>
        <v>0.33434485026324801</v>
      </c>
      <c r="C6691">
        <v>72146</v>
      </c>
      <c r="D6691" t="s">
        <v>2310</v>
      </c>
      <c r="E6691">
        <v>20101</v>
      </c>
      <c r="F6691" t="s">
        <v>341</v>
      </c>
      <c r="G6691">
        <v>201</v>
      </c>
      <c r="H6691" t="s">
        <v>39</v>
      </c>
      <c r="I6691">
        <v>2</v>
      </c>
      <c r="J6691" t="s">
        <v>40</v>
      </c>
    </row>
    <row r="6692" spans="1:10" x14ac:dyDescent="0.25">
      <c r="A6692" t="s">
        <v>145</v>
      </c>
      <c r="B6692">
        <f>74562.7707391418*(1/100/100)</f>
        <v>7.4562770739141797</v>
      </c>
      <c r="C6692">
        <v>72147</v>
      </c>
      <c r="D6692" t="s">
        <v>280</v>
      </c>
      <c r="E6692">
        <v>20101</v>
      </c>
      <c r="F6692" t="s">
        <v>341</v>
      </c>
      <c r="G6692">
        <v>201</v>
      </c>
      <c r="H6692" t="s">
        <v>39</v>
      </c>
      <c r="I6692">
        <v>2</v>
      </c>
      <c r="J6692" t="s">
        <v>40</v>
      </c>
    </row>
    <row r="6693" spans="1:10" x14ac:dyDescent="0.25">
      <c r="A6693" t="s">
        <v>145</v>
      </c>
      <c r="B6693">
        <f>31986.7905815161*(1/100/100)</f>
        <v>3.19867905815161</v>
      </c>
      <c r="C6693">
        <v>72148</v>
      </c>
      <c r="D6693" t="s">
        <v>2407</v>
      </c>
      <c r="E6693">
        <v>20416</v>
      </c>
      <c r="F6693" t="s">
        <v>355</v>
      </c>
      <c r="G6693">
        <v>204</v>
      </c>
      <c r="H6693" t="s">
        <v>43</v>
      </c>
      <c r="I6693">
        <v>2</v>
      </c>
      <c r="J6693" t="s">
        <v>40</v>
      </c>
    </row>
    <row r="6694" spans="1:10" x14ac:dyDescent="0.25">
      <c r="A6694" t="s">
        <v>145</v>
      </c>
      <c r="B6694">
        <f>86071.9134401917*(1/100/100)</f>
        <v>8.6071913440191707</v>
      </c>
      <c r="C6694">
        <v>72149</v>
      </c>
      <c r="D6694" t="s">
        <v>2448</v>
      </c>
      <c r="E6694">
        <v>20442</v>
      </c>
      <c r="F6694" t="s">
        <v>365</v>
      </c>
      <c r="G6694">
        <v>204</v>
      </c>
      <c r="H6694" t="s">
        <v>43</v>
      </c>
      <c r="I6694">
        <v>2</v>
      </c>
      <c r="J6694" t="s">
        <v>40</v>
      </c>
    </row>
    <row r="6695" spans="1:10" x14ac:dyDescent="0.25">
      <c r="A6695" t="s">
        <v>145</v>
      </c>
      <c r="B6695">
        <f>47061.7250108101*(1/100/100)</f>
        <v>4.70617250108101</v>
      </c>
      <c r="C6695">
        <v>72150</v>
      </c>
      <c r="D6695" t="s">
        <v>2389</v>
      </c>
      <c r="E6695">
        <v>20409</v>
      </c>
      <c r="F6695" t="s">
        <v>352</v>
      </c>
      <c r="G6695">
        <v>204</v>
      </c>
      <c r="H6695" t="s">
        <v>43</v>
      </c>
      <c r="I6695">
        <v>2</v>
      </c>
      <c r="J6695" t="s">
        <v>40</v>
      </c>
    </row>
    <row r="6696" spans="1:10" x14ac:dyDescent="0.25">
      <c r="A6696" t="s">
        <v>145</v>
      </c>
      <c r="B6696">
        <f>91069.029183317*(1/100/100)</f>
        <v>9.1069029183317003</v>
      </c>
      <c r="C6696">
        <v>72151</v>
      </c>
      <c r="D6696" t="s">
        <v>2396</v>
      </c>
      <c r="E6696">
        <v>20412</v>
      </c>
      <c r="F6696" t="s">
        <v>353</v>
      </c>
      <c r="G6696">
        <v>204</v>
      </c>
      <c r="H6696" t="s">
        <v>43</v>
      </c>
      <c r="I6696">
        <v>2</v>
      </c>
      <c r="J6696" t="s">
        <v>40</v>
      </c>
    </row>
    <row r="6697" spans="1:10" x14ac:dyDescent="0.25">
      <c r="A6697" t="s">
        <v>145</v>
      </c>
      <c r="B6697">
        <f>195524.442297172*(1/100/100)</f>
        <v>19.552444229717203</v>
      </c>
      <c r="C6697">
        <v>72152</v>
      </c>
      <c r="D6697" t="s">
        <v>2425</v>
      </c>
      <c r="E6697">
        <v>20424</v>
      </c>
      <c r="F6697" t="s">
        <v>360</v>
      </c>
      <c r="G6697">
        <v>204</v>
      </c>
      <c r="H6697" t="s">
        <v>43</v>
      </c>
      <c r="I6697">
        <v>2</v>
      </c>
      <c r="J6697" t="s">
        <v>40</v>
      </c>
    </row>
    <row r="6698" spans="1:10" x14ac:dyDescent="0.25">
      <c r="A6698" t="s">
        <v>145</v>
      </c>
      <c r="B6698">
        <f>9577.06661525717*(1/100/100)</f>
        <v>0.95770666152571704</v>
      </c>
      <c r="C6698">
        <v>72153</v>
      </c>
      <c r="D6698" t="s">
        <v>2449</v>
      </c>
      <c r="E6698">
        <v>20442</v>
      </c>
      <c r="F6698" t="s">
        <v>365</v>
      </c>
      <c r="G6698">
        <v>204</v>
      </c>
      <c r="H6698" t="s">
        <v>43</v>
      </c>
      <c r="I6698">
        <v>2</v>
      </c>
      <c r="J6698" t="s">
        <v>40</v>
      </c>
    </row>
    <row r="6699" spans="1:10" x14ac:dyDescent="0.25">
      <c r="A6699" t="s">
        <v>145</v>
      </c>
      <c r="B6699">
        <f>26346.0761880077*(1/100/100)</f>
        <v>2.6346076188007701</v>
      </c>
      <c r="C6699">
        <v>72154</v>
      </c>
      <c r="D6699" t="s">
        <v>2415</v>
      </c>
      <c r="E6699">
        <v>20418</v>
      </c>
      <c r="F6699" t="s">
        <v>357</v>
      </c>
      <c r="G6699">
        <v>204</v>
      </c>
      <c r="H6699" t="s">
        <v>43</v>
      </c>
      <c r="I6699">
        <v>2</v>
      </c>
      <c r="J6699" t="s">
        <v>40</v>
      </c>
    </row>
    <row r="6700" spans="1:10" x14ac:dyDescent="0.25">
      <c r="A6700" t="s">
        <v>145</v>
      </c>
      <c r="B6700">
        <f>19230.4340876167*(1/100/100)</f>
        <v>1.9230434087616701</v>
      </c>
      <c r="C6700">
        <v>72155</v>
      </c>
      <c r="D6700" t="s">
        <v>2405</v>
      </c>
      <c r="E6700">
        <v>20415</v>
      </c>
      <c r="F6700" t="s">
        <v>2402</v>
      </c>
      <c r="G6700">
        <v>204</v>
      </c>
      <c r="H6700" t="s">
        <v>43</v>
      </c>
      <c r="I6700">
        <v>2</v>
      </c>
      <c r="J6700" t="s">
        <v>40</v>
      </c>
    </row>
    <row r="6701" spans="1:10" x14ac:dyDescent="0.25">
      <c r="A6701" t="s">
        <v>145</v>
      </c>
      <c r="B6701">
        <f>148500.78161764*(1/100/100)</f>
        <v>14.850078161763999</v>
      </c>
      <c r="C6701">
        <v>72156</v>
      </c>
      <c r="D6701" t="s">
        <v>2429</v>
      </c>
      <c r="E6701">
        <v>20425</v>
      </c>
      <c r="F6701" t="s">
        <v>361</v>
      </c>
      <c r="G6701">
        <v>204</v>
      </c>
      <c r="H6701" t="s">
        <v>43</v>
      </c>
      <c r="I6701">
        <v>2</v>
      </c>
      <c r="J6701" t="s">
        <v>40</v>
      </c>
    </row>
    <row r="6702" spans="1:10" x14ac:dyDescent="0.25">
      <c r="A6702" t="s">
        <v>145</v>
      </c>
      <c r="B6702">
        <f>39848.2336619056*(1/100/100)</f>
        <v>3.9848233661905601</v>
      </c>
      <c r="C6702">
        <v>72157</v>
      </c>
      <c r="D6702" t="s">
        <v>2372</v>
      </c>
      <c r="E6702">
        <v>20402</v>
      </c>
      <c r="F6702" t="s">
        <v>349</v>
      </c>
      <c r="G6702">
        <v>204</v>
      </c>
      <c r="H6702" t="s">
        <v>43</v>
      </c>
      <c r="I6702">
        <v>2</v>
      </c>
      <c r="J6702" t="s">
        <v>40</v>
      </c>
    </row>
    <row r="6703" spans="1:10" x14ac:dyDescent="0.25">
      <c r="A6703" t="s">
        <v>145</v>
      </c>
      <c r="B6703">
        <f>171911.375475544*(1/100/100)</f>
        <v>17.191137547554401</v>
      </c>
      <c r="C6703">
        <v>72158</v>
      </c>
      <c r="D6703" t="s">
        <v>2417</v>
      </c>
      <c r="E6703">
        <v>20419</v>
      </c>
      <c r="F6703" t="s">
        <v>358</v>
      </c>
      <c r="G6703">
        <v>204</v>
      </c>
      <c r="H6703" t="s">
        <v>43</v>
      </c>
      <c r="I6703">
        <v>2</v>
      </c>
      <c r="J6703" t="s">
        <v>40</v>
      </c>
    </row>
    <row r="6704" spans="1:10" x14ac:dyDescent="0.25">
      <c r="A6704" t="s">
        <v>145</v>
      </c>
      <c r="B6704">
        <f>6178.53759176279*(1/100/100)</f>
        <v>0.61785375917627905</v>
      </c>
      <c r="C6704">
        <v>72159</v>
      </c>
      <c r="D6704" t="s">
        <v>2450</v>
      </c>
      <c r="E6704">
        <v>20442</v>
      </c>
      <c r="F6704" t="s">
        <v>365</v>
      </c>
      <c r="G6704">
        <v>204</v>
      </c>
      <c r="H6704" t="s">
        <v>43</v>
      </c>
      <c r="I6704">
        <v>2</v>
      </c>
      <c r="J6704" t="s">
        <v>40</v>
      </c>
    </row>
    <row r="6705" spans="1:10" x14ac:dyDescent="0.25">
      <c r="A6705" t="s">
        <v>145</v>
      </c>
      <c r="B6705">
        <f>62647.038743943*(1/100/100)</f>
        <v>6.2647038743943</v>
      </c>
      <c r="C6705">
        <v>72160</v>
      </c>
      <c r="D6705" t="s">
        <v>2390</v>
      </c>
      <c r="E6705">
        <v>20409</v>
      </c>
      <c r="F6705" t="s">
        <v>352</v>
      </c>
      <c r="G6705">
        <v>204</v>
      </c>
      <c r="H6705" t="s">
        <v>43</v>
      </c>
      <c r="I6705">
        <v>2</v>
      </c>
      <c r="J6705" t="s">
        <v>40</v>
      </c>
    </row>
    <row r="6706" spans="1:10" x14ac:dyDescent="0.25">
      <c r="A6706" t="s">
        <v>145</v>
      </c>
      <c r="B6706">
        <f>71921.1738296337*(1/100/100)</f>
        <v>7.19211738296337</v>
      </c>
      <c r="C6706">
        <v>72161</v>
      </c>
      <c r="D6706" t="s">
        <v>2399</v>
      </c>
      <c r="E6706">
        <v>20414</v>
      </c>
      <c r="F6706" t="s">
        <v>354</v>
      </c>
      <c r="G6706">
        <v>204</v>
      </c>
      <c r="H6706" t="s">
        <v>43</v>
      </c>
      <c r="I6706">
        <v>2</v>
      </c>
      <c r="J6706" t="s">
        <v>40</v>
      </c>
    </row>
    <row r="6707" spans="1:10" x14ac:dyDescent="0.25">
      <c r="A6707" t="s">
        <v>145</v>
      </c>
      <c r="B6707">
        <f>40333.7807200453*(1/100/100)</f>
        <v>4.0333780720045302</v>
      </c>
      <c r="C6707">
        <v>72162</v>
      </c>
      <c r="D6707" t="s">
        <v>2373</v>
      </c>
      <c r="E6707">
        <v>20402</v>
      </c>
      <c r="F6707" t="s">
        <v>349</v>
      </c>
      <c r="G6707">
        <v>204</v>
      </c>
      <c r="H6707" t="s">
        <v>43</v>
      </c>
      <c r="I6707">
        <v>2</v>
      </c>
      <c r="J6707" t="s">
        <v>40</v>
      </c>
    </row>
    <row r="6708" spans="1:10" x14ac:dyDescent="0.25">
      <c r="A6708" t="s">
        <v>145</v>
      </c>
      <c r="B6708">
        <f>17087.9629935979*(1/100/100)</f>
        <v>1.70879629935979</v>
      </c>
      <c r="C6708">
        <v>72163</v>
      </c>
      <c r="D6708" t="s">
        <v>2391</v>
      </c>
      <c r="E6708">
        <v>20409</v>
      </c>
      <c r="F6708" t="s">
        <v>352</v>
      </c>
      <c r="G6708">
        <v>204</v>
      </c>
      <c r="H6708" t="s">
        <v>43</v>
      </c>
      <c r="I6708">
        <v>2</v>
      </c>
      <c r="J6708" t="s">
        <v>40</v>
      </c>
    </row>
    <row r="6709" spans="1:10" x14ac:dyDescent="0.25">
      <c r="A6709" t="s">
        <v>145</v>
      </c>
      <c r="B6709">
        <f>120997.610747483*(1/100/100)</f>
        <v>12.099761074748301</v>
      </c>
      <c r="C6709">
        <v>72164</v>
      </c>
      <c r="D6709" t="s">
        <v>2426</v>
      </c>
      <c r="E6709">
        <v>20424</v>
      </c>
      <c r="F6709" t="s">
        <v>360</v>
      </c>
      <c r="G6709">
        <v>204</v>
      </c>
      <c r="H6709" t="s">
        <v>43</v>
      </c>
      <c r="I6709">
        <v>2</v>
      </c>
      <c r="J6709" t="s">
        <v>40</v>
      </c>
    </row>
    <row r="6710" spans="1:10" x14ac:dyDescent="0.25">
      <c r="A6710" t="s">
        <v>145</v>
      </c>
      <c r="B6710">
        <f>46371.8718189116*(1/100/100)</f>
        <v>4.6371871818911599</v>
      </c>
      <c r="C6710">
        <v>72165</v>
      </c>
      <c r="D6710" t="s">
        <v>2438</v>
      </c>
      <c r="E6710">
        <v>20435</v>
      </c>
      <c r="F6710" t="s">
        <v>363</v>
      </c>
      <c r="G6710">
        <v>204</v>
      </c>
      <c r="H6710" t="s">
        <v>43</v>
      </c>
      <c r="I6710">
        <v>2</v>
      </c>
      <c r="J6710" t="s">
        <v>40</v>
      </c>
    </row>
    <row r="6711" spans="1:10" x14ac:dyDescent="0.25">
      <c r="A6711" t="s">
        <v>145</v>
      </c>
      <c r="B6711">
        <f>56482.3141232137*(1/100/100)</f>
        <v>5.6482314123213699</v>
      </c>
      <c r="C6711">
        <v>72166</v>
      </c>
      <c r="D6711" t="s">
        <v>2435</v>
      </c>
      <c r="E6711">
        <v>20432</v>
      </c>
      <c r="F6711" t="s">
        <v>362</v>
      </c>
      <c r="G6711">
        <v>204</v>
      </c>
      <c r="H6711" t="s">
        <v>43</v>
      </c>
      <c r="I6711">
        <v>2</v>
      </c>
      <c r="J6711" t="s">
        <v>40</v>
      </c>
    </row>
    <row r="6712" spans="1:10" x14ac:dyDescent="0.25">
      <c r="A6712" t="s">
        <v>145</v>
      </c>
      <c r="B6712">
        <f>97354.9109930678*(1/100/100)</f>
        <v>9.7354910993067794</v>
      </c>
      <c r="C6712">
        <v>72167</v>
      </c>
      <c r="D6712" t="s">
        <v>2439</v>
      </c>
      <c r="E6712">
        <v>20435</v>
      </c>
      <c r="F6712" t="s">
        <v>363</v>
      </c>
      <c r="G6712">
        <v>204</v>
      </c>
      <c r="H6712" t="s">
        <v>43</v>
      </c>
      <c r="I6712">
        <v>2</v>
      </c>
      <c r="J6712" t="s">
        <v>40</v>
      </c>
    </row>
    <row r="6713" spans="1:10" x14ac:dyDescent="0.25">
      <c r="A6713" t="s">
        <v>145</v>
      </c>
      <c r="B6713">
        <f>231729.6135776*(1/100/100)</f>
        <v>23.172961357759998</v>
      </c>
      <c r="C6713">
        <v>72168</v>
      </c>
      <c r="D6713" t="s">
        <v>2311</v>
      </c>
      <c r="E6713">
        <v>20101</v>
      </c>
      <c r="F6713" t="s">
        <v>341</v>
      </c>
      <c r="G6713">
        <v>201</v>
      </c>
      <c r="H6713" t="s">
        <v>39</v>
      </c>
      <c r="I6713">
        <v>2</v>
      </c>
      <c r="J6713" t="s">
        <v>40</v>
      </c>
    </row>
    <row r="6714" spans="1:10" x14ac:dyDescent="0.25">
      <c r="A6714" t="s">
        <v>145</v>
      </c>
      <c r="B6714">
        <f>28058.1931458101*(1/100/100)</f>
        <v>2.8058193145810102</v>
      </c>
      <c r="C6714">
        <v>72169</v>
      </c>
      <c r="D6714" t="s">
        <v>2416</v>
      </c>
      <c r="E6714">
        <v>20418</v>
      </c>
      <c r="F6714" t="s">
        <v>357</v>
      </c>
      <c r="G6714">
        <v>204</v>
      </c>
      <c r="H6714" t="s">
        <v>43</v>
      </c>
      <c r="I6714">
        <v>2</v>
      </c>
      <c r="J6714" t="s">
        <v>40</v>
      </c>
    </row>
    <row r="6715" spans="1:10" x14ac:dyDescent="0.25">
      <c r="A6715" t="s">
        <v>145</v>
      </c>
      <c r="B6715">
        <f>85225.625139074*(1/100/100)</f>
        <v>8.5225625139074008</v>
      </c>
      <c r="C6715">
        <v>72170</v>
      </c>
      <c r="D6715" t="s">
        <v>2397</v>
      </c>
      <c r="E6715">
        <v>20412</v>
      </c>
      <c r="F6715" t="s">
        <v>353</v>
      </c>
      <c r="G6715">
        <v>204</v>
      </c>
      <c r="H6715" t="s">
        <v>43</v>
      </c>
      <c r="I6715">
        <v>2</v>
      </c>
      <c r="J6715" t="s">
        <v>40</v>
      </c>
    </row>
    <row r="6716" spans="1:10" x14ac:dyDescent="0.25">
      <c r="A6716" t="s">
        <v>145</v>
      </c>
      <c r="B6716">
        <f>8848.95342828995*(1/100/100)</f>
        <v>0.88489534282899496</v>
      </c>
      <c r="C6716">
        <v>72171</v>
      </c>
      <c r="D6716" t="s">
        <v>2312</v>
      </c>
      <c r="E6716">
        <v>20101</v>
      </c>
      <c r="F6716" t="s">
        <v>341</v>
      </c>
      <c r="G6716">
        <v>201</v>
      </c>
      <c r="H6716" t="s">
        <v>39</v>
      </c>
      <c r="I6716">
        <v>2</v>
      </c>
      <c r="J6716" t="s">
        <v>40</v>
      </c>
    </row>
    <row r="6717" spans="1:10" x14ac:dyDescent="0.25">
      <c r="A6717" t="s">
        <v>145</v>
      </c>
      <c r="B6717">
        <f>334264.37020033*(1/100/100)</f>
        <v>33.426437020032999</v>
      </c>
      <c r="C6717">
        <v>72172</v>
      </c>
      <c r="D6717" t="s">
        <v>2313</v>
      </c>
      <c r="E6717">
        <v>20101</v>
      </c>
      <c r="F6717" t="s">
        <v>341</v>
      </c>
      <c r="G6717">
        <v>201</v>
      </c>
      <c r="H6717" t="s">
        <v>39</v>
      </c>
      <c r="I6717">
        <v>2</v>
      </c>
      <c r="J6717" t="s">
        <v>40</v>
      </c>
    </row>
    <row r="6718" spans="1:10" x14ac:dyDescent="0.25">
      <c r="A6718" t="s">
        <v>145</v>
      </c>
      <c r="B6718">
        <f>56247.3583598671*(1/100/100)</f>
        <v>5.6247358359867103</v>
      </c>
      <c r="C6718">
        <v>72173</v>
      </c>
      <c r="D6718" t="s">
        <v>2421</v>
      </c>
      <c r="E6718">
        <v>20421</v>
      </c>
      <c r="F6718" t="s">
        <v>359</v>
      </c>
      <c r="G6718">
        <v>204</v>
      </c>
      <c r="H6718" t="s">
        <v>43</v>
      </c>
      <c r="I6718">
        <v>2</v>
      </c>
      <c r="J6718" t="s">
        <v>40</v>
      </c>
    </row>
    <row r="6719" spans="1:10" x14ac:dyDescent="0.25">
      <c r="A6719" t="s">
        <v>145</v>
      </c>
      <c r="B6719">
        <f>5621.60036084742*(1/100/100)</f>
        <v>0.56216003608474208</v>
      </c>
      <c r="C6719">
        <v>72174</v>
      </c>
      <c r="D6719" t="s">
        <v>2314</v>
      </c>
      <c r="E6719">
        <v>20101</v>
      </c>
      <c r="F6719" t="s">
        <v>341</v>
      </c>
      <c r="G6719">
        <v>201</v>
      </c>
      <c r="H6719" t="s">
        <v>39</v>
      </c>
      <c r="I6719">
        <v>2</v>
      </c>
      <c r="J6719" t="s">
        <v>40</v>
      </c>
    </row>
    <row r="6720" spans="1:10" x14ac:dyDescent="0.25">
      <c r="A6720" t="s">
        <v>145</v>
      </c>
      <c r="B6720">
        <f>943829.197294029*(1/100/100)</f>
        <v>94.382919729402914</v>
      </c>
      <c r="C6720">
        <v>72175</v>
      </c>
      <c r="D6720" t="s">
        <v>2315</v>
      </c>
      <c r="E6720">
        <v>20101</v>
      </c>
      <c r="F6720" t="s">
        <v>341</v>
      </c>
      <c r="G6720">
        <v>201</v>
      </c>
      <c r="H6720" t="s">
        <v>39</v>
      </c>
      <c r="I6720">
        <v>2</v>
      </c>
      <c r="J6720" t="s">
        <v>40</v>
      </c>
    </row>
    <row r="6721" spans="1:10" x14ac:dyDescent="0.25">
      <c r="A6721" t="s">
        <v>145</v>
      </c>
      <c r="B6721">
        <f>61108.2424794307*(1/100/100)</f>
        <v>6.1108242479430706</v>
      </c>
      <c r="C6721">
        <v>72176</v>
      </c>
      <c r="D6721" t="s">
        <v>2451</v>
      </c>
      <c r="E6721">
        <v>20442</v>
      </c>
      <c r="F6721" t="s">
        <v>365</v>
      </c>
      <c r="G6721">
        <v>204</v>
      </c>
      <c r="H6721" t="s">
        <v>43</v>
      </c>
      <c r="I6721">
        <v>2</v>
      </c>
      <c r="J6721" t="s">
        <v>40</v>
      </c>
    </row>
    <row r="6722" spans="1:10" x14ac:dyDescent="0.25">
      <c r="A6722" t="s">
        <v>145</v>
      </c>
      <c r="B6722">
        <f>109863.958768307*(1/100/100)</f>
        <v>10.9863958768307</v>
      </c>
      <c r="C6722">
        <v>72177</v>
      </c>
      <c r="D6722" t="s">
        <v>2436</v>
      </c>
      <c r="E6722">
        <v>20432</v>
      </c>
      <c r="F6722" t="s">
        <v>362</v>
      </c>
      <c r="G6722">
        <v>204</v>
      </c>
      <c r="H6722" t="s">
        <v>43</v>
      </c>
      <c r="I6722">
        <v>2</v>
      </c>
      <c r="J6722" t="s">
        <v>40</v>
      </c>
    </row>
    <row r="6723" spans="1:10" x14ac:dyDescent="0.25">
      <c r="A6723" t="s">
        <v>145</v>
      </c>
      <c r="B6723">
        <f>6320.52522601543*(1/100/100)</f>
        <v>0.6320525226015431</v>
      </c>
      <c r="C6723">
        <v>72178</v>
      </c>
      <c r="D6723" t="s">
        <v>2452</v>
      </c>
      <c r="E6723">
        <v>20442</v>
      </c>
      <c r="F6723" t="s">
        <v>365</v>
      </c>
      <c r="G6723">
        <v>204</v>
      </c>
      <c r="H6723" t="s">
        <v>43</v>
      </c>
      <c r="I6723">
        <v>2</v>
      </c>
      <c r="J6723" t="s">
        <v>40</v>
      </c>
    </row>
    <row r="6724" spans="1:10" x14ac:dyDescent="0.25">
      <c r="A6724" t="s">
        <v>145</v>
      </c>
      <c r="B6724">
        <f>42972.0275896839*(1/100/100)</f>
        <v>4.2972027589683899</v>
      </c>
      <c r="C6724">
        <v>72179</v>
      </c>
      <c r="D6724" t="s">
        <v>2422</v>
      </c>
      <c r="E6724">
        <v>20421</v>
      </c>
      <c r="F6724" t="s">
        <v>359</v>
      </c>
      <c r="G6724">
        <v>204</v>
      </c>
      <c r="H6724" t="s">
        <v>43</v>
      </c>
      <c r="I6724">
        <v>2</v>
      </c>
      <c r="J6724" t="s">
        <v>40</v>
      </c>
    </row>
    <row r="6725" spans="1:10" x14ac:dyDescent="0.25">
      <c r="A6725" t="s">
        <v>145</v>
      </c>
      <c r="B6725">
        <f>34385.1584518197*(1/100/100)</f>
        <v>3.43851584518197</v>
      </c>
      <c r="C6725">
        <v>72180</v>
      </c>
      <c r="D6725" t="s">
        <v>2408</v>
      </c>
      <c r="E6725">
        <v>20416</v>
      </c>
      <c r="F6725" t="s">
        <v>355</v>
      </c>
      <c r="G6725">
        <v>204</v>
      </c>
      <c r="H6725" t="s">
        <v>43</v>
      </c>
      <c r="I6725">
        <v>2</v>
      </c>
      <c r="J6725" t="s">
        <v>40</v>
      </c>
    </row>
    <row r="6726" spans="1:10" x14ac:dyDescent="0.25">
      <c r="A6726" t="s">
        <v>145</v>
      </c>
      <c r="B6726">
        <f>176590.269188293*(1/100/100)</f>
        <v>17.659026918829301</v>
      </c>
      <c r="C6726">
        <v>72181</v>
      </c>
      <c r="D6726" t="s">
        <v>2316</v>
      </c>
      <c r="E6726">
        <v>20101</v>
      </c>
      <c r="F6726" t="s">
        <v>341</v>
      </c>
      <c r="G6726">
        <v>201</v>
      </c>
      <c r="H6726" t="s">
        <v>39</v>
      </c>
      <c r="I6726">
        <v>2</v>
      </c>
      <c r="J6726" t="s">
        <v>40</v>
      </c>
    </row>
    <row r="6727" spans="1:10" x14ac:dyDescent="0.25">
      <c r="A6727" t="s">
        <v>145</v>
      </c>
      <c r="B6727">
        <f>119239.32440593*(1/100/100)</f>
        <v>11.923932440593001</v>
      </c>
      <c r="C6727">
        <v>72182</v>
      </c>
      <c r="D6727" t="s">
        <v>2437</v>
      </c>
      <c r="E6727">
        <v>20432</v>
      </c>
      <c r="F6727" t="s">
        <v>362</v>
      </c>
      <c r="G6727">
        <v>204</v>
      </c>
      <c r="H6727" t="s">
        <v>43</v>
      </c>
      <c r="I6727">
        <v>2</v>
      </c>
      <c r="J6727" t="s">
        <v>40</v>
      </c>
    </row>
    <row r="6728" spans="1:10" x14ac:dyDescent="0.25">
      <c r="A6728" t="s">
        <v>145</v>
      </c>
      <c r="B6728">
        <f>21576.6348615082*(1/100/100)</f>
        <v>2.1576634861508199</v>
      </c>
      <c r="C6728">
        <v>72183</v>
      </c>
      <c r="D6728" t="s">
        <v>2317</v>
      </c>
      <c r="E6728">
        <v>20101</v>
      </c>
      <c r="F6728" t="s">
        <v>341</v>
      </c>
      <c r="G6728">
        <v>201</v>
      </c>
      <c r="H6728" t="s">
        <v>39</v>
      </c>
      <c r="I6728">
        <v>2</v>
      </c>
      <c r="J6728" t="s">
        <v>40</v>
      </c>
    </row>
    <row r="6729" spans="1:10" x14ac:dyDescent="0.25">
      <c r="A6729" t="s">
        <v>145</v>
      </c>
      <c r="B6729">
        <f>66771.9427085646*(1/100/100)</f>
        <v>6.6771942708564609</v>
      </c>
      <c r="C6729">
        <v>72184</v>
      </c>
      <c r="D6729" t="s">
        <v>2392</v>
      </c>
      <c r="E6729">
        <v>20409</v>
      </c>
      <c r="F6729" t="s">
        <v>352</v>
      </c>
      <c r="G6729">
        <v>204</v>
      </c>
      <c r="H6729" t="s">
        <v>43</v>
      </c>
      <c r="I6729">
        <v>2</v>
      </c>
      <c r="J6729" t="s">
        <v>40</v>
      </c>
    </row>
    <row r="6730" spans="1:10" x14ac:dyDescent="0.25">
      <c r="A6730" t="s">
        <v>145</v>
      </c>
      <c r="B6730">
        <f>76847.4344080837*(1/100/100)</f>
        <v>7.6847434408083704</v>
      </c>
      <c r="C6730">
        <v>72185</v>
      </c>
      <c r="D6730" t="s">
        <v>2440</v>
      </c>
      <c r="E6730">
        <v>20435</v>
      </c>
      <c r="F6730" t="s">
        <v>363</v>
      </c>
      <c r="G6730">
        <v>204</v>
      </c>
      <c r="H6730" t="s">
        <v>43</v>
      </c>
      <c r="I6730">
        <v>2</v>
      </c>
      <c r="J6730" t="s">
        <v>40</v>
      </c>
    </row>
    <row r="6731" spans="1:10" x14ac:dyDescent="0.25">
      <c r="A6731" t="s">
        <v>145</v>
      </c>
      <c r="B6731">
        <f>96786.6177104893*(1/100/100)</f>
        <v>9.6786617710489296</v>
      </c>
      <c r="C6731">
        <v>72186</v>
      </c>
      <c r="D6731" t="s">
        <v>2423</v>
      </c>
      <c r="E6731">
        <v>20421</v>
      </c>
      <c r="F6731" t="s">
        <v>359</v>
      </c>
      <c r="G6731">
        <v>204</v>
      </c>
      <c r="H6731" t="s">
        <v>43</v>
      </c>
      <c r="I6731">
        <v>2</v>
      </c>
      <c r="J6731" t="s">
        <v>40</v>
      </c>
    </row>
    <row r="6732" spans="1:10" x14ac:dyDescent="0.25">
      <c r="A6732" t="s">
        <v>145</v>
      </c>
      <c r="B6732">
        <f>26152.5355998372*(1/100/100)</f>
        <v>2.6152535599837199</v>
      </c>
      <c r="C6732">
        <v>72187</v>
      </c>
      <c r="D6732" t="s">
        <v>2453</v>
      </c>
      <c r="E6732">
        <v>20442</v>
      </c>
      <c r="F6732" t="s">
        <v>365</v>
      </c>
      <c r="G6732">
        <v>204</v>
      </c>
      <c r="H6732" t="s">
        <v>43</v>
      </c>
      <c r="I6732">
        <v>2</v>
      </c>
      <c r="J6732" t="s">
        <v>40</v>
      </c>
    </row>
    <row r="6733" spans="1:10" x14ac:dyDescent="0.25">
      <c r="A6733" t="s">
        <v>145</v>
      </c>
      <c r="B6733">
        <f>60435.0297885362*(1/100/100)</f>
        <v>6.0435029788536205</v>
      </c>
      <c r="C6733">
        <v>72188</v>
      </c>
      <c r="D6733" t="s">
        <v>2411</v>
      </c>
      <c r="E6733">
        <v>20417</v>
      </c>
      <c r="F6733" t="s">
        <v>356</v>
      </c>
      <c r="G6733">
        <v>204</v>
      </c>
      <c r="H6733" t="s">
        <v>43</v>
      </c>
      <c r="I6733">
        <v>2</v>
      </c>
      <c r="J6733" t="s">
        <v>40</v>
      </c>
    </row>
    <row r="6734" spans="1:10" x14ac:dyDescent="0.25">
      <c r="A6734" t="s">
        <v>145</v>
      </c>
      <c r="B6734">
        <f>40282.5837522743*(1/100/100)</f>
        <v>4.0282583752274306</v>
      </c>
      <c r="C6734">
        <v>72189</v>
      </c>
      <c r="D6734" t="s">
        <v>2441</v>
      </c>
      <c r="E6734">
        <v>20435</v>
      </c>
      <c r="F6734" t="s">
        <v>363</v>
      </c>
      <c r="G6734">
        <v>204</v>
      </c>
      <c r="H6734" t="s">
        <v>43</v>
      </c>
      <c r="I6734">
        <v>2</v>
      </c>
      <c r="J6734" t="s">
        <v>40</v>
      </c>
    </row>
    <row r="6735" spans="1:10" x14ac:dyDescent="0.25">
      <c r="A6735" t="s">
        <v>145</v>
      </c>
      <c r="B6735">
        <f>64152.8311318002*(1/100/100)</f>
        <v>6.4152831131800205</v>
      </c>
      <c r="C6735">
        <v>72190</v>
      </c>
      <c r="D6735" t="s">
        <v>2393</v>
      </c>
      <c r="E6735">
        <v>20409</v>
      </c>
      <c r="F6735" t="s">
        <v>352</v>
      </c>
      <c r="G6735">
        <v>204</v>
      </c>
      <c r="H6735" t="s">
        <v>43</v>
      </c>
      <c r="I6735">
        <v>2</v>
      </c>
      <c r="J6735" t="s">
        <v>40</v>
      </c>
    </row>
    <row r="6736" spans="1:10" x14ac:dyDescent="0.25">
      <c r="A6736" t="s">
        <v>145</v>
      </c>
      <c r="B6736">
        <f>116799.893542797*(1/100/100)</f>
        <v>11.6799893542797</v>
      </c>
      <c r="C6736">
        <v>72191</v>
      </c>
      <c r="D6736" t="s">
        <v>2412</v>
      </c>
      <c r="E6736">
        <v>20417</v>
      </c>
      <c r="F6736" t="s">
        <v>356</v>
      </c>
      <c r="G6736">
        <v>204</v>
      </c>
      <c r="H6736" t="s">
        <v>43</v>
      </c>
      <c r="I6736">
        <v>2</v>
      </c>
      <c r="J6736" t="s">
        <v>40</v>
      </c>
    </row>
    <row r="6737" spans="1:10" x14ac:dyDescent="0.25">
      <c r="A6737" t="s">
        <v>145</v>
      </c>
      <c r="B6737">
        <f>56277.8495675203*(1/100/100)</f>
        <v>5.6277849567520306</v>
      </c>
      <c r="C6737">
        <v>72192</v>
      </c>
      <c r="D6737" t="s">
        <v>2424</v>
      </c>
      <c r="E6737">
        <v>20421</v>
      </c>
      <c r="F6737" t="s">
        <v>359</v>
      </c>
      <c r="G6737">
        <v>204</v>
      </c>
      <c r="H6737" t="s">
        <v>43</v>
      </c>
      <c r="I6737">
        <v>2</v>
      </c>
      <c r="J6737" t="s">
        <v>40</v>
      </c>
    </row>
    <row r="6738" spans="1:10" x14ac:dyDescent="0.25">
      <c r="A6738" t="s">
        <v>145</v>
      </c>
      <c r="B6738">
        <f>32858.0869514225*(1/100/100)</f>
        <v>3.2858086951422498</v>
      </c>
      <c r="C6738">
        <v>72193</v>
      </c>
      <c r="D6738" t="s">
        <v>2346</v>
      </c>
      <c r="E6738">
        <v>20442</v>
      </c>
      <c r="F6738" t="s">
        <v>365</v>
      </c>
      <c r="G6738">
        <v>204</v>
      </c>
      <c r="H6738" t="s">
        <v>43</v>
      </c>
      <c r="I6738">
        <v>2</v>
      </c>
      <c r="J6738" t="s">
        <v>40</v>
      </c>
    </row>
    <row r="6739" spans="1:10" x14ac:dyDescent="0.25">
      <c r="A6739" t="s">
        <v>145</v>
      </c>
      <c r="B6739">
        <f>111554.014762152*(1/100/100)</f>
        <v>11.1554014762152</v>
      </c>
      <c r="C6739">
        <v>72194</v>
      </c>
      <c r="D6739" t="s">
        <v>2318</v>
      </c>
      <c r="E6739">
        <v>20101</v>
      </c>
      <c r="F6739" t="s">
        <v>341</v>
      </c>
      <c r="G6739">
        <v>201</v>
      </c>
      <c r="H6739" t="s">
        <v>39</v>
      </c>
      <c r="I6739">
        <v>2</v>
      </c>
      <c r="J6739" t="s">
        <v>40</v>
      </c>
    </row>
    <row r="6740" spans="1:10" x14ac:dyDescent="0.25">
      <c r="A6740" t="s">
        <v>145</v>
      </c>
      <c r="B6740">
        <f>598715.304505566*(1/100/100)</f>
        <v>59.871530450556605</v>
      </c>
      <c r="C6740">
        <v>72195</v>
      </c>
      <c r="D6740" t="s">
        <v>2319</v>
      </c>
      <c r="E6740">
        <v>20101</v>
      </c>
      <c r="F6740" t="s">
        <v>341</v>
      </c>
      <c r="G6740">
        <v>201</v>
      </c>
      <c r="H6740" t="s">
        <v>39</v>
      </c>
      <c r="I6740">
        <v>2</v>
      </c>
      <c r="J6740" t="s">
        <v>40</v>
      </c>
    </row>
    <row r="6741" spans="1:10" x14ac:dyDescent="0.25">
      <c r="A6741" t="s">
        <v>145</v>
      </c>
      <c r="B6741">
        <f>113517.429214895*(1/100/100)</f>
        <v>11.351742921489501</v>
      </c>
      <c r="C6741">
        <v>72196</v>
      </c>
      <c r="D6741" t="s">
        <v>2320</v>
      </c>
      <c r="E6741">
        <v>20101</v>
      </c>
      <c r="F6741" t="s">
        <v>341</v>
      </c>
      <c r="G6741">
        <v>201</v>
      </c>
      <c r="H6741" t="s">
        <v>39</v>
      </c>
      <c r="I6741">
        <v>2</v>
      </c>
      <c r="J6741" t="s">
        <v>40</v>
      </c>
    </row>
    <row r="6742" spans="1:10" x14ac:dyDescent="0.25">
      <c r="A6742" t="s">
        <v>145</v>
      </c>
      <c r="B6742">
        <f>37314.2943519896*(1/100/100)</f>
        <v>3.7314294351989603</v>
      </c>
      <c r="C6742">
        <v>72197</v>
      </c>
      <c r="D6742" t="s">
        <v>2409</v>
      </c>
      <c r="E6742">
        <v>20416</v>
      </c>
      <c r="F6742" t="s">
        <v>355</v>
      </c>
      <c r="G6742">
        <v>204</v>
      </c>
      <c r="H6742" t="s">
        <v>43</v>
      </c>
      <c r="I6742">
        <v>2</v>
      </c>
      <c r="J6742" t="s">
        <v>40</v>
      </c>
    </row>
    <row r="6743" spans="1:10" x14ac:dyDescent="0.25">
      <c r="A6743" t="s">
        <v>145</v>
      </c>
      <c r="B6743">
        <f>629843.394823979*(1/100/100)</f>
        <v>62.984339482397907</v>
      </c>
      <c r="C6743">
        <v>72198</v>
      </c>
      <c r="D6743" t="s">
        <v>2321</v>
      </c>
      <c r="E6743">
        <v>20101</v>
      </c>
      <c r="F6743" t="s">
        <v>341</v>
      </c>
      <c r="G6743">
        <v>201</v>
      </c>
      <c r="H6743" t="s">
        <v>39</v>
      </c>
      <c r="I6743">
        <v>2</v>
      </c>
      <c r="J6743" t="s">
        <v>40</v>
      </c>
    </row>
    <row r="6744" spans="1:10" x14ac:dyDescent="0.25">
      <c r="A6744" t="s">
        <v>145</v>
      </c>
      <c r="B6744">
        <f>97233.0176258842*(1/100/100)</f>
        <v>9.7233017625884202</v>
      </c>
      <c r="C6744">
        <v>72199</v>
      </c>
      <c r="D6744" t="s">
        <v>2430</v>
      </c>
      <c r="E6744">
        <v>20425</v>
      </c>
      <c r="F6744" t="s">
        <v>361</v>
      </c>
      <c r="G6744">
        <v>204</v>
      </c>
      <c r="H6744" t="s">
        <v>43</v>
      </c>
      <c r="I6744">
        <v>2</v>
      </c>
      <c r="J6744" t="s">
        <v>40</v>
      </c>
    </row>
    <row r="6745" spans="1:10" x14ac:dyDescent="0.25">
      <c r="A6745" t="s">
        <v>145</v>
      </c>
      <c r="B6745">
        <f>46713.1691428984*(1/100/100)</f>
        <v>4.6713169142898403</v>
      </c>
      <c r="C6745">
        <v>72200</v>
      </c>
      <c r="D6745" t="s">
        <v>2394</v>
      </c>
      <c r="E6745">
        <v>20409</v>
      </c>
      <c r="F6745" t="s">
        <v>352</v>
      </c>
      <c r="G6745">
        <v>204</v>
      </c>
      <c r="H6745" t="s">
        <v>43</v>
      </c>
      <c r="I6745">
        <v>2</v>
      </c>
      <c r="J6745" t="s">
        <v>40</v>
      </c>
    </row>
    <row r="6746" spans="1:10" x14ac:dyDescent="0.25">
      <c r="A6746" t="s">
        <v>145</v>
      </c>
      <c r="B6746">
        <f>52200.8951657051*(1/100/100)</f>
        <v>5.2200895165705106</v>
      </c>
      <c r="C6746">
        <v>72201</v>
      </c>
      <c r="D6746" t="s">
        <v>2400</v>
      </c>
      <c r="E6746">
        <v>20414</v>
      </c>
      <c r="F6746" t="s">
        <v>354</v>
      </c>
      <c r="G6746">
        <v>204</v>
      </c>
      <c r="H6746" t="s">
        <v>43</v>
      </c>
      <c r="I6746">
        <v>2</v>
      </c>
      <c r="J6746" t="s">
        <v>40</v>
      </c>
    </row>
    <row r="6747" spans="1:10" x14ac:dyDescent="0.25">
      <c r="A6747" t="s">
        <v>145</v>
      </c>
      <c r="B6747">
        <f>50660.0900575866*(1/100/100)</f>
        <v>5.0660090057586604</v>
      </c>
      <c r="C6747">
        <v>72202</v>
      </c>
      <c r="D6747" t="s">
        <v>2454</v>
      </c>
      <c r="E6747">
        <v>20442</v>
      </c>
      <c r="F6747" t="s">
        <v>365</v>
      </c>
      <c r="G6747">
        <v>204</v>
      </c>
      <c r="H6747" t="s">
        <v>43</v>
      </c>
      <c r="I6747">
        <v>2</v>
      </c>
      <c r="J6747" t="s">
        <v>40</v>
      </c>
    </row>
    <row r="6748" spans="1:10" x14ac:dyDescent="0.25">
      <c r="A6748" t="s">
        <v>145</v>
      </c>
      <c r="B6748">
        <f>8873.4977078856*(1/100/100)</f>
        <v>0.88734977078856014</v>
      </c>
      <c r="C6748">
        <v>72203</v>
      </c>
      <c r="D6748" t="s">
        <v>2455</v>
      </c>
      <c r="E6748">
        <v>20442</v>
      </c>
      <c r="F6748" t="s">
        <v>365</v>
      </c>
      <c r="G6748">
        <v>204</v>
      </c>
      <c r="H6748" t="s">
        <v>43</v>
      </c>
      <c r="I6748">
        <v>2</v>
      </c>
      <c r="J6748" t="s">
        <v>40</v>
      </c>
    </row>
    <row r="6749" spans="1:10" x14ac:dyDescent="0.25">
      <c r="A6749" t="s">
        <v>145</v>
      </c>
      <c r="B6749">
        <f>204291.142979368*(1/100/100)</f>
        <v>20.429114297936803</v>
      </c>
      <c r="C6749">
        <v>72204</v>
      </c>
      <c r="D6749" t="s">
        <v>2374</v>
      </c>
      <c r="E6749">
        <v>20402</v>
      </c>
      <c r="F6749" t="s">
        <v>349</v>
      </c>
      <c r="G6749">
        <v>204</v>
      </c>
      <c r="H6749" t="s">
        <v>43</v>
      </c>
      <c r="I6749">
        <v>2</v>
      </c>
      <c r="J6749" t="s">
        <v>40</v>
      </c>
    </row>
    <row r="6750" spans="1:10" x14ac:dyDescent="0.25">
      <c r="A6750" t="s">
        <v>145</v>
      </c>
      <c r="B6750">
        <f>37256.7988852357*(1/100/100)</f>
        <v>3.7256798885235702</v>
      </c>
      <c r="C6750">
        <v>72205</v>
      </c>
      <c r="D6750" t="s">
        <v>2456</v>
      </c>
      <c r="E6750">
        <v>20442</v>
      </c>
      <c r="F6750" t="s">
        <v>365</v>
      </c>
      <c r="G6750">
        <v>204</v>
      </c>
      <c r="H6750" t="s">
        <v>43</v>
      </c>
      <c r="I6750">
        <v>2</v>
      </c>
      <c r="J6750" t="s">
        <v>40</v>
      </c>
    </row>
    <row r="6751" spans="1:10" x14ac:dyDescent="0.25">
      <c r="A6751" t="s">
        <v>145</v>
      </c>
      <c r="B6751">
        <f>18843.3356938749*(1/100/100)</f>
        <v>1.8843335693874899</v>
      </c>
      <c r="C6751">
        <v>72301</v>
      </c>
      <c r="D6751" t="s">
        <v>447</v>
      </c>
      <c r="E6751">
        <v>21001</v>
      </c>
      <c r="F6751" t="s">
        <v>447</v>
      </c>
      <c r="G6751">
        <v>210</v>
      </c>
      <c r="H6751" t="s">
        <v>48</v>
      </c>
      <c r="I6751">
        <v>2</v>
      </c>
      <c r="J6751" t="s">
        <v>40</v>
      </c>
    </row>
    <row r="6752" spans="1:10" x14ac:dyDescent="0.25">
      <c r="A6752" t="s">
        <v>145</v>
      </c>
      <c r="B6752">
        <f>52405.3684218772*(1/100/100)</f>
        <v>5.240536842187721</v>
      </c>
      <c r="C6752">
        <v>72302</v>
      </c>
      <c r="D6752" t="s">
        <v>2907</v>
      </c>
      <c r="E6752">
        <v>21010</v>
      </c>
      <c r="F6752" t="s">
        <v>455</v>
      </c>
      <c r="G6752">
        <v>210</v>
      </c>
      <c r="H6752" t="s">
        <v>48</v>
      </c>
      <c r="I6752">
        <v>2</v>
      </c>
      <c r="J6752" t="s">
        <v>40</v>
      </c>
    </row>
    <row r="6753" spans="1:10" x14ac:dyDescent="0.25">
      <c r="A6753" t="s">
        <v>145</v>
      </c>
      <c r="B6753">
        <f>21658.2451431133*(1/100/100)</f>
        <v>2.1658245143113302</v>
      </c>
      <c r="C6753">
        <v>72303</v>
      </c>
      <c r="D6753" t="s">
        <v>2890</v>
      </c>
      <c r="E6753">
        <v>21005</v>
      </c>
      <c r="F6753" t="s">
        <v>451</v>
      </c>
      <c r="G6753">
        <v>210</v>
      </c>
      <c r="H6753" t="s">
        <v>48</v>
      </c>
      <c r="I6753">
        <v>2</v>
      </c>
      <c r="J6753" t="s">
        <v>40</v>
      </c>
    </row>
    <row r="6754" spans="1:10" x14ac:dyDescent="0.25">
      <c r="A6754" t="s">
        <v>145</v>
      </c>
      <c r="B6754">
        <f>18065.3461307649*(1/100/100)</f>
        <v>1.8065346130764903</v>
      </c>
      <c r="C6754">
        <v>72304</v>
      </c>
      <c r="D6754" t="s">
        <v>1955</v>
      </c>
      <c r="E6754">
        <v>21008</v>
      </c>
      <c r="F6754" t="s">
        <v>2900</v>
      </c>
      <c r="G6754">
        <v>210</v>
      </c>
      <c r="H6754" t="s">
        <v>48</v>
      </c>
      <c r="I6754">
        <v>2</v>
      </c>
      <c r="J6754" t="s">
        <v>40</v>
      </c>
    </row>
    <row r="6755" spans="1:10" x14ac:dyDescent="0.25">
      <c r="A6755" t="s">
        <v>145</v>
      </c>
      <c r="B6755">
        <f>31143.5708981563*(1/100/100)</f>
        <v>3.1143570898156301</v>
      </c>
      <c r="C6755">
        <v>72305</v>
      </c>
      <c r="D6755" t="s">
        <v>2891</v>
      </c>
      <c r="E6755">
        <v>21005</v>
      </c>
      <c r="F6755" t="s">
        <v>451</v>
      </c>
      <c r="G6755">
        <v>210</v>
      </c>
      <c r="H6755" t="s">
        <v>48</v>
      </c>
      <c r="I6755">
        <v>2</v>
      </c>
      <c r="J6755" t="s">
        <v>40</v>
      </c>
    </row>
    <row r="6756" spans="1:10" x14ac:dyDescent="0.25">
      <c r="A6756" t="s">
        <v>145</v>
      </c>
      <c r="B6756">
        <f>59065.4492374997*(1/100/100)</f>
        <v>5.9065449237499701</v>
      </c>
      <c r="C6756">
        <v>72306</v>
      </c>
      <c r="D6756" t="s">
        <v>2896</v>
      </c>
      <c r="E6756">
        <v>21007</v>
      </c>
      <c r="F6756" t="s">
        <v>453</v>
      </c>
      <c r="G6756">
        <v>210</v>
      </c>
      <c r="H6756" t="s">
        <v>48</v>
      </c>
      <c r="I6756">
        <v>2</v>
      </c>
      <c r="J6756" t="s">
        <v>40</v>
      </c>
    </row>
    <row r="6757" spans="1:10" x14ac:dyDescent="0.25">
      <c r="A6757" t="s">
        <v>145</v>
      </c>
      <c r="B6757">
        <f>56556.057322222*(1/100/100)</f>
        <v>5.6556057322221998</v>
      </c>
      <c r="C6757">
        <v>72307</v>
      </c>
      <c r="D6757" t="s">
        <v>2877</v>
      </c>
      <c r="E6757">
        <v>21002</v>
      </c>
      <c r="F6757" t="s">
        <v>448</v>
      </c>
      <c r="G6757">
        <v>210</v>
      </c>
      <c r="H6757" t="s">
        <v>48</v>
      </c>
      <c r="I6757">
        <v>2</v>
      </c>
      <c r="J6757" t="s">
        <v>40</v>
      </c>
    </row>
    <row r="6758" spans="1:10" x14ac:dyDescent="0.25">
      <c r="A6758" t="s">
        <v>145</v>
      </c>
      <c r="B6758">
        <f>350101.322340862*(1/100/100)</f>
        <v>35.0101322340862</v>
      </c>
      <c r="C6758">
        <v>72308</v>
      </c>
      <c r="D6758" t="s">
        <v>48</v>
      </c>
      <c r="E6758">
        <v>21002</v>
      </c>
      <c r="F6758" t="s">
        <v>448</v>
      </c>
      <c r="G6758">
        <v>210</v>
      </c>
      <c r="H6758" t="s">
        <v>48</v>
      </c>
      <c r="I6758">
        <v>2</v>
      </c>
      <c r="J6758" t="s">
        <v>40</v>
      </c>
    </row>
    <row r="6759" spans="1:10" x14ac:dyDescent="0.25">
      <c r="A6759" t="s">
        <v>145</v>
      </c>
      <c r="B6759">
        <f>127732.576658401*(1/100/100)</f>
        <v>12.7732576658401</v>
      </c>
      <c r="C6759">
        <v>72309</v>
      </c>
      <c r="D6759" t="s">
        <v>449</v>
      </c>
      <c r="E6759">
        <v>21003</v>
      </c>
      <c r="F6759" t="s">
        <v>449</v>
      </c>
      <c r="G6759">
        <v>210</v>
      </c>
      <c r="H6759" t="s">
        <v>48</v>
      </c>
      <c r="I6759">
        <v>2</v>
      </c>
      <c r="J6759" t="s">
        <v>40</v>
      </c>
    </row>
    <row r="6760" spans="1:10" x14ac:dyDescent="0.25">
      <c r="A6760" t="s">
        <v>145</v>
      </c>
      <c r="B6760">
        <f>65169.7370151588*(1/100/100)</f>
        <v>6.5169737015158802</v>
      </c>
      <c r="C6760">
        <v>72310</v>
      </c>
      <c r="D6760" t="s">
        <v>2878</v>
      </c>
      <c r="E6760">
        <v>21002</v>
      </c>
      <c r="F6760" t="s">
        <v>448</v>
      </c>
      <c r="G6760">
        <v>210</v>
      </c>
      <c r="H6760" t="s">
        <v>48</v>
      </c>
      <c r="I6760">
        <v>2</v>
      </c>
      <c r="J6760" t="s">
        <v>40</v>
      </c>
    </row>
    <row r="6761" spans="1:10" x14ac:dyDescent="0.25">
      <c r="A6761" t="s">
        <v>145</v>
      </c>
      <c r="B6761">
        <f>66967.3864811061*(1/100/100)</f>
        <v>6.6967386481106113</v>
      </c>
      <c r="C6761">
        <v>72311</v>
      </c>
      <c r="D6761" t="s">
        <v>450</v>
      </c>
      <c r="E6761">
        <v>21004</v>
      </c>
      <c r="F6761" t="s">
        <v>450</v>
      </c>
      <c r="G6761">
        <v>210</v>
      </c>
      <c r="H6761" t="s">
        <v>48</v>
      </c>
      <c r="I6761">
        <v>2</v>
      </c>
      <c r="J6761" t="s">
        <v>40</v>
      </c>
    </row>
    <row r="6762" spans="1:10" x14ac:dyDescent="0.25">
      <c r="A6762" t="s">
        <v>145</v>
      </c>
      <c r="B6762">
        <f>62193.2460465171*(1/100/100)</f>
        <v>6.2193246046517103</v>
      </c>
      <c r="C6762">
        <v>72312</v>
      </c>
      <c r="D6762" t="s">
        <v>2879</v>
      </c>
      <c r="E6762">
        <v>21002</v>
      </c>
      <c r="F6762" t="s">
        <v>448</v>
      </c>
      <c r="G6762">
        <v>210</v>
      </c>
      <c r="H6762" t="s">
        <v>48</v>
      </c>
      <c r="I6762">
        <v>2</v>
      </c>
      <c r="J6762" t="s">
        <v>40</v>
      </c>
    </row>
    <row r="6763" spans="1:10" x14ac:dyDescent="0.25">
      <c r="A6763" t="s">
        <v>145</v>
      </c>
      <c r="B6763">
        <f>91519.7436623048*(1/100/100)</f>
        <v>9.1519743662304798</v>
      </c>
      <c r="C6763">
        <v>72313</v>
      </c>
      <c r="D6763" t="s">
        <v>2874</v>
      </c>
      <c r="E6763">
        <v>21001</v>
      </c>
      <c r="F6763" t="s">
        <v>447</v>
      </c>
      <c r="G6763">
        <v>210</v>
      </c>
      <c r="H6763" t="s">
        <v>48</v>
      </c>
      <c r="I6763">
        <v>2</v>
      </c>
      <c r="J6763" t="s">
        <v>40</v>
      </c>
    </row>
    <row r="6764" spans="1:10" x14ac:dyDescent="0.25">
      <c r="A6764" t="s">
        <v>145</v>
      </c>
      <c r="B6764">
        <f>12733.2114377014*(1/100/100)</f>
        <v>1.2733211437701402</v>
      </c>
      <c r="C6764">
        <v>72314</v>
      </c>
      <c r="D6764" t="s">
        <v>372</v>
      </c>
      <c r="E6764">
        <v>21004</v>
      </c>
      <c r="F6764" t="s">
        <v>450</v>
      </c>
      <c r="G6764">
        <v>210</v>
      </c>
      <c r="H6764" t="s">
        <v>48</v>
      </c>
      <c r="I6764">
        <v>2</v>
      </c>
      <c r="J6764" t="s">
        <v>40</v>
      </c>
    </row>
    <row r="6765" spans="1:10" x14ac:dyDescent="0.25">
      <c r="A6765" t="s">
        <v>145</v>
      </c>
      <c r="B6765">
        <f>31573.8948160568*(1/100/100)</f>
        <v>3.15738948160568</v>
      </c>
      <c r="C6765">
        <v>72315</v>
      </c>
      <c r="D6765" t="s">
        <v>2901</v>
      </c>
      <c r="E6765">
        <v>21008</v>
      </c>
      <c r="F6765" t="s">
        <v>2900</v>
      </c>
      <c r="G6765">
        <v>210</v>
      </c>
      <c r="H6765" t="s">
        <v>48</v>
      </c>
      <c r="I6765">
        <v>2</v>
      </c>
      <c r="J6765" t="s">
        <v>40</v>
      </c>
    </row>
    <row r="6766" spans="1:10" x14ac:dyDescent="0.25">
      <c r="A6766" t="s">
        <v>145</v>
      </c>
      <c r="B6766">
        <f>99085.5855755183*(1/100/100)</f>
        <v>9.9085585575518298</v>
      </c>
      <c r="C6766">
        <v>72316</v>
      </c>
      <c r="D6766" t="s">
        <v>451</v>
      </c>
      <c r="E6766">
        <v>21005</v>
      </c>
      <c r="F6766" t="s">
        <v>451</v>
      </c>
      <c r="G6766">
        <v>210</v>
      </c>
      <c r="H6766" t="s">
        <v>48</v>
      </c>
      <c r="I6766">
        <v>2</v>
      </c>
      <c r="J6766" t="s">
        <v>40</v>
      </c>
    </row>
    <row r="6767" spans="1:10" x14ac:dyDescent="0.25">
      <c r="A6767" t="s">
        <v>145</v>
      </c>
      <c r="B6767">
        <f>8629.08434653894*(1/100/100)</f>
        <v>0.86290843465389411</v>
      </c>
      <c r="C6767">
        <v>72317</v>
      </c>
      <c r="D6767" t="s">
        <v>2892</v>
      </c>
      <c r="E6767">
        <v>21005</v>
      </c>
      <c r="F6767" t="s">
        <v>451</v>
      </c>
      <c r="G6767">
        <v>210</v>
      </c>
      <c r="H6767" t="s">
        <v>48</v>
      </c>
      <c r="I6767">
        <v>2</v>
      </c>
      <c r="J6767" t="s">
        <v>40</v>
      </c>
    </row>
    <row r="6768" spans="1:10" x14ac:dyDescent="0.25">
      <c r="A6768" t="s">
        <v>145</v>
      </c>
      <c r="B6768">
        <f>83147.4059389029*(1/100/100)</f>
        <v>8.3147405938902903</v>
      </c>
      <c r="C6768">
        <v>72318</v>
      </c>
      <c r="D6768" t="s">
        <v>2880</v>
      </c>
      <c r="E6768">
        <v>21002</v>
      </c>
      <c r="F6768" t="s">
        <v>448</v>
      </c>
      <c r="G6768">
        <v>210</v>
      </c>
      <c r="H6768" t="s">
        <v>48</v>
      </c>
      <c r="I6768">
        <v>2</v>
      </c>
      <c r="J6768" t="s">
        <v>40</v>
      </c>
    </row>
    <row r="6769" spans="1:10" x14ac:dyDescent="0.25">
      <c r="A6769" t="s">
        <v>145</v>
      </c>
      <c r="B6769">
        <f>90464.3725806815*(1/100/100)</f>
        <v>9.0464372580681509</v>
      </c>
      <c r="C6769">
        <v>72319</v>
      </c>
      <c r="D6769" t="s">
        <v>2757</v>
      </c>
      <c r="E6769">
        <v>21002</v>
      </c>
      <c r="F6769" t="s">
        <v>448</v>
      </c>
      <c r="G6769">
        <v>210</v>
      </c>
      <c r="H6769" t="s">
        <v>48</v>
      </c>
      <c r="I6769">
        <v>2</v>
      </c>
      <c r="J6769" t="s">
        <v>40</v>
      </c>
    </row>
    <row r="6770" spans="1:10" x14ac:dyDescent="0.25">
      <c r="A6770" t="s">
        <v>145</v>
      </c>
      <c r="B6770">
        <f>74210.6914964278*(1/100/100)</f>
        <v>7.4210691496427801</v>
      </c>
      <c r="C6770">
        <v>72320</v>
      </c>
      <c r="D6770" t="s">
        <v>2886</v>
      </c>
      <c r="E6770">
        <v>21003</v>
      </c>
      <c r="F6770" t="s">
        <v>449</v>
      </c>
      <c r="G6770">
        <v>210</v>
      </c>
      <c r="H6770" t="s">
        <v>48</v>
      </c>
      <c r="I6770">
        <v>2</v>
      </c>
      <c r="J6770" t="s">
        <v>40</v>
      </c>
    </row>
    <row r="6771" spans="1:10" x14ac:dyDescent="0.25">
      <c r="A6771" t="s">
        <v>145</v>
      </c>
      <c r="B6771">
        <f>15472.5127720312*(1/100/100)</f>
        <v>1.5472512772031199</v>
      </c>
      <c r="C6771">
        <v>72321</v>
      </c>
      <c r="D6771" t="s">
        <v>2888</v>
      </c>
      <c r="E6771">
        <v>21004</v>
      </c>
      <c r="F6771" t="s">
        <v>450</v>
      </c>
      <c r="G6771">
        <v>210</v>
      </c>
      <c r="H6771" t="s">
        <v>48</v>
      </c>
      <c r="I6771">
        <v>2</v>
      </c>
      <c r="J6771" t="s">
        <v>40</v>
      </c>
    </row>
    <row r="6772" spans="1:10" x14ac:dyDescent="0.25">
      <c r="A6772" t="s">
        <v>145</v>
      </c>
      <c r="B6772">
        <f>29649.8227967768*(1/100/100)</f>
        <v>2.9649822796776801</v>
      </c>
      <c r="C6772">
        <v>72322</v>
      </c>
      <c r="D6772" t="s">
        <v>2908</v>
      </c>
      <c r="E6772">
        <v>21010</v>
      </c>
      <c r="F6772" t="s">
        <v>455</v>
      </c>
      <c r="G6772">
        <v>210</v>
      </c>
      <c r="H6772" t="s">
        <v>48</v>
      </c>
      <c r="I6772">
        <v>2</v>
      </c>
      <c r="J6772" t="s">
        <v>40</v>
      </c>
    </row>
    <row r="6773" spans="1:10" x14ac:dyDescent="0.25">
      <c r="A6773" t="s">
        <v>145</v>
      </c>
      <c r="B6773">
        <f>113143.967015967*(1/100/100)</f>
        <v>11.314396701596701</v>
      </c>
      <c r="C6773">
        <v>72323</v>
      </c>
      <c r="D6773" t="s">
        <v>452</v>
      </c>
      <c r="E6773">
        <v>21006</v>
      </c>
      <c r="F6773" t="s">
        <v>452</v>
      </c>
      <c r="G6773">
        <v>210</v>
      </c>
      <c r="H6773" t="s">
        <v>48</v>
      </c>
      <c r="I6773">
        <v>2</v>
      </c>
      <c r="J6773" t="s">
        <v>40</v>
      </c>
    </row>
    <row r="6774" spans="1:10" x14ac:dyDescent="0.25">
      <c r="A6774" t="s">
        <v>145</v>
      </c>
      <c r="B6774">
        <f>27587.8106694305*(1/100/100)</f>
        <v>2.7587810669430501</v>
      </c>
      <c r="C6774">
        <v>72324</v>
      </c>
      <c r="D6774" t="s">
        <v>2668</v>
      </c>
      <c r="E6774">
        <v>21009</v>
      </c>
      <c r="F6774" t="s">
        <v>454</v>
      </c>
      <c r="G6774">
        <v>210</v>
      </c>
      <c r="H6774" t="s">
        <v>48</v>
      </c>
      <c r="I6774">
        <v>2</v>
      </c>
      <c r="J6774" t="s">
        <v>40</v>
      </c>
    </row>
    <row r="6775" spans="1:10" x14ac:dyDescent="0.25">
      <c r="A6775" t="s">
        <v>145</v>
      </c>
      <c r="B6775">
        <f>50567.6728532147*(1/100/100)</f>
        <v>5.0567672853214702</v>
      </c>
      <c r="C6775">
        <v>72325</v>
      </c>
      <c r="D6775" t="s">
        <v>643</v>
      </c>
      <c r="E6775">
        <v>21002</v>
      </c>
      <c r="F6775" t="s">
        <v>448</v>
      </c>
      <c r="G6775">
        <v>210</v>
      </c>
      <c r="H6775" t="s">
        <v>48</v>
      </c>
      <c r="I6775">
        <v>2</v>
      </c>
      <c r="J6775" t="s">
        <v>40</v>
      </c>
    </row>
    <row r="6776" spans="1:10" x14ac:dyDescent="0.25">
      <c r="A6776" t="s">
        <v>145</v>
      </c>
      <c r="B6776">
        <f>81163.5119730887*(1/100/100)</f>
        <v>8.1163511973088696</v>
      </c>
      <c r="C6776">
        <v>72326</v>
      </c>
      <c r="D6776" t="s">
        <v>2893</v>
      </c>
      <c r="E6776">
        <v>21005</v>
      </c>
      <c r="F6776" t="s">
        <v>451</v>
      </c>
      <c r="G6776">
        <v>210</v>
      </c>
      <c r="H6776" t="s">
        <v>48</v>
      </c>
      <c r="I6776">
        <v>2</v>
      </c>
      <c r="J6776" t="s">
        <v>40</v>
      </c>
    </row>
    <row r="6777" spans="1:10" x14ac:dyDescent="0.25">
      <c r="A6777" t="s">
        <v>145</v>
      </c>
      <c r="B6777">
        <f>121229.823724374*(1/100/100)</f>
        <v>12.1229823724374</v>
      </c>
      <c r="C6777">
        <v>72327</v>
      </c>
      <c r="D6777" t="s">
        <v>2881</v>
      </c>
      <c r="E6777">
        <v>21002</v>
      </c>
      <c r="F6777" t="s">
        <v>448</v>
      </c>
      <c r="G6777">
        <v>210</v>
      </c>
      <c r="H6777" t="s">
        <v>48</v>
      </c>
      <c r="I6777">
        <v>2</v>
      </c>
      <c r="J6777" t="s">
        <v>40</v>
      </c>
    </row>
    <row r="6778" spans="1:10" x14ac:dyDescent="0.25">
      <c r="A6778" t="s">
        <v>145</v>
      </c>
      <c r="B6778">
        <f>14446.8654272127*(1/100/100)</f>
        <v>1.4446865427212701</v>
      </c>
      <c r="C6778">
        <v>72328</v>
      </c>
      <c r="D6778" t="s">
        <v>2902</v>
      </c>
      <c r="E6778">
        <v>21008</v>
      </c>
      <c r="F6778" t="s">
        <v>2900</v>
      </c>
      <c r="G6778">
        <v>210</v>
      </c>
      <c r="H6778" t="s">
        <v>48</v>
      </c>
      <c r="I6778">
        <v>2</v>
      </c>
      <c r="J6778" t="s">
        <v>40</v>
      </c>
    </row>
    <row r="6779" spans="1:10" x14ac:dyDescent="0.25">
      <c r="A6779" t="s">
        <v>145</v>
      </c>
      <c r="B6779">
        <f>31710.2482943896*(1/100/100)</f>
        <v>3.1710248294389602</v>
      </c>
      <c r="C6779">
        <v>72329</v>
      </c>
      <c r="D6779" t="s">
        <v>2875</v>
      </c>
      <c r="E6779">
        <v>21001</v>
      </c>
      <c r="F6779" t="s">
        <v>447</v>
      </c>
      <c r="G6779">
        <v>210</v>
      </c>
      <c r="H6779" t="s">
        <v>48</v>
      </c>
      <c r="I6779">
        <v>2</v>
      </c>
      <c r="J6779" t="s">
        <v>40</v>
      </c>
    </row>
    <row r="6780" spans="1:10" x14ac:dyDescent="0.25">
      <c r="A6780" t="s">
        <v>145</v>
      </c>
      <c r="B6780">
        <f>10606.2675292509*(1/100/100)</f>
        <v>1.0606267529250899</v>
      </c>
      <c r="C6780">
        <v>72330</v>
      </c>
      <c r="D6780" t="s">
        <v>2897</v>
      </c>
      <c r="E6780">
        <v>21007</v>
      </c>
      <c r="F6780" t="s">
        <v>453</v>
      </c>
      <c r="G6780">
        <v>210</v>
      </c>
      <c r="H6780" t="s">
        <v>48</v>
      </c>
      <c r="I6780">
        <v>2</v>
      </c>
      <c r="J6780" t="s">
        <v>40</v>
      </c>
    </row>
    <row r="6781" spans="1:10" x14ac:dyDescent="0.25">
      <c r="A6781" t="s">
        <v>145</v>
      </c>
      <c r="B6781">
        <f>54828.7036970921*(1/100/100)</f>
        <v>5.4828703697092109</v>
      </c>
      <c r="C6781">
        <v>72331</v>
      </c>
      <c r="D6781" t="s">
        <v>2125</v>
      </c>
      <c r="E6781">
        <v>21007</v>
      </c>
      <c r="F6781" t="s">
        <v>453</v>
      </c>
      <c r="G6781">
        <v>210</v>
      </c>
      <c r="H6781" t="s">
        <v>48</v>
      </c>
      <c r="I6781">
        <v>2</v>
      </c>
      <c r="J6781" t="s">
        <v>40</v>
      </c>
    </row>
    <row r="6782" spans="1:10" x14ac:dyDescent="0.25">
      <c r="A6782" t="s">
        <v>145</v>
      </c>
      <c r="B6782">
        <f>60876.1621700129*(1/100/100)</f>
        <v>6.0876162170012904</v>
      </c>
      <c r="C6782">
        <v>72332</v>
      </c>
      <c r="D6782" t="s">
        <v>2882</v>
      </c>
      <c r="E6782">
        <v>21002</v>
      </c>
      <c r="F6782" t="s">
        <v>448</v>
      </c>
      <c r="G6782">
        <v>210</v>
      </c>
      <c r="H6782" t="s">
        <v>48</v>
      </c>
      <c r="I6782">
        <v>2</v>
      </c>
      <c r="J6782" t="s">
        <v>40</v>
      </c>
    </row>
    <row r="6783" spans="1:10" x14ac:dyDescent="0.25">
      <c r="A6783" t="s">
        <v>145</v>
      </c>
      <c r="B6783">
        <f>97477.3674325206*(1/100/100)</f>
        <v>9.7477367432520605</v>
      </c>
      <c r="C6783">
        <v>72333</v>
      </c>
      <c r="D6783" t="s">
        <v>2900</v>
      </c>
      <c r="E6783">
        <v>21008</v>
      </c>
      <c r="F6783" t="s">
        <v>2900</v>
      </c>
      <c r="G6783">
        <v>210</v>
      </c>
      <c r="H6783" t="s">
        <v>48</v>
      </c>
      <c r="I6783">
        <v>2</v>
      </c>
      <c r="J6783" t="s">
        <v>40</v>
      </c>
    </row>
    <row r="6784" spans="1:10" x14ac:dyDescent="0.25">
      <c r="A6784" t="s">
        <v>145</v>
      </c>
      <c r="B6784">
        <f>24538.5055585503*(1/100/100)</f>
        <v>2.4538505558550301</v>
      </c>
      <c r="C6784">
        <v>72334</v>
      </c>
      <c r="D6784" t="s">
        <v>2894</v>
      </c>
      <c r="E6784">
        <v>21005</v>
      </c>
      <c r="F6784" t="s">
        <v>451</v>
      </c>
      <c r="G6784">
        <v>210</v>
      </c>
      <c r="H6784" t="s">
        <v>48</v>
      </c>
      <c r="I6784">
        <v>2</v>
      </c>
      <c r="J6784" t="s">
        <v>40</v>
      </c>
    </row>
    <row r="6785" spans="1:10" x14ac:dyDescent="0.25">
      <c r="A6785" t="s">
        <v>145</v>
      </c>
      <c r="B6785">
        <f>45144.4624522379*(1/100/100)</f>
        <v>4.5144462452237901</v>
      </c>
      <c r="C6785">
        <v>72335</v>
      </c>
      <c r="D6785" t="s">
        <v>2876</v>
      </c>
      <c r="E6785">
        <v>21001</v>
      </c>
      <c r="F6785" t="s">
        <v>447</v>
      </c>
      <c r="G6785">
        <v>210</v>
      </c>
      <c r="H6785" t="s">
        <v>48</v>
      </c>
      <c r="I6785">
        <v>2</v>
      </c>
      <c r="J6785" t="s">
        <v>40</v>
      </c>
    </row>
    <row r="6786" spans="1:10" x14ac:dyDescent="0.25">
      <c r="A6786" t="s">
        <v>145</v>
      </c>
      <c r="B6786">
        <f>140543.254119317*(1/100/100)</f>
        <v>14.0543254119317</v>
      </c>
      <c r="C6786">
        <v>72336</v>
      </c>
      <c r="D6786" t="s">
        <v>2883</v>
      </c>
      <c r="E6786">
        <v>21002</v>
      </c>
      <c r="F6786" t="s">
        <v>448</v>
      </c>
      <c r="G6786">
        <v>210</v>
      </c>
      <c r="H6786" t="s">
        <v>48</v>
      </c>
      <c r="I6786">
        <v>2</v>
      </c>
      <c r="J6786" t="s">
        <v>40</v>
      </c>
    </row>
    <row r="6787" spans="1:10" x14ac:dyDescent="0.25">
      <c r="A6787" t="s">
        <v>145</v>
      </c>
      <c r="B6787">
        <f>213483.841599277*(1/100/100)</f>
        <v>21.348384159927701</v>
      </c>
      <c r="C6787">
        <v>72337</v>
      </c>
      <c r="D6787" t="s">
        <v>2904</v>
      </c>
      <c r="E6787">
        <v>21009</v>
      </c>
      <c r="F6787" t="s">
        <v>454</v>
      </c>
      <c r="G6787">
        <v>210</v>
      </c>
      <c r="H6787" t="s">
        <v>48</v>
      </c>
      <c r="I6787">
        <v>2</v>
      </c>
      <c r="J6787" t="s">
        <v>40</v>
      </c>
    </row>
    <row r="6788" spans="1:10" x14ac:dyDescent="0.25">
      <c r="A6788" t="s">
        <v>145</v>
      </c>
      <c r="B6788">
        <f>63907.6032692309*(1/100/100)</f>
        <v>6.3907603269230906</v>
      </c>
      <c r="C6788">
        <v>72338</v>
      </c>
      <c r="D6788" t="s">
        <v>2905</v>
      </c>
      <c r="E6788">
        <v>21009</v>
      </c>
      <c r="F6788" t="s">
        <v>454</v>
      </c>
      <c r="G6788">
        <v>210</v>
      </c>
      <c r="H6788" t="s">
        <v>48</v>
      </c>
      <c r="I6788">
        <v>2</v>
      </c>
      <c r="J6788" t="s">
        <v>40</v>
      </c>
    </row>
    <row r="6789" spans="1:10" x14ac:dyDescent="0.25">
      <c r="A6789" t="s">
        <v>145</v>
      </c>
      <c r="B6789">
        <f>59963.2007959845*(1/100/100)</f>
        <v>5.9963200795984504</v>
      </c>
      <c r="C6789">
        <v>72339</v>
      </c>
      <c r="D6789" t="s">
        <v>2887</v>
      </c>
      <c r="E6789">
        <v>21003</v>
      </c>
      <c r="F6789" t="s">
        <v>449</v>
      </c>
      <c r="G6789">
        <v>210</v>
      </c>
      <c r="H6789" t="s">
        <v>48</v>
      </c>
      <c r="I6789">
        <v>2</v>
      </c>
      <c r="J6789" t="s">
        <v>40</v>
      </c>
    </row>
    <row r="6790" spans="1:10" x14ac:dyDescent="0.25">
      <c r="A6790" t="s">
        <v>145</v>
      </c>
      <c r="B6790">
        <f>65283.2858177675*(1/100/100)</f>
        <v>6.5283285817767505</v>
      </c>
      <c r="C6790">
        <v>72340</v>
      </c>
      <c r="D6790" t="s">
        <v>2906</v>
      </c>
      <c r="E6790">
        <v>21009</v>
      </c>
      <c r="F6790" t="s">
        <v>454</v>
      </c>
      <c r="G6790">
        <v>210</v>
      </c>
      <c r="H6790" t="s">
        <v>48</v>
      </c>
      <c r="I6790">
        <v>2</v>
      </c>
      <c r="J6790" t="s">
        <v>40</v>
      </c>
    </row>
    <row r="6791" spans="1:10" x14ac:dyDescent="0.25">
      <c r="A6791" t="s">
        <v>145</v>
      </c>
      <c r="B6791">
        <f>125068.693719096*(1/100/100)</f>
        <v>12.5068693719096</v>
      </c>
      <c r="C6791">
        <v>72341</v>
      </c>
      <c r="D6791" t="s">
        <v>2884</v>
      </c>
      <c r="E6791">
        <v>21002</v>
      </c>
      <c r="F6791" t="s">
        <v>448</v>
      </c>
      <c r="G6791">
        <v>210</v>
      </c>
      <c r="H6791" t="s">
        <v>48</v>
      </c>
      <c r="I6791">
        <v>2</v>
      </c>
      <c r="J6791" t="s">
        <v>40</v>
      </c>
    </row>
    <row r="6792" spans="1:10" x14ac:dyDescent="0.25">
      <c r="A6792" t="s">
        <v>145</v>
      </c>
      <c r="B6792">
        <f>31383.1672802917*(1/100/100)</f>
        <v>3.1383167280291699</v>
      </c>
      <c r="C6792">
        <v>72342</v>
      </c>
      <c r="D6792" t="s">
        <v>2909</v>
      </c>
      <c r="E6792">
        <v>21010</v>
      </c>
      <c r="F6792" t="s">
        <v>455</v>
      </c>
      <c r="G6792">
        <v>210</v>
      </c>
      <c r="H6792" t="s">
        <v>48</v>
      </c>
      <c r="I6792">
        <v>2</v>
      </c>
      <c r="J6792" t="s">
        <v>40</v>
      </c>
    </row>
    <row r="6793" spans="1:10" x14ac:dyDescent="0.25">
      <c r="A6793" t="s">
        <v>145</v>
      </c>
      <c r="B6793">
        <f>64824.1069958117*(1/100/100)</f>
        <v>6.4824106995811706</v>
      </c>
      <c r="C6793">
        <v>72343</v>
      </c>
      <c r="D6793" t="s">
        <v>2910</v>
      </c>
      <c r="E6793">
        <v>21010</v>
      </c>
      <c r="F6793" t="s">
        <v>455</v>
      </c>
      <c r="G6793">
        <v>210</v>
      </c>
      <c r="H6793" t="s">
        <v>48</v>
      </c>
      <c r="I6793">
        <v>2</v>
      </c>
      <c r="J6793" t="s">
        <v>40</v>
      </c>
    </row>
    <row r="6794" spans="1:10" x14ac:dyDescent="0.25">
      <c r="A6794" t="s">
        <v>145</v>
      </c>
      <c r="B6794">
        <f>217022.137385524*(1/100/100)</f>
        <v>21.702213738552402</v>
      </c>
      <c r="C6794">
        <v>72344</v>
      </c>
      <c r="D6794" t="s">
        <v>2885</v>
      </c>
      <c r="E6794">
        <v>21002</v>
      </c>
      <c r="F6794" t="s">
        <v>448</v>
      </c>
      <c r="G6794">
        <v>210</v>
      </c>
      <c r="H6794" t="s">
        <v>48</v>
      </c>
      <c r="I6794">
        <v>2</v>
      </c>
      <c r="J6794" t="s">
        <v>40</v>
      </c>
    </row>
    <row r="6795" spans="1:10" x14ac:dyDescent="0.25">
      <c r="A6795" t="s">
        <v>145</v>
      </c>
      <c r="B6795">
        <f>93177.2024424394*(1/100/100)</f>
        <v>9.3177202442439402</v>
      </c>
      <c r="C6795">
        <v>72345</v>
      </c>
      <c r="D6795" t="s">
        <v>2898</v>
      </c>
      <c r="E6795">
        <v>21007</v>
      </c>
      <c r="F6795" t="s">
        <v>453</v>
      </c>
      <c r="G6795">
        <v>210</v>
      </c>
      <c r="H6795" t="s">
        <v>48</v>
      </c>
      <c r="I6795">
        <v>2</v>
      </c>
      <c r="J6795" t="s">
        <v>40</v>
      </c>
    </row>
    <row r="6796" spans="1:10" x14ac:dyDescent="0.25">
      <c r="A6796" t="s">
        <v>145</v>
      </c>
      <c r="B6796">
        <f>62240.9063170066*(1/100/100)</f>
        <v>6.2240906317006601</v>
      </c>
      <c r="C6796">
        <v>72346</v>
      </c>
      <c r="D6796" t="s">
        <v>2899</v>
      </c>
      <c r="E6796">
        <v>21007</v>
      </c>
      <c r="F6796" t="s">
        <v>453</v>
      </c>
      <c r="G6796">
        <v>210</v>
      </c>
      <c r="H6796" t="s">
        <v>48</v>
      </c>
      <c r="I6796">
        <v>2</v>
      </c>
      <c r="J6796" t="s">
        <v>40</v>
      </c>
    </row>
    <row r="6797" spans="1:10" x14ac:dyDescent="0.25">
      <c r="A6797" t="s">
        <v>145</v>
      </c>
      <c r="B6797">
        <f>16825.849008296*(1/100/100)</f>
        <v>1.6825849008296003</v>
      </c>
      <c r="C6797">
        <v>72347</v>
      </c>
      <c r="D6797" t="s">
        <v>2895</v>
      </c>
      <c r="E6797">
        <v>21005</v>
      </c>
      <c r="F6797" t="s">
        <v>451</v>
      </c>
      <c r="G6797">
        <v>210</v>
      </c>
      <c r="H6797" t="s">
        <v>48</v>
      </c>
      <c r="I6797">
        <v>2</v>
      </c>
      <c r="J6797" t="s">
        <v>40</v>
      </c>
    </row>
    <row r="6798" spans="1:10" x14ac:dyDescent="0.25">
      <c r="A6798" t="s">
        <v>145</v>
      </c>
      <c r="B6798">
        <f>83961.2097023302*(1/100/100)</f>
        <v>8.3961209702330208</v>
      </c>
      <c r="C6798">
        <v>72348</v>
      </c>
      <c r="D6798" t="s">
        <v>2889</v>
      </c>
      <c r="E6798">
        <v>21004</v>
      </c>
      <c r="F6798" t="s">
        <v>450</v>
      </c>
      <c r="G6798">
        <v>210</v>
      </c>
      <c r="H6798" t="s">
        <v>48</v>
      </c>
      <c r="I6798">
        <v>2</v>
      </c>
      <c r="J6798" t="s">
        <v>40</v>
      </c>
    </row>
    <row r="6799" spans="1:10" x14ac:dyDescent="0.25">
      <c r="A6799" t="s">
        <v>145</v>
      </c>
      <c r="B6799">
        <f>17130.7194130383*(1/100/100)</f>
        <v>1.71307194130383</v>
      </c>
      <c r="C6799">
        <v>72349</v>
      </c>
      <c r="D6799" t="s">
        <v>2903</v>
      </c>
      <c r="E6799">
        <v>21008</v>
      </c>
      <c r="F6799" t="s">
        <v>2900</v>
      </c>
      <c r="G6799">
        <v>210</v>
      </c>
      <c r="H6799" t="s">
        <v>48</v>
      </c>
      <c r="I6799">
        <v>2</v>
      </c>
      <c r="J6799" t="s">
        <v>40</v>
      </c>
    </row>
    <row r="6800" spans="1:10" x14ac:dyDescent="0.25">
      <c r="A6800" t="s">
        <v>145</v>
      </c>
      <c r="B6800">
        <f>48305.0171301884*(1/100/100)</f>
        <v>4.8305017130188395</v>
      </c>
      <c r="C6800">
        <v>73001</v>
      </c>
      <c r="D6800" t="s">
        <v>2611</v>
      </c>
      <c r="E6800">
        <v>20638</v>
      </c>
      <c r="F6800" t="s">
        <v>409</v>
      </c>
      <c r="G6800">
        <v>206</v>
      </c>
      <c r="H6800" t="s">
        <v>10</v>
      </c>
      <c r="I6800">
        <v>2</v>
      </c>
      <c r="J6800" t="s">
        <v>40</v>
      </c>
    </row>
    <row r="6801" spans="1:10" x14ac:dyDescent="0.25">
      <c r="A6801" t="s">
        <v>145</v>
      </c>
      <c r="B6801">
        <f>65090.2343613117*(1/100/100)</f>
        <v>6.5090234361311703</v>
      </c>
      <c r="C6801">
        <v>73002</v>
      </c>
      <c r="D6801" t="s">
        <v>2576</v>
      </c>
      <c r="E6801">
        <v>20619</v>
      </c>
      <c r="F6801" t="s">
        <v>396</v>
      </c>
      <c r="G6801">
        <v>206</v>
      </c>
      <c r="H6801" t="s">
        <v>10</v>
      </c>
      <c r="I6801">
        <v>2</v>
      </c>
      <c r="J6801" t="s">
        <v>40</v>
      </c>
    </row>
    <row r="6802" spans="1:10" x14ac:dyDescent="0.25">
      <c r="A6802" t="s">
        <v>145</v>
      </c>
      <c r="B6802">
        <f>83825.7396968153*(1/100/100)</f>
        <v>8.3825739696815305</v>
      </c>
      <c r="C6802">
        <v>73003</v>
      </c>
      <c r="D6802" t="s">
        <v>2615</v>
      </c>
      <c r="E6802">
        <v>20642</v>
      </c>
      <c r="F6802" t="s">
        <v>412</v>
      </c>
      <c r="G6802">
        <v>206</v>
      </c>
      <c r="H6802" t="s">
        <v>10</v>
      </c>
      <c r="I6802">
        <v>2</v>
      </c>
      <c r="J6802" t="s">
        <v>40</v>
      </c>
    </row>
    <row r="6803" spans="1:10" x14ac:dyDescent="0.25">
      <c r="A6803" t="s">
        <v>145</v>
      </c>
      <c r="B6803">
        <f>158762.022143977*(1/100/100)</f>
        <v>15.876202214397701</v>
      </c>
      <c r="C6803">
        <v>73004</v>
      </c>
      <c r="D6803" t="s">
        <v>58</v>
      </c>
      <c r="E6803">
        <v>20608</v>
      </c>
      <c r="F6803" t="s">
        <v>389</v>
      </c>
      <c r="G6803">
        <v>206</v>
      </c>
      <c r="H6803" t="s">
        <v>10</v>
      </c>
      <c r="I6803">
        <v>2</v>
      </c>
      <c r="J6803" t="s">
        <v>40</v>
      </c>
    </row>
    <row r="6804" spans="1:10" x14ac:dyDescent="0.25">
      <c r="A6804" t="s">
        <v>145</v>
      </c>
      <c r="B6804">
        <f>70988.7791261924*(1/100/100)</f>
        <v>7.0988779126192405</v>
      </c>
      <c r="C6804">
        <v>73005</v>
      </c>
      <c r="D6804" t="s">
        <v>2616</v>
      </c>
      <c r="E6804">
        <v>20642</v>
      </c>
      <c r="F6804" t="s">
        <v>412</v>
      </c>
      <c r="G6804">
        <v>206</v>
      </c>
      <c r="H6804" t="s">
        <v>10</v>
      </c>
      <c r="I6804">
        <v>2</v>
      </c>
      <c r="J6804" t="s">
        <v>40</v>
      </c>
    </row>
    <row r="6805" spans="1:10" x14ac:dyDescent="0.25">
      <c r="A6805" t="s">
        <v>145</v>
      </c>
      <c r="B6805">
        <f>50077.9901577542*(1/100/100)</f>
        <v>5.0077990157754195</v>
      </c>
      <c r="C6805">
        <v>73006</v>
      </c>
      <c r="D6805" t="s">
        <v>2563</v>
      </c>
      <c r="E6805">
        <v>20608</v>
      </c>
      <c r="F6805" t="s">
        <v>389</v>
      </c>
      <c r="G6805">
        <v>206</v>
      </c>
      <c r="H6805" t="s">
        <v>10</v>
      </c>
      <c r="I6805">
        <v>2</v>
      </c>
      <c r="J6805" t="s">
        <v>40</v>
      </c>
    </row>
    <row r="6806" spans="1:10" x14ac:dyDescent="0.25">
      <c r="A6806" t="s">
        <v>145</v>
      </c>
      <c r="B6806">
        <f>36596.1846150751*(1/100/100)</f>
        <v>3.6596184615075105</v>
      </c>
      <c r="C6806">
        <v>73007</v>
      </c>
      <c r="D6806" t="s">
        <v>105</v>
      </c>
      <c r="E6806">
        <v>20642</v>
      </c>
      <c r="F6806" t="s">
        <v>412</v>
      </c>
      <c r="G6806">
        <v>206</v>
      </c>
      <c r="H6806" t="s">
        <v>10</v>
      </c>
      <c r="I6806">
        <v>2</v>
      </c>
      <c r="J6806" t="s">
        <v>40</v>
      </c>
    </row>
    <row r="6807" spans="1:10" x14ac:dyDescent="0.25">
      <c r="A6807" t="s">
        <v>145</v>
      </c>
      <c r="B6807">
        <f>131728.587412993*(1/100/100)</f>
        <v>13.172858741299299</v>
      </c>
      <c r="C6807">
        <v>73008</v>
      </c>
      <c r="D6807" t="s">
        <v>396</v>
      </c>
      <c r="E6807">
        <v>20619</v>
      </c>
      <c r="F6807" t="s">
        <v>396</v>
      </c>
      <c r="G6807">
        <v>206</v>
      </c>
      <c r="H6807" t="s">
        <v>10</v>
      </c>
      <c r="I6807">
        <v>2</v>
      </c>
      <c r="J6807" t="s">
        <v>40</v>
      </c>
    </row>
    <row r="6808" spans="1:10" x14ac:dyDescent="0.25">
      <c r="A6808" t="s">
        <v>145</v>
      </c>
      <c r="B6808">
        <f>24115.6675722128*(1/100/100)</f>
        <v>2.41156675722128</v>
      </c>
      <c r="C6808">
        <v>73009</v>
      </c>
      <c r="D6808" t="s">
        <v>2577</v>
      </c>
      <c r="E6808">
        <v>20619</v>
      </c>
      <c r="F6808" t="s">
        <v>396</v>
      </c>
      <c r="G6808">
        <v>206</v>
      </c>
      <c r="H6808" t="s">
        <v>10</v>
      </c>
      <c r="I6808">
        <v>2</v>
      </c>
      <c r="J6808" t="s">
        <v>40</v>
      </c>
    </row>
    <row r="6809" spans="1:10" x14ac:dyDescent="0.25">
      <c r="A6809" t="s">
        <v>145</v>
      </c>
      <c r="B6809">
        <f>28317.3528361791*(1/100/100)</f>
        <v>2.8317352836179102</v>
      </c>
      <c r="C6809">
        <v>73010</v>
      </c>
      <c r="D6809" t="s">
        <v>2617</v>
      </c>
      <c r="E6809">
        <v>20642</v>
      </c>
      <c r="F6809" t="s">
        <v>412</v>
      </c>
      <c r="G6809">
        <v>206</v>
      </c>
      <c r="H6809" t="s">
        <v>10</v>
      </c>
      <c r="I6809">
        <v>2</v>
      </c>
      <c r="J6809" t="s">
        <v>40</v>
      </c>
    </row>
    <row r="6810" spans="1:10" x14ac:dyDescent="0.25">
      <c r="A6810" t="s">
        <v>145</v>
      </c>
      <c r="B6810">
        <f>55977.5135850157*(1/100/100)</f>
        <v>5.5977513585015704</v>
      </c>
      <c r="C6810">
        <v>73011</v>
      </c>
      <c r="D6810" t="s">
        <v>2269</v>
      </c>
      <c r="E6810">
        <v>20632</v>
      </c>
      <c r="F6810" t="s">
        <v>404</v>
      </c>
      <c r="G6810">
        <v>206</v>
      </c>
      <c r="H6810" t="s">
        <v>10</v>
      </c>
      <c r="I6810">
        <v>2</v>
      </c>
      <c r="J6810" t="s">
        <v>40</v>
      </c>
    </row>
    <row r="6811" spans="1:10" x14ac:dyDescent="0.25">
      <c r="A6811" t="s">
        <v>145</v>
      </c>
      <c r="B6811">
        <f>12864.8646455917*(1/100/100)</f>
        <v>1.28648646455917</v>
      </c>
      <c r="C6811">
        <v>73012</v>
      </c>
      <c r="D6811" t="s">
        <v>2618</v>
      </c>
      <c r="E6811">
        <v>20642</v>
      </c>
      <c r="F6811" t="s">
        <v>412</v>
      </c>
      <c r="G6811">
        <v>206</v>
      </c>
      <c r="H6811" t="s">
        <v>10</v>
      </c>
      <c r="I6811">
        <v>2</v>
      </c>
      <c r="J6811" t="s">
        <v>40</v>
      </c>
    </row>
    <row r="6812" spans="1:10" x14ac:dyDescent="0.25">
      <c r="A6812" t="s">
        <v>145</v>
      </c>
      <c r="B6812">
        <f>39829.2465380359*(1/100/100)</f>
        <v>3.9829246538035901</v>
      </c>
      <c r="C6812">
        <v>73013</v>
      </c>
      <c r="D6812" t="s">
        <v>2612</v>
      </c>
      <c r="E6812">
        <v>20638</v>
      </c>
      <c r="F6812" t="s">
        <v>409</v>
      </c>
      <c r="G6812">
        <v>206</v>
      </c>
      <c r="H6812" t="s">
        <v>10</v>
      </c>
      <c r="I6812">
        <v>2</v>
      </c>
      <c r="J6812" t="s">
        <v>40</v>
      </c>
    </row>
    <row r="6813" spans="1:10" x14ac:dyDescent="0.25">
      <c r="A6813" t="s">
        <v>145</v>
      </c>
      <c r="B6813">
        <f>21902.4086282157*(1/100/100)</f>
        <v>2.1902408628215699</v>
      </c>
      <c r="C6813">
        <v>73014</v>
      </c>
      <c r="D6813" t="s">
        <v>2619</v>
      </c>
      <c r="E6813">
        <v>20642</v>
      </c>
      <c r="F6813" t="s">
        <v>412</v>
      </c>
      <c r="G6813">
        <v>206</v>
      </c>
      <c r="H6813" t="s">
        <v>10</v>
      </c>
      <c r="I6813">
        <v>2</v>
      </c>
      <c r="J6813" t="s">
        <v>40</v>
      </c>
    </row>
    <row r="6814" spans="1:10" x14ac:dyDescent="0.25">
      <c r="A6814" t="s">
        <v>145</v>
      </c>
      <c r="B6814">
        <f>122579.024256843*(1/100/100)</f>
        <v>12.2579024256843</v>
      </c>
      <c r="C6814">
        <v>73015</v>
      </c>
      <c r="D6814" t="s">
        <v>2594</v>
      </c>
      <c r="E6814">
        <v>20632</v>
      </c>
      <c r="F6814" t="s">
        <v>404</v>
      </c>
      <c r="G6814">
        <v>206</v>
      </c>
      <c r="H6814" t="s">
        <v>10</v>
      </c>
      <c r="I6814">
        <v>2</v>
      </c>
      <c r="J6814" t="s">
        <v>40</v>
      </c>
    </row>
    <row r="6815" spans="1:10" x14ac:dyDescent="0.25">
      <c r="A6815" t="s">
        <v>145</v>
      </c>
      <c r="B6815">
        <f>20416.3406697477*(1/100/100)</f>
        <v>2.0416340669747703</v>
      </c>
      <c r="C6815">
        <v>73016</v>
      </c>
      <c r="D6815" t="s">
        <v>2397</v>
      </c>
      <c r="E6815">
        <v>20642</v>
      </c>
      <c r="F6815" t="s">
        <v>412</v>
      </c>
      <c r="G6815">
        <v>206</v>
      </c>
      <c r="H6815" t="s">
        <v>10</v>
      </c>
      <c r="I6815">
        <v>2</v>
      </c>
      <c r="J6815" t="s">
        <v>40</v>
      </c>
    </row>
    <row r="6816" spans="1:10" x14ac:dyDescent="0.25">
      <c r="A6816" t="s">
        <v>145</v>
      </c>
      <c r="B6816">
        <f>67475.9589552923*(1/100/100)</f>
        <v>6.7475958955292299</v>
      </c>
      <c r="C6816">
        <v>73017</v>
      </c>
      <c r="D6816" t="s">
        <v>2595</v>
      </c>
      <c r="E6816">
        <v>20632</v>
      </c>
      <c r="F6816" t="s">
        <v>404</v>
      </c>
      <c r="G6816">
        <v>206</v>
      </c>
      <c r="H6816" t="s">
        <v>10</v>
      </c>
      <c r="I6816">
        <v>2</v>
      </c>
      <c r="J6816" t="s">
        <v>40</v>
      </c>
    </row>
    <row r="6817" spans="1:10" x14ac:dyDescent="0.25">
      <c r="A6817" t="s">
        <v>145</v>
      </c>
      <c r="B6817">
        <f>58482.7218567062*(1/100/100)</f>
        <v>5.8482721856706208</v>
      </c>
      <c r="C6817">
        <v>73018</v>
      </c>
      <c r="D6817" t="s">
        <v>409</v>
      </c>
      <c r="E6817">
        <v>20638</v>
      </c>
      <c r="F6817" t="s">
        <v>409</v>
      </c>
      <c r="G6817">
        <v>206</v>
      </c>
      <c r="H6817" t="s">
        <v>10</v>
      </c>
      <c r="I6817">
        <v>2</v>
      </c>
      <c r="J6817" t="s">
        <v>40</v>
      </c>
    </row>
    <row r="6818" spans="1:10" x14ac:dyDescent="0.25">
      <c r="A6818" t="s">
        <v>145</v>
      </c>
      <c r="B6818">
        <f>82850.9810305499*(1/100/100)</f>
        <v>8.2850981030549899</v>
      </c>
      <c r="C6818">
        <v>73019</v>
      </c>
      <c r="D6818" t="s">
        <v>2564</v>
      </c>
      <c r="E6818">
        <v>20608</v>
      </c>
      <c r="F6818" t="s">
        <v>389</v>
      </c>
      <c r="G6818">
        <v>206</v>
      </c>
      <c r="H6818" t="s">
        <v>10</v>
      </c>
      <c r="I6818">
        <v>2</v>
      </c>
      <c r="J6818" t="s">
        <v>40</v>
      </c>
    </row>
    <row r="6819" spans="1:10" x14ac:dyDescent="0.25">
      <c r="A6819" t="s">
        <v>145</v>
      </c>
      <c r="B6819">
        <f>97856.841551343*(1/100/100)</f>
        <v>9.7856841551342999</v>
      </c>
      <c r="C6819">
        <v>73101</v>
      </c>
      <c r="D6819" t="s">
        <v>518</v>
      </c>
      <c r="E6819">
        <v>20603</v>
      </c>
      <c r="F6819" t="s">
        <v>385</v>
      </c>
      <c r="G6819">
        <v>206</v>
      </c>
      <c r="H6819" t="s">
        <v>10</v>
      </c>
      <c r="I6819">
        <v>2</v>
      </c>
      <c r="J6819" t="s">
        <v>40</v>
      </c>
    </row>
    <row r="6820" spans="1:10" x14ac:dyDescent="0.25">
      <c r="A6820" t="s">
        <v>145</v>
      </c>
      <c r="B6820">
        <f>56284.3402823849*(1/100/100)</f>
        <v>5.6284340282384901</v>
      </c>
      <c r="C6820">
        <v>73102</v>
      </c>
      <c r="D6820" t="s">
        <v>2565</v>
      </c>
      <c r="E6820">
        <v>20609</v>
      </c>
      <c r="F6820" t="s">
        <v>390</v>
      </c>
      <c r="G6820">
        <v>206</v>
      </c>
      <c r="H6820" t="s">
        <v>10</v>
      </c>
      <c r="I6820">
        <v>2</v>
      </c>
      <c r="J6820" t="s">
        <v>40</v>
      </c>
    </row>
    <row r="6821" spans="1:10" x14ac:dyDescent="0.25">
      <c r="A6821" t="s">
        <v>145</v>
      </c>
      <c r="B6821">
        <f>74987.850766472*(1/100/100)</f>
        <v>7.4987850766471995</v>
      </c>
      <c r="C6821">
        <v>73103</v>
      </c>
      <c r="D6821" t="s">
        <v>386</v>
      </c>
      <c r="E6821">
        <v>20604</v>
      </c>
      <c r="F6821" t="s">
        <v>386</v>
      </c>
      <c r="G6821">
        <v>206</v>
      </c>
      <c r="H6821" t="s">
        <v>10</v>
      </c>
      <c r="I6821">
        <v>2</v>
      </c>
      <c r="J6821" t="s">
        <v>40</v>
      </c>
    </row>
    <row r="6822" spans="1:10" x14ac:dyDescent="0.25">
      <c r="A6822" t="s">
        <v>145</v>
      </c>
      <c r="B6822">
        <f>19353.7122237925*(1/100/100)</f>
        <v>1.9353712223792501</v>
      </c>
      <c r="C6822">
        <v>73104</v>
      </c>
      <c r="D6822" t="s">
        <v>2554</v>
      </c>
      <c r="E6822">
        <v>20604</v>
      </c>
      <c r="F6822" t="s">
        <v>386</v>
      </c>
      <c r="G6822">
        <v>206</v>
      </c>
      <c r="H6822" t="s">
        <v>10</v>
      </c>
      <c r="I6822">
        <v>2</v>
      </c>
      <c r="J6822" t="s">
        <v>40</v>
      </c>
    </row>
    <row r="6823" spans="1:10" x14ac:dyDescent="0.25">
      <c r="A6823" t="s">
        <v>145</v>
      </c>
      <c r="B6823">
        <f>46229.8802180734*(1/100/100)</f>
        <v>4.6229880218073403</v>
      </c>
      <c r="C6823">
        <v>73105</v>
      </c>
      <c r="D6823" t="s">
        <v>2555</v>
      </c>
      <c r="E6823">
        <v>20604</v>
      </c>
      <c r="F6823" t="s">
        <v>386</v>
      </c>
      <c r="G6823">
        <v>206</v>
      </c>
      <c r="H6823" t="s">
        <v>10</v>
      </c>
      <c r="I6823">
        <v>2</v>
      </c>
      <c r="J6823" t="s">
        <v>40</v>
      </c>
    </row>
    <row r="6824" spans="1:10" x14ac:dyDescent="0.25">
      <c r="A6824" t="s">
        <v>145</v>
      </c>
      <c r="B6824">
        <f>21518.1478432006*(1/100/100)</f>
        <v>2.1518147843200603</v>
      </c>
      <c r="C6824">
        <v>73106</v>
      </c>
      <c r="D6824" t="s">
        <v>2552</v>
      </c>
      <c r="E6824">
        <v>20603</v>
      </c>
      <c r="F6824" t="s">
        <v>385</v>
      </c>
      <c r="G6824">
        <v>206</v>
      </c>
      <c r="H6824" t="s">
        <v>10</v>
      </c>
      <c r="I6824">
        <v>2</v>
      </c>
      <c r="J6824" t="s">
        <v>40</v>
      </c>
    </row>
    <row r="6825" spans="1:10" x14ac:dyDescent="0.25">
      <c r="A6825" t="s">
        <v>145</v>
      </c>
      <c r="B6825">
        <f>39598.9346756516*(1/100/100)</f>
        <v>3.9598934675651605</v>
      </c>
      <c r="C6825">
        <v>73107</v>
      </c>
      <c r="D6825" t="s">
        <v>2608</v>
      </c>
      <c r="E6825">
        <v>20637</v>
      </c>
      <c r="F6825" t="s">
        <v>408</v>
      </c>
      <c r="G6825">
        <v>206</v>
      </c>
      <c r="H6825" t="s">
        <v>10</v>
      </c>
      <c r="I6825">
        <v>2</v>
      </c>
      <c r="J6825" t="s">
        <v>40</v>
      </c>
    </row>
    <row r="6826" spans="1:10" x14ac:dyDescent="0.25">
      <c r="A6826" t="s">
        <v>145</v>
      </c>
      <c r="B6826">
        <f>43138.5769072444*(1/100/100)</f>
        <v>4.3138576907244408</v>
      </c>
      <c r="C6826">
        <v>73108</v>
      </c>
      <c r="D6826" t="s">
        <v>2583</v>
      </c>
      <c r="E6826">
        <v>20625</v>
      </c>
      <c r="F6826" t="s">
        <v>400</v>
      </c>
      <c r="G6826">
        <v>206</v>
      </c>
      <c r="H6826" t="s">
        <v>10</v>
      </c>
      <c r="I6826">
        <v>2</v>
      </c>
      <c r="J6826" t="s">
        <v>40</v>
      </c>
    </row>
    <row r="6827" spans="1:10" x14ac:dyDescent="0.25">
      <c r="A6827" t="s">
        <v>145</v>
      </c>
      <c r="B6827">
        <f>53727.8777926032*(1/100/100)</f>
        <v>5.37278777926032</v>
      </c>
      <c r="C6827">
        <v>73109</v>
      </c>
      <c r="D6827" t="s">
        <v>2609</v>
      </c>
      <c r="E6827">
        <v>20637</v>
      </c>
      <c r="F6827" t="s">
        <v>408</v>
      </c>
      <c r="G6827">
        <v>206</v>
      </c>
      <c r="H6827" t="s">
        <v>10</v>
      </c>
      <c r="I6827">
        <v>2</v>
      </c>
      <c r="J6827" t="s">
        <v>40</v>
      </c>
    </row>
    <row r="6828" spans="1:10" x14ac:dyDescent="0.25">
      <c r="A6828" t="s">
        <v>145</v>
      </c>
      <c r="B6828">
        <f>26056.4900850061*(1/100/100)</f>
        <v>2.6056490085006101</v>
      </c>
      <c r="C6828">
        <v>73110</v>
      </c>
      <c r="D6828" t="s">
        <v>2553</v>
      </c>
      <c r="E6828">
        <v>20603</v>
      </c>
      <c r="F6828" t="s">
        <v>385</v>
      </c>
      <c r="G6828">
        <v>206</v>
      </c>
      <c r="H6828" t="s">
        <v>10</v>
      </c>
      <c r="I6828">
        <v>2</v>
      </c>
      <c r="J6828" t="s">
        <v>40</v>
      </c>
    </row>
    <row r="6829" spans="1:10" x14ac:dyDescent="0.25">
      <c r="A6829" t="s">
        <v>145</v>
      </c>
      <c r="B6829">
        <f>154194.302660858*(1/100/100)</f>
        <v>15.419430266085801</v>
      </c>
      <c r="C6829">
        <v>73111</v>
      </c>
      <c r="D6829" t="s">
        <v>390</v>
      </c>
      <c r="E6829">
        <v>20609</v>
      </c>
      <c r="F6829" t="s">
        <v>390</v>
      </c>
      <c r="G6829">
        <v>206</v>
      </c>
      <c r="H6829" t="s">
        <v>10</v>
      </c>
      <c r="I6829">
        <v>2</v>
      </c>
      <c r="J6829" t="s">
        <v>40</v>
      </c>
    </row>
    <row r="6830" spans="1:10" x14ac:dyDescent="0.25">
      <c r="A6830" t="s">
        <v>145</v>
      </c>
      <c r="B6830">
        <f>68100.0386808625*(1/100/100)</f>
        <v>6.8100038680862509</v>
      </c>
      <c r="C6830">
        <v>73112</v>
      </c>
      <c r="D6830" t="s">
        <v>392</v>
      </c>
      <c r="E6830">
        <v>20611</v>
      </c>
      <c r="F6830" t="s">
        <v>392</v>
      </c>
      <c r="G6830">
        <v>206</v>
      </c>
      <c r="H6830" t="s">
        <v>10</v>
      </c>
      <c r="I6830">
        <v>2</v>
      </c>
      <c r="J6830" t="s">
        <v>40</v>
      </c>
    </row>
    <row r="6831" spans="1:10" x14ac:dyDescent="0.25">
      <c r="A6831" t="s">
        <v>145</v>
      </c>
      <c r="B6831">
        <f>29265.9608290479*(1/100/100)</f>
        <v>2.9265960829047901</v>
      </c>
      <c r="C6831">
        <v>73113</v>
      </c>
      <c r="D6831" t="s">
        <v>2566</v>
      </c>
      <c r="E6831">
        <v>20609</v>
      </c>
      <c r="F6831" t="s">
        <v>390</v>
      </c>
      <c r="G6831">
        <v>206</v>
      </c>
      <c r="H6831" t="s">
        <v>10</v>
      </c>
      <c r="I6831">
        <v>2</v>
      </c>
      <c r="J6831" t="s">
        <v>40</v>
      </c>
    </row>
    <row r="6832" spans="1:10" x14ac:dyDescent="0.25">
      <c r="A6832" t="s">
        <v>145</v>
      </c>
      <c r="B6832">
        <f>26041.5869011833*(1/100/100)</f>
        <v>2.60415869011833</v>
      </c>
      <c r="C6832">
        <v>73114</v>
      </c>
      <c r="D6832" t="s">
        <v>2556</v>
      </c>
      <c r="E6832">
        <v>20604</v>
      </c>
      <c r="F6832" t="s">
        <v>386</v>
      </c>
      <c r="G6832">
        <v>206</v>
      </c>
      <c r="H6832" t="s">
        <v>10</v>
      </c>
      <c r="I6832">
        <v>2</v>
      </c>
      <c r="J6832" t="s">
        <v>40</v>
      </c>
    </row>
    <row r="6833" spans="1:10" x14ac:dyDescent="0.25">
      <c r="A6833" t="s">
        <v>145</v>
      </c>
      <c r="B6833">
        <f>71048.6488881881*(1/100/100)</f>
        <v>7.1048648888188097</v>
      </c>
      <c r="C6833">
        <v>73115</v>
      </c>
      <c r="D6833" t="s">
        <v>400</v>
      </c>
      <c r="E6833">
        <v>20625</v>
      </c>
      <c r="F6833" t="s">
        <v>400</v>
      </c>
      <c r="G6833">
        <v>206</v>
      </c>
      <c r="H6833" t="s">
        <v>10</v>
      </c>
      <c r="I6833">
        <v>2</v>
      </c>
      <c r="J6833" t="s">
        <v>40</v>
      </c>
    </row>
    <row r="6834" spans="1:10" x14ac:dyDescent="0.25">
      <c r="A6834" t="s">
        <v>145</v>
      </c>
      <c r="B6834">
        <f>25550.8133796288*(1/100/100)</f>
        <v>2.5550813379628798</v>
      </c>
      <c r="C6834">
        <v>73116</v>
      </c>
      <c r="D6834" t="s">
        <v>2610</v>
      </c>
      <c r="E6834">
        <v>20637</v>
      </c>
      <c r="F6834" t="s">
        <v>408</v>
      </c>
      <c r="G6834">
        <v>206</v>
      </c>
      <c r="H6834" t="s">
        <v>10</v>
      </c>
      <c r="I6834">
        <v>2</v>
      </c>
      <c r="J6834" t="s">
        <v>40</v>
      </c>
    </row>
    <row r="6835" spans="1:10" x14ac:dyDescent="0.25">
      <c r="A6835" t="s">
        <v>145</v>
      </c>
      <c r="B6835">
        <f>50652.6709898429*(1/100/100)</f>
        <v>5.0652670989842905</v>
      </c>
      <c r="C6835">
        <v>73117</v>
      </c>
      <c r="D6835" t="s">
        <v>2570</v>
      </c>
      <c r="E6835">
        <v>20611</v>
      </c>
      <c r="F6835" t="s">
        <v>392</v>
      </c>
      <c r="G6835">
        <v>206</v>
      </c>
      <c r="H6835" t="s">
        <v>10</v>
      </c>
      <c r="I6835">
        <v>2</v>
      </c>
      <c r="J6835" t="s">
        <v>40</v>
      </c>
    </row>
    <row r="6836" spans="1:10" x14ac:dyDescent="0.25">
      <c r="A6836" t="s">
        <v>145</v>
      </c>
      <c r="B6836">
        <f>16406.2316422797*(1/100/100)</f>
        <v>1.6406231642279703</v>
      </c>
      <c r="C6836">
        <v>73118</v>
      </c>
      <c r="D6836" t="s">
        <v>2373</v>
      </c>
      <c r="E6836">
        <v>20637</v>
      </c>
      <c r="F6836" t="s">
        <v>408</v>
      </c>
      <c r="G6836">
        <v>206</v>
      </c>
      <c r="H6836" t="s">
        <v>10</v>
      </c>
      <c r="I6836">
        <v>2</v>
      </c>
      <c r="J6836" t="s">
        <v>40</v>
      </c>
    </row>
    <row r="6837" spans="1:10" x14ac:dyDescent="0.25">
      <c r="A6837" t="s">
        <v>145</v>
      </c>
      <c r="B6837">
        <f>62098.0345881379*(1/100/100)</f>
        <v>6.2098034588137905</v>
      </c>
      <c r="C6837">
        <v>73119</v>
      </c>
      <c r="D6837" t="s">
        <v>2571</v>
      </c>
      <c r="E6837">
        <v>20611</v>
      </c>
      <c r="F6837" t="s">
        <v>392</v>
      </c>
      <c r="G6837">
        <v>206</v>
      </c>
      <c r="H6837" t="s">
        <v>10</v>
      </c>
      <c r="I6837">
        <v>2</v>
      </c>
      <c r="J6837" t="s">
        <v>40</v>
      </c>
    </row>
    <row r="6838" spans="1:10" x14ac:dyDescent="0.25">
      <c r="A6838" t="s">
        <v>145</v>
      </c>
      <c r="B6838">
        <f>19125.2450643257*(1/100/100)</f>
        <v>1.91252450643257</v>
      </c>
      <c r="C6838">
        <v>73120</v>
      </c>
      <c r="D6838" t="s">
        <v>2316</v>
      </c>
      <c r="E6838">
        <v>20604</v>
      </c>
      <c r="F6838" t="s">
        <v>386</v>
      </c>
      <c r="G6838">
        <v>206</v>
      </c>
      <c r="H6838" t="s">
        <v>10</v>
      </c>
      <c r="I6838">
        <v>2</v>
      </c>
      <c r="J6838" t="s">
        <v>40</v>
      </c>
    </row>
    <row r="6839" spans="1:10" x14ac:dyDescent="0.25">
      <c r="A6839" t="s">
        <v>145</v>
      </c>
      <c r="B6839">
        <f>93995.1764191123*(1/100/100)</f>
        <v>9.3995176419112294</v>
      </c>
      <c r="C6839">
        <v>73121</v>
      </c>
      <c r="D6839" t="s">
        <v>408</v>
      </c>
      <c r="E6839">
        <v>20637</v>
      </c>
      <c r="F6839" t="s">
        <v>408</v>
      </c>
      <c r="G6839">
        <v>206</v>
      </c>
      <c r="H6839" t="s">
        <v>10</v>
      </c>
      <c r="I6839">
        <v>2</v>
      </c>
      <c r="J6839" t="s">
        <v>40</v>
      </c>
    </row>
    <row r="6840" spans="1:10" x14ac:dyDescent="0.25">
      <c r="A6840" t="s">
        <v>145</v>
      </c>
      <c r="B6840">
        <f>139488.784986179*(1/100/100)</f>
        <v>13.948878498617901</v>
      </c>
      <c r="C6840">
        <v>73122</v>
      </c>
      <c r="D6840" t="s">
        <v>2613</v>
      </c>
      <c r="E6840">
        <v>20639</v>
      </c>
      <c r="F6840" t="s">
        <v>410</v>
      </c>
      <c r="G6840">
        <v>206</v>
      </c>
      <c r="H6840" t="s">
        <v>10</v>
      </c>
      <c r="I6840">
        <v>2</v>
      </c>
      <c r="J6840" t="s">
        <v>40</v>
      </c>
    </row>
    <row r="6841" spans="1:10" x14ac:dyDescent="0.25">
      <c r="A6841" t="s">
        <v>145</v>
      </c>
      <c r="B6841">
        <f>35983.2949511755*(1/100/100)</f>
        <v>3.5983294951175502</v>
      </c>
      <c r="C6841">
        <v>73123</v>
      </c>
      <c r="D6841" t="s">
        <v>2584</v>
      </c>
      <c r="E6841">
        <v>20625</v>
      </c>
      <c r="F6841" t="s">
        <v>400</v>
      </c>
      <c r="G6841">
        <v>206</v>
      </c>
      <c r="H6841" t="s">
        <v>10</v>
      </c>
      <c r="I6841">
        <v>2</v>
      </c>
      <c r="J6841" t="s">
        <v>40</v>
      </c>
    </row>
    <row r="6842" spans="1:10" x14ac:dyDescent="0.25">
      <c r="A6842" t="s">
        <v>145</v>
      </c>
      <c r="B6842">
        <f>159853.447914257*(1/100/100)</f>
        <v>15.985344791425701</v>
      </c>
      <c r="C6842">
        <v>73201</v>
      </c>
      <c r="D6842" t="s">
        <v>2588</v>
      </c>
      <c r="E6842">
        <v>20630</v>
      </c>
      <c r="F6842" t="s">
        <v>402</v>
      </c>
      <c r="G6842">
        <v>206</v>
      </c>
      <c r="H6842" t="s">
        <v>10</v>
      </c>
      <c r="I6842">
        <v>2</v>
      </c>
      <c r="J6842" t="s">
        <v>40</v>
      </c>
    </row>
    <row r="6843" spans="1:10" x14ac:dyDescent="0.25">
      <c r="A6843" t="s">
        <v>145</v>
      </c>
      <c r="B6843">
        <f>57627.446664175*(1/100/100)</f>
        <v>5.7627446664175004</v>
      </c>
      <c r="C6843">
        <v>73203</v>
      </c>
      <c r="D6843" t="s">
        <v>2589</v>
      </c>
      <c r="E6843">
        <v>20630</v>
      </c>
      <c r="F6843" t="s">
        <v>402</v>
      </c>
      <c r="G6843">
        <v>206</v>
      </c>
      <c r="H6843" t="s">
        <v>10</v>
      </c>
      <c r="I6843">
        <v>2</v>
      </c>
      <c r="J6843" t="s">
        <v>40</v>
      </c>
    </row>
    <row r="6844" spans="1:10" x14ac:dyDescent="0.25">
      <c r="A6844" t="s">
        <v>145</v>
      </c>
      <c r="B6844">
        <f>168287.034791128*(1/100/100)</f>
        <v>16.828703479112804</v>
      </c>
      <c r="C6844">
        <v>73204</v>
      </c>
      <c r="D6844" t="s">
        <v>2549</v>
      </c>
      <c r="E6844">
        <v>20601</v>
      </c>
      <c r="F6844" t="s">
        <v>383</v>
      </c>
      <c r="G6844">
        <v>206</v>
      </c>
      <c r="H6844" t="s">
        <v>10</v>
      </c>
      <c r="I6844">
        <v>2</v>
      </c>
      <c r="J6844" t="s">
        <v>40</v>
      </c>
    </row>
    <row r="6845" spans="1:10" x14ac:dyDescent="0.25">
      <c r="A6845" t="s">
        <v>145</v>
      </c>
      <c r="B6845">
        <f>64118.4303218153*(1/100/100)</f>
        <v>6.4118430321815305</v>
      </c>
      <c r="C6845">
        <v>73205</v>
      </c>
      <c r="D6845" t="s">
        <v>2578</v>
      </c>
      <c r="E6845">
        <v>20620</v>
      </c>
      <c r="F6845" t="s">
        <v>2579</v>
      </c>
      <c r="G6845">
        <v>206</v>
      </c>
      <c r="H6845" t="s">
        <v>10</v>
      </c>
      <c r="I6845">
        <v>2</v>
      </c>
      <c r="J6845" t="s">
        <v>40</v>
      </c>
    </row>
    <row r="6846" spans="1:10" x14ac:dyDescent="0.25">
      <c r="A6846" t="s">
        <v>145</v>
      </c>
      <c r="B6846">
        <f>31739.7730086695*(1/100/100)</f>
        <v>3.1739773008669503</v>
      </c>
      <c r="C6846">
        <v>73206</v>
      </c>
      <c r="D6846" t="s">
        <v>2590</v>
      </c>
      <c r="E6846">
        <v>20630</v>
      </c>
      <c r="F6846" t="s">
        <v>402</v>
      </c>
      <c r="G6846">
        <v>206</v>
      </c>
      <c r="H6846" t="s">
        <v>10</v>
      </c>
      <c r="I6846">
        <v>2</v>
      </c>
      <c r="J6846" t="s">
        <v>40</v>
      </c>
    </row>
    <row r="6847" spans="1:10" x14ac:dyDescent="0.25">
      <c r="A6847" t="s">
        <v>145</v>
      </c>
      <c r="B6847">
        <f>89368.0349792951*(1/100/100)</f>
        <v>8.9368034979295103</v>
      </c>
      <c r="C6847">
        <v>73207</v>
      </c>
      <c r="D6847" t="s">
        <v>2597</v>
      </c>
      <c r="E6847">
        <v>20634</v>
      </c>
      <c r="F6847" t="s">
        <v>406</v>
      </c>
      <c r="G6847">
        <v>206</v>
      </c>
      <c r="H6847" t="s">
        <v>10</v>
      </c>
      <c r="I6847">
        <v>2</v>
      </c>
      <c r="J6847" t="s">
        <v>40</v>
      </c>
    </row>
    <row r="6848" spans="1:10" x14ac:dyDescent="0.25">
      <c r="A6848" t="s">
        <v>145</v>
      </c>
      <c r="B6848">
        <f>79817.9302168438*(1/100/100)</f>
        <v>7.9817930216843802</v>
      </c>
      <c r="C6848">
        <v>73208</v>
      </c>
      <c r="D6848" t="s">
        <v>2580</v>
      </c>
      <c r="E6848">
        <v>20620</v>
      </c>
      <c r="F6848" t="s">
        <v>2579</v>
      </c>
      <c r="G6848">
        <v>206</v>
      </c>
      <c r="H6848" t="s">
        <v>10</v>
      </c>
      <c r="I6848">
        <v>2</v>
      </c>
      <c r="J6848" t="s">
        <v>40</v>
      </c>
    </row>
    <row r="6849" spans="1:10" x14ac:dyDescent="0.25">
      <c r="A6849" t="s">
        <v>145</v>
      </c>
      <c r="B6849">
        <f>149227.33384115*(1/100/100)</f>
        <v>14.922733384114999</v>
      </c>
      <c r="C6849">
        <v>73209</v>
      </c>
      <c r="D6849" t="s">
        <v>397</v>
      </c>
      <c r="E6849">
        <v>20620</v>
      </c>
      <c r="F6849" t="s">
        <v>2579</v>
      </c>
      <c r="G6849">
        <v>206</v>
      </c>
      <c r="H6849" t="s">
        <v>10</v>
      </c>
      <c r="I6849">
        <v>2</v>
      </c>
      <c r="J6849" t="s">
        <v>40</v>
      </c>
    </row>
    <row r="6850" spans="1:10" x14ac:dyDescent="0.25">
      <c r="A6850" t="s">
        <v>145</v>
      </c>
      <c r="B6850">
        <f>86913.9767117078*(1/100/100)</f>
        <v>8.6913976711707797</v>
      </c>
      <c r="C6850">
        <v>73210</v>
      </c>
      <c r="D6850" t="s">
        <v>2581</v>
      </c>
      <c r="E6850">
        <v>20620</v>
      </c>
      <c r="F6850" t="s">
        <v>2579</v>
      </c>
      <c r="G6850">
        <v>206</v>
      </c>
      <c r="H6850" t="s">
        <v>10</v>
      </c>
      <c r="I6850">
        <v>2</v>
      </c>
      <c r="J6850" t="s">
        <v>40</v>
      </c>
    </row>
    <row r="6851" spans="1:10" x14ac:dyDescent="0.25">
      <c r="A6851" t="s">
        <v>145</v>
      </c>
      <c r="B6851">
        <f>219903.554509151*(1/100/100)</f>
        <v>21.9903554509151</v>
      </c>
      <c r="C6851">
        <v>73211</v>
      </c>
      <c r="D6851" t="s">
        <v>402</v>
      </c>
      <c r="E6851">
        <v>20630</v>
      </c>
      <c r="F6851" t="s">
        <v>402</v>
      </c>
      <c r="G6851">
        <v>206</v>
      </c>
      <c r="H6851" t="s">
        <v>10</v>
      </c>
      <c r="I6851">
        <v>2</v>
      </c>
      <c r="J6851" t="s">
        <v>40</v>
      </c>
    </row>
    <row r="6852" spans="1:10" x14ac:dyDescent="0.25">
      <c r="A6852" t="s">
        <v>145</v>
      </c>
      <c r="B6852">
        <f>295883.64299237*(1/100/100)</f>
        <v>29.588364299237004</v>
      </c>
      <c r="C6852">
        <v>73212</v>
      </c>
      <c r="D6852" t="s">
        <v>2598</v>
      </c>
      <c r="E6852">
        <v>20634</v>
      </c>
      <c r="F6852" t="s">
        <v>406</v>
      </c>
      <c r="G6852">
        <v>206</v>
      </c>
      <c r="H6852" t="s">
        <v>10</v>
      </c>
      <c r="I6852">
        <v>2</v>
      </c>
      <c r="J6852" t="s">
        <v>40</v>
      </c>
    </row>
    <row r="6853" spans="1:10" x14ac:dyDescent="0.25">
      <c r="A6853" t="s">
        <v>145</v>
      </c>
      <c r="B6853">
        <f>69370.0904954411*(1/100/100)</f>
        <v>6.9370090495441099</v>
      </c>
      <c r="C6853">
        <v>73213</v>
      </c>
      <c r="D6853" t="s">
        <v>2468</v>
      </c>
      <c r="E6853">
        <v>20601</v>
      </c>
      <c r="F6853" t="s">
        <v>383</v>
      </c>
      <c r="G6853">
        <v>206</v>
      </c>
      <c r="H6853" t="s">
        <v>10</v>
      </c>
      <c r="I6853">
        <v>2</v>
      </c>
      <c r="J6853" t="s">
        <v>40</v>
      </c>
    </row>
    <row r="6854" spans="1:10" x14ac:dyDescent="0.25">
      <c r="A6854" t="s">
        <v>145</v>
      </c>
      <c r="B6854">
        <f>59483.296218445*(1/100/100)</f>
        <v>5.9483296218445005</v>
      </c>
      <c r="C6854">
        <v>73214</v>
      </c>
      <c r="D6854" t="s">
        <v>2591</v>
      </c>
      <c r="E6854">
        <v>20630</v>
      </c>
      <c r="F6854" t="s">
        <v>402</v>
      </c>
      <c r="G6854">
        <v>206</v>
      </c>
      <c r="H6854" t="s">
        <v>10</v>
      </c>
      <c r="I6854">
        <v>2</v>
      </c>
      <c r="J6854" t="s">
        <v>40</v>
      </c>
    </row>
    <row r="6855" spans="1:10" x14ac:dyDescent="0.25">
      <c r="A6855" t="s">
        <v>145</v>
      </c>
      <c r="B6855">
        <f>105385.928441829*(1/100/100)</f>
        <v>10.538592844182901</v>
      </c>
      <c r="C6855">
        <v>73215</v>
      </c>
      <c r="D6855" t="s">
        <v>2599</v>
      </c>
      <c r="E6855">
        <v>20634</v>
      </c>
      <c r="F6855" t="s">
        <v>406</v>
      </c>
      <c r="G6855">
        <v>206</v>
      </c>
      <c r="H6855" t="s">
        <v>10</v>
      </c>
      <c r="I6855">
        <v>2</v>
      </c>
      <c r="J6855" t="s">
        <v>40</v>
      </c>
    </row>
    <row r="6856" spans="1:10" x14ac:dyDescent="0.25">
      <c r="A6856" t="s">
        <v>145</v>
      </c>
      <c r="B6856">
        <f>47249.1961284185*(1/100/100)</f>
        <v>4.72491961284185</v>
      </c>
      <c r="C6856">
        <v>73216</v>
      </c>
      <c r="D6856" t="s">
        <v>1463</v>
      </c>
      <c r="E6856">
        <v>20630</v>
      </c>
      <c r="F6856" t="s">
        <v>402</v>
      </c>
      <c r="G6856">
        <v>206</v>
      </c>
      <c r="H6856" t="s">
        <v>10</v>
      </c>
      <c r="I6856">
        <v>2</v>
      </c>
      <c r="J6856" t="s">
        <v>40</v>
      </c>
    </row>
    <row r="6857" spans="1:10" x14ac:dyDescent="0.25">
      <c r="A6857" t="s">
        <v>145</v>
      </c>
      <c r="B6857">
        <f>60792.626983006*(1/100/100)</f>
        <v>6.0792626983006004</v>
      </c>
      <c r="C6857">
        <v>73217</v>
      </c>
      <c r="D6857" t="s">
        <v>2550</v>
      </c>
      <c r="E6857">
        <v>20601</v>
      </c>
      <c r="F6857" t="s">
        <v>383</v>
      </c>
      <c r="G6857">
        <v>206</v>
      </c>
      <c r="H6857" t="s">
        <v>10</v>
      </c>
      <c r="I6857">
        <v>2</v>
      </c>
      <c r="J6857" t="s">
        <v>40</v>
      </c>
    </row>
    <row r="6858" spans="1:10" x14ac:dyDescent="0.25">
      <c r="A6858" t="s">
        <v>145</v>
      </c>
      <c r="B6858">
        <f>141946.466946077*(1/100/100)</f>
        <v>14.194646694607702</v>
      </c>
      <c r="C6858">
        <v>73218</v>
      </c>
      <c r="D6858" t="s">
        <v>2600</v>
      </c>
      <c r="E6858">
        <v>20634</v>
      </c>
      <c r="F6858" t="s">
        <v>406</v>
      </c>
      <c r="G6858">
        <v>206</v>
      </c>
      <c r="H6858" t="s">
        <v>10</v>
      </c>
      <c r="I6858">
        <v>2</v>
      </c>
      <c r="J6858" t="s">
        <v>40</v>
      </c>
    </row>
    <row r="6859" spans="1:10" x14ac:dyDescent="0.25">
      <c r="A6859" t="s">
        <v>145</v>
      </c>
      <c r="B6859">
        <f>7820.62005124813*(1/100/100)</f>
        <v>0.78206200512481305</v>
      </c>
      <c r="C6859">
        <v>73301</v>
      </c>
      <c r="D6859" t="s">
        <v>2575</v>
      </c>
      <c r="E6859">
        <v>20618</v>
      </c>
      <c r="F6859" t="s">
        <v>395</v>
      </c>
      <c r="G6859">
        <v>206</v>
      </c>
      <c r="H6859" t="s">
        <v>10</v>
      </c>
      <c r="I6859">
        <v>2</v>
      </c>
      <c r="J6859" t="s">
        <v>40</v>
      </c>
    </row>
    <row r="6860" spans="1:10" x14ac:dyDescent="0.25">
      <c r="A6860" t="s">
        <v>145</v>
      </c>
      <c r="B6860">
        <f>73194.8471114943*(1/100/100)</f>
        <v>7.3194847111494301</v>
      </c>
      <c r="C6860">
        <v>73302</v>
      </c>
      <c r="D6860" t="s">
        <v>388</v>
      </c>
      <c r="E6860">
        <v>20607</v>
      </c>
      <c r="F6860" t="s">
        <v>388</v>
      </c>
      <c r="G6860">
        <v>206</v>
      </c>
      <c r="H6860" t="s">
        <v>10</v>
      </c>
      <c r="I6860">
        <v>2</v>
      </c>
      <c r="J6860" t="s">
        <v>40</v>
      </c>
    </row>
    <row r="6861" spans="1:10" x14ac:dyDescent="0.25">
      <c r="A6861" t="s">
        <v>145</v>
      </c>
      <c r="B6861">
        <f>91964.0624598911*(1/100/100)</f>
        <v>9.1964062459891096</v>
      </c>
      <c r="C6861">
        <v>73303</v>
      </c>
      <c r="D6861" t="s">
        <v>2562</v>
      </c>
      <c r="E6861">
        <v>20607</v>
      </c>
      <c r="F6861" t="s">
        <v>388</v>
      </c>
      <c r="G6861">
        <v>206</v>
      </c>
      <c r="H6861" t="s">
        <v>10</v>
      </c>
      <c r="I6861">
        <v>2</v>
      </c>
      <c r="J6861" t="s">
        <v>40</v>
      </c>
    </row>
    <row r="6862" spans="1:10" x14ac:dyDescent="0.25">
      <c r="A6862" t="s">
        <v>145</v>
      </c>
      <c r="B6862">
        <f>71856.118268012*(1/100/100)</f>
        <v>7.1856118268011997</v>
      </c>
      <c r="C6862">
        <v>73304</v>
      </c>
      <c r="D6862" t="s">
        <v>2624</v>
      </c>
      <c r="E6862">
        <v>20644</v>
      </c>
      <c r="F6862" t="s">
        <v>414</v>
      </c>
      <c r="G6862">
        <v>206</v>
      </c>
      <c r="H6862" t="s">
        <v>10</v>
      </c>
      <c r="I6862">
        <v>2</v>
      </c>
      <c r="J6862" t="s">
        <v>40</v>
      </c>
    </row>
    <row r="6863" spans="1:10" x14ac:dyDescent="0.25">
      <c r="A6863" t="s">
        <v>145</v>
      </c>
      <c r="B6863">
        <f>14184.4094098368*(1/100/100)</f>
        <v>1.41844094098368</v>
      </c>
      <c r="C6863">
        <v>73305</v>
      </c>
      <c r="D6863" t="s">
        <v>2585</v>
      </c>
      <c r="E6863">
        <v>20627</v>
      </c>
      <c r="F6863" t="s">
        <v>401</v>
      </c>
      <c r="G6863">
        <v>206</v>
      </c>
      <c r="H6863" t="s">
        <v>10</v>
      </c>
      <c r="I6863">
        <v>2</v>
      </c>
      <c r="J6863" t="s">
        <v>40</v>
      </c>
    </row>
    <row r="6864" spans="1:10" x14ac:dyDescent="0.25">
      <c r="A6864" t="s">
        <v>145</v>
      </c>
      <c r="B6864">
        <f>108153.800495935*(1/100/100)</f>
        <v>10.8153800495935</v>
      </c>
      <c r="C6864">
        <v>73306</v>
      </c>
      <c r="D6864" t="s">
        <v>395</v>
      </c>
      <c r="E6864">
        <v>20618</v>
      </c>
      <c r="F6864" t="s">
        <v>395</v>
      </c>
      <c r="G6864">
        <v>206</v>
      </c>
      <c r="H6864" t="s">
        <v>10</v>
      </c>
      <c r="I6864">
        <v>2</v>
      </c>
      <c r="J6864" t="s">
        <v>40</v>
      </c>
    </row>
    <row r="6865" spans="1:10" x14ac:dyDescent="0.25">
      <c r="A6865" t="s">
        <v>145</v>
      </c>
      <c r="B6865">
        <f>90721.7270267556*(1/100/100)</f>
        <v>9.0721727026755605</v>
      </c>
      <c r="C6865">
        <v>73307</v>
      </c>
      <c r="D6865" t="s">
        <v>399</v>
      </c>
      <c r="E6865">
        <v>20624</v>
      </c>
      <c r="F6865" t="s">
        <v>399</v>
      </c>
      <c r="G6865">
        <v>206</v>
      </c>
      <c r="H6865" t="s">
        <v>10</v>
      </c>
      <c r="I6865">
        <v>2</v>
      </c>
      <c r="J6865" t="s">
        <v>40</v>
      </c>
    </row>
    <row r="6866" spans="1:10" x14ac:dyDescent="0.25">
      <c r="A6866" t="s">
        <v>145</v>
      </c>
      <c r="B6866">
        <f>149069.092171931*(1/100/100)</f>
        <v>14.906909217193101</v>
      </c>
      <c r="C6866">
        <v>73308</v>
      </c>
      <c r="D6866" t="s">
        <v>401</v>
      </c>
      <c r="E6866">
        <v>20627</v>
      </c>
      <c r="F6866" t="s">
        <v>401</v>
      </c>
      <c r="G6866">
        <v>206</v>
      </c>
      <c r="H6866" t="s">
        <v>10</v>
      </c>
      <c r="I6866">
        <v>2</v>
      </c>
      <c r="J6866" t="s">
        <v>40</v>
      </c>
    </row>
    <row r="6867" spans="1:10" x14ac:dyDescent="0.25">
      <c r="A6867" t="s">
        <v>145</v>
      </c>
      <c r="B6867">
        <f>92116.5845049109*(1/100/100)</f>
        <v>9.2116584504910914</v>
      </c>
      <c r="C6867">
        <v>73309</v>
      </c>
      <c r="D6867" t="s">
        <v>2625</v>
      </c>
      <c r="E6867">
        <v>20644</v>
      </c>
      <c r="F6867" t="s">
        <v>414</v>
      </c>
      <c r="G6867">
        <v>206</v>
      </c>
      <c r="H6867" t="s">
        <v>10</v>
      </c>
      <c r="I6867">
        <v>2</v>
      </c>
      <c r="J6867" t="s">
        <v>40</v>
      </c>
    </row>
    <row r="6868" spans="1:10" x14ac:dyDescent="0.25">
      <c r="A6868" t="s">
        <v>145</v>
      </c>
      <c r="B6868">
        <f>62324.2907394725*(1/100/100)</f>
        <v>6.2324290739472499</v>
      </c>
      <c r="C6868">
        <v>73310</v>
      </c>
      <c r="D6868" t="s">
        <v>2586</v>
      </c>
      <c r="E6868">
        <v>20627</v>
      </c>
      <c r="F6868" t="s">
        <v>401</v>
      </c>
      <c r="G6868">
        <v>206</v>
      </c>
      <c r="H6868" t="s">
        <v>10</v>
      </c>
      <c r="I6868">
        <v>2</v>
      </c>
      <c r="J6868" t="s">
        <v>40</v>
      </c>
    </row>
    <row r="6869" spans="1:10" x14ac:dyDescent="0.25">
      <c r="A6869" t="s">
        <v>145</v>
      </c>
      <c r="B6869">
        <f>49362.4383518132*(1/100/100)</f>
        <v>4.9362438351813207</v>
      </c>
      <c r="C6869">
        <v>73311</v>
      </c>
      <c r="D6869" t="s">
        <v>2587</v>
      </c>
      <c r="E6869">
        <v>20627</v>
      </c>
      <c r="F6869" t="s">
        <v>401</v>
      </c>
      <c r="G6869">
        <v>206</v>
      </c>
      <c r="H6869" t="s">
        <v>10</v>
      </c>
      <c r="I6869">
        <v>2</v>
      </c>
      <c r="J6869" t="s">
        <v>40</v>
      </c>
    </row>
    <row r="6870" spans="1:10" x14ac:dyDescent="0.25">
      <c r="A6870" t="s">
        <v>145</v>
      </c>
      <c r="B6870">
        <f>22337.0613257635*(1/100/100)</f>
        <v>2.2337061325763501</v>
      </c>
      <c r="C6870">
        <v>73312</v>
      </c>
      <c r="D6870" t="s">
        <v>2626</v>
      </c>
      <c r="E6870">
        <v>20644</v>
      </c>
      <c r="F6870" t="s">
        <v>414</v>
      </c>
      <c r="G6870">
        <v>206</v>
      </c>
      <c r="H6870" t="s">
        <v>10</v>
      </c>
      <c r="I6870">
        <v>2</v>
      </c>
      <c r="J6870" t="s">
        <v>40</v>
      </c>
    </row>
    <row r="6871" spans="1:10" x14ac:dyDescent="0.25">
      <c r="A6871" t="s">
        <v>145</v>
      </c>
      <c r="B6871">
        <f>89243.0815176255*(1/100/100)</f>
        <v>8.9243081517625509</v>
      </c>
      <c r="C6871">
        <v>73313</v>
      </c>
      <c r="D6871" t="s">
        <v>2627</v>
      </c>
      <c r="E6871">
        <v>20644</v>
      </c>
      <c r="F6871" t="s">
        <v>414</v>
      </c>
      <c r="G6871">
        <v>206</v>
      </c>
      <c r="H6871" t="s">
        <v>10</v>
      </c>
      <c r="I6871">
        <v>2</v>
      </c>
      <c r="J6871" t="s">
        <v>40</v>
      </c>
    </row>
    <row r="6872" spans="1:10" x14ac:dyDescent="0.25">
      <c r="A6872" t="s">
        <v>145</v>
      </c>
      <c r="B6872">
        <f>48816.3567658638*(1/100/100)</f>
        <v>4.88163567658638</v>
      </c>
      <c r="C6872">
        <v>73401</v>
      </c>
      <c r="D6872" t="s">
        <v>1928</v>
      </c>
      <c r="E6872">
        <v>20635</v>
      </c>
      <c r="F6872" t="s">
        <v>10</v>
      </c>
      <c r="G6872">
        <v>206</v>
      </c>
      <c r="H6872" t="s">
        <v>10</v>
      </c>
      <c r="I6872">
        <v>2</v>
      </c>
      <c r="J6872" t="s">
        <v>40</v>
      </c>
    </row>
    <row r="6873" spans="1:10" x14ac:dyDescent="0.25">
      <c r="A6873" t="s">
        <v>145</v>
      </c>
      <c r="B6873">
        <f>136456.497881345*(1/100/100)</f>
        <v>13.645649788134502</v>
      </c>
      <c r="C6873">
        <v>73402</v>
      </c>
      <c r="D6873" t="s">
        <v>384</v>
      </c>
      <c r="E6873">
        <v>20602</v>
      </c>
      <c r="F6873" t="s">
        <v>384</v>
      </c>
      <c r="G6873">
        <v>206</v>
      </c>
      <c r="H6873" t="s">
        <v>10</v>
      </c>
      <c r="I6873">
        <v>2</v>
      </c>
      <c r="J6873" t="s">
        <v>40</v>
      </c>
    </row>
    <row r="6874" spans="1:10" x14ac:dyDescent="0.25">
      <c r="A6874" t="s">
        <v>145</v>
      </c>
      <c r="B6874">
        <f>65021.6968837724*(1/100/100)</f>
        <v>6.50216968837724</v>
      </c>
      <c r="C6874">
        <v>73403</v>
      </c>
      <c r="D6874" t="s">
        <v>2572</v>
      </c>
      <c r="E6874">
        <v>20613</v>
      </c>
      <c r="F6874" t="s">
        <v>393</v>
      </c>
      <c r="G6874">
        <v>206</v>
      </c>
      <c r="H6874" t="s">
        <v>10</v>
      </c>
      <c r="I6874">
        <v>2</v>
      </c>
      <c r="J6874" t="s">
        <v>40</v>
      </c>
    </row>
    <row r="6875" spans="1:10" x14ac:dyDescent="0.25">
      <c r="A6875" t="s">
        <v>145</v>
      </c>
      <c r="B6875">
        <f>238589.879880219*(1/100/100)</f>
        <v>23.858987988021902</v>
      </c>
      <c r="C6875">
        <v>73404</v>
      </c>
      <c r="D6875" t="s">
        <v>2601</v>
      </c>
      <c r="E6875">
        <v>20635</v>
      </c>
      <c r="F6875" t="s">
        <v>10</v>
      </c>
      <c r="G6875">
        <v>206</v>
      </c>
      <c r="H6875" t="s">
        <v>10</v>
      </c>
      <c r="I6875">
        <v>2</v>
      </c>
      <c r="J6875" t="s">
        <v>40</v>
      </c>
    </row>
    <row r="6876" spans="1:10" x14ac:dyDescent="0.25">
      <c r="A6876" t="s">
        <v>145</v>
      </c>
      <c r="B6876">
        <f>39883.5415570978*(1/100/100)</f>
        <v>3.9883541557097804</v>
      </c>
      <c r="C6876">
        <v>73405</v>
      </c>
      <c r="D6876" t="s">
        <v>2551</v>
      </c>
      <c r="E6876">
        <v>20602</v>
      </c>
      <c r="F6876" t="s">
        <v>384</v>
      </c>
      <c r="G6876">
        <v>206</v>
      </c>
      <c r="H6876" t="s">
        <v>10</v>
      </c>
      <c r="I6876">
        <v>2</v>
      </c>
      <c r="J6876" t="s">
        <v>40</v>
      </c>
    </row>
    <row r="6877" spans="1:10" x14ac:dyDescent="0.25">
      <c r="A6877" t="s">
        <v>145</v>
      </c>
      <c r="B6877">
        <f>45279.5178970913*(1/100/100)</f>
        <v>4.5279517897091299</v>
      </c>
      <c r="C6877">
        <v>73406</v>
      </c>
      <c r="D6877" t="s">
        <v>2574</v>
      </c>
      <c r="E6877">
        <v>20616</v>
      </c>
      <c r="F6877" t="s">
        <v>394</v>
      </c>
      <c r="G6877">
        <v>206</v>
      </c>
      <c r="H6877" t="s">
        <v>10</v>
      </c>
      <c r="I6877">
        <v>2</v>
      </c>
      <c r="J6877" t="s">
        <v>40</v>
      </c>
    </row>
    <row r="6878" spans="1:10" x14ac:dyDescent="0.25">
      <c r="A6878" t="s">
        <v>145</v>
      </c>
      <c r="B6878">
        <f>162784.888528935*(1/100/100)</f>
        <v>16.278488852893499</v>
      </c>
      <c r="C6878">
        <v>73407</v>
      </c>
      <c r="D6878" t="s">
        <v>394</v>
      </c>
      <c r="E6878">
        <v>20616</v>
      </c>
      <c r="F6878" t="s">
        <v>394</v>
      </c>
      <c r="G6878">
        <v>206</v>
      </c>
      <c r="H6878" t="s">
        <v>10</v>
      </c>
      <c r="I6878">
        <v>2</v>
      </c>
      <c r="J6878" t="s">
        <v>40</v>
      </c>
    </row>
    <row r="6879" spans="1:10" x14ac:dyDescent="0.25">
      <c r="A6879" t="s">
        <v>145</v>
      </c>
      <c r="B6879">
        <f>75679.8588478509*(1/100/100)</f>
        <v>7.5679858847850907</v>
      </c>
      <c r="C6879">
        <v>73409</v>
      </c>
      <c r="D6879" t="s">
        <v>2573</v>
      </c>
      <c r="E6879">
        <v>20613</v>
      </c>
      <c r="F6879" t="s">
        <v>393</v>
      </c>
      <c r="G6879">
        <v>206</v>
      </c>
      <c r="H6879" t="s">
        <v>10</v>
      </c>
      <c r="I6879">
        <v>2</v>
      </c>
      <c r="J6879" t="s">
        <v>40</v>
      </c>
    </row>
    <row r="6880" spans="1:10" x14ac:dyDescent="0.25">
      <c r="A6880" t="s">
        <v>145</v>
      </c>
      <c r="B6880">
        <f>156908.384810259*(1/100/100)</f>
        <v>15.690838481025901</v>
      </c>
      <c r="C6880">
        <v>73410</v>
      </c>
      <c r="D6880" t="s">
        <v>2620</v>
      </c>
      <c r="E6880">
        <v>20643</v>
      </c>
      <c r="F6880" t="s">
        <v>413</v>
      </c>
      <c r="G6880">
        <v>206</v>
      </c>
      <c r="H6880" t="s">
        <v>10</v>
      </c>
      <c r="I6880">
        <v>2</v>
      </c>
      <c r="J6880" t="s">
        <v>40</v>
      </c>
    </row>
    <row r="6881" spans="1:10" x14ac:dyDescent="0.25">
      <c r="A6881" t="s">
        <v>145</v>
      </c>
      <c r="B6881">
        <f>40264.4321805136*(1/100/100)</f>
        <v>4.0264432180513596</v>
      </c>
      <c r="C6881">
        <v>73411</v>
      </c>
      <c r="D6881" t="s">
        <v>2621</v>
      </c>
      <c r="E6881">
        <v>20643</v>
      </c>
      <c r="F6881" t="s">
        <v>413</v>
      </c>
      <c r="G6881">
        <v>206</v>
      </c>
      <c r="H6881" t="s">
        <v>10</v>
      </c>
      <c r="I6881">
        <v>2</v>
      </c>
      <c r="J6881" t="s">
        <v>40</v>
      </c>
    </row>
    <row r="6882" spans="1:10" x14ac:dyDescent="0.25">
      <c r="A6882" t="s">
        <v>145</v>
      </c>
      <c r="B6882">
        <f>8888.02317666427*(1/100/100)</f>
        <v>0.88880231766642703</v>
      </c>
      <c r="C6882">
        <v>73412</v>
      </c>
      <c r="D6882" t="s">
        <v>2622</v>
      </c>
      <c r="E6882">
        <v>20643</v>
      </c>
      <c r="F6882" t="s">
        <v>413</v>
      </c>
      <c r="G6882">
        <v>206</v>
      </c>
      <c r="H6882" t="s">
        <v>10</v>
      </c>
      <c r="I6882">
        <v>2</v>
      </c>
      <c r="J6882" t="s">
        <v>40</v>
      </c>
    </row>
    <row r="6883" spans="1:10" x14ac:dyDescent="0.25">
      <c r="A6883" t="s">
        <v>145</v>
      </c>
      <c r="B6883">
        <f>60489.83538208*(1/100/100)</f>
        <v>6.0489835382079997</v>
      </c>
      <c r="C6883">
        <v>73413</v>
      </c>
      <c r="D6883" t="s">
        <v>2602</v>
      </c>
      <c r="E6883">
        <v>20635</v>
      </c>
      <c r="F6883" t="s">
        <v>10</v>
      </c>
      <c r="G6883">
        <v>206</v>
      </c>
      <c r="H6883" t="s">
        <v>10</v>
      </c>
      <c r="I6883">
        <v>2</v>
      </c>
      <c r="J6883" t="s">
        <v>40</v>
      </c>
    </row>
    <row r="6884" spans="1:10" x14ac:dyDescent="0.25">
      <c r="A6884" t="s">
        <v>145</v>
      </c>
      <c r="B6884">
        <f>71884.7265314476*(1/100/100)</f>
        <v>7.1884726531447596</v>
      </c>
      <c r="C6884">
        <v>73414</v>
      </c>
      <c r="D6884" t="s">
        <v>2596</v>
      </c>
      <c r="E6884">
        <v>20633</v>
      </c>
      <c r="F6884" t="s">
        <v>405</v>
      </c>
      <c r="G6884">
        <v>206</v>
      </c>
      <c r="H6884" t="s">
        <v>10</v>
      </c>
      <c r="I6884">
        <v>2</v>
      </c>
      <c r="J6884" t="s">
        <v>40</v>
      </c>
    </row>
    <row r="6885" spans="1:10" x14ac:dyDescent="0.25">
      <c r="A6885" t="s">
        <v>145</v>
      </c>
      <c r="B6885">
        <f>98610.1979556622*(1/100/100)</f>
        <v>9.8610197955662198</v>
      </c>
      <c r="C6885">
        <v>73415</v>
      </c>
      <c r="D6885" t="s">
        <v>2603</v>
      </c>
      <c r="E6885">
        <v>20635</v>
      </c>
      <c r="F6885" t="s">
        <v>10</v>
      </c>
      <c r="G6885">
        <v>206</v>
      </c>
      <c r="H6885" t="s">
        <v>10</v>
      </c>
      <c r="I6885">
        <v>2</v>
      </c>
      <c r="J6885" t="s">
        <v>40</v>
      </c>
    </row>
    <row r="6886" spans="1:10" x14ac:dyDescent="0.25">
      <c r="A6886" t="s">
        <v>145</v>
      </c>
      <c r="B6886">
        <f>85042.1658521079*(1/100/100)</f>
        <v>8.5042165852107896</v>
      </c>
      <c r="C6886">
        <v>73416</v>
      </c>
      <c r="D6886" t="s">
        <v>2623</v>
      </c>
      <c r="E6886">
        <v>20643</v>
      </c>
      <c r="F6886" t="s">
        <v>413</v>
      </c>
      <c r="G6886">
        <v>206</v>
      </c>
      <c r="H6886" t="s">
        <v>10</v>
      </c>
      <c r="I6886">
        <v>2</v>
      </c>
      <c r="J6886" t="s">
        <v>40</v>
      </c>
    </row>
    <row r="6887" spans="1:10" x14ac:dyDescent="0.25">
      <c r="A6887" t="s">
        <v>145</v>
      </c>
      <c r="B6887">
        <f>115252.579311388*(1/100/100)</f>
        <v>11.525257931138801</v>
      </c>
      <c r="C6887">
        <v>73417</v>
      </c>
      <c r="D6887" t="s">
        <v>405</v>
      </c>
      <c r="E6887">
        <v>20633</v>
      </c>
      <c r="F6887" t="s">
        <v>405</v>
      </c>
      <c r="G6887">
        <v>206</v>
      </c>
      <c r="H6887" t="s">
        <v>10</v>
      </c>
      <c r="I6887">
        <v>2</v>
      </c>
      <c r="J6887" t="s">
        <v>40</v>
      </c>
    </row>
    <row r="6888" spans="1:10" x14ac:dyDescent="0.25">
      <c r="A6888" t="s">
        <v>145</v>
      </c>
      <c r="B6888">
        <f>63422.0123574919*(1/100/100)</f>
        <v>6.3422012357491901</v>
      </c>
      <c r="C6888">
        <v>73418</v>
      </c>
      <c r="D6888" t="s">
        <v>2604</v>
      </c>
      <c r="E6888">
        <v>20635</v>
      </c>
      <c r="F6888" t="s">
        <v>10</v>
      </c>
      <c r="G6888">
        <v>206</v>
      </c>
      <c r="H6888" t="s">
        <v>10</v>
      </c>
      <c r="I6888">
        <v>2</v>
      </c>
      <c r="J6888" t="s">
        <v>40</v>
      </c>
    </row>
    <row r="6889" spans="1:10" x14ac:dyDescent="0.25">
      <c r="A6889" t="s">
        <v>145</v>
      </c>
      <c r="B6889">
        <f>751483.467429233*(1/100/100)</f>
        <v>75.148346742923309</v>
      </c>
      <c r="C6889">
        <v>73419</v>
      </c>
      <c r="D6889" t="s">
        <v>10</v>
      </c>
      <c r="E6889">
        <v>20635</v>
      </c>
      <c r="F6889" t="s">
        <v>10</v>
      </c>
      <c r="G6889">
        <v>206</v>
      </c>
      <c r="H6889" t="s">
        <v>10</v>
      </c>
      <c r="I6889">
        <v>2</v>
      </c>
      <c r="J6889" t="s">
        <v>40</v>
      </c>
    </row>
    <row r="6890" spans="1:10" x14ac:dyDescent="0.25">
      <c r="A6890" t="s">
        <v>145</v>
      </c>
      <c r="B6890">
        <f>15414.2250944782*(1/100/100)</f>
        <v>1.5414225094478202</v>
      </c>
      <c r="C6890">
        <v>73420</v>
      </c>
      <c r="D6890" t="s">
        <v>2605</v>
      </c>
      <c r="E6890">
        <v>20635</v>
      </c>
      <c r="F6890" t="s">
        <v>10</v>
      </c>
      <c r="G6890">
        <v>206</v>
      </c>
      <c r="H6890" t="s">
        <v>10</v>
      </c>
      <c r="I6890">
        <v>2</v>
      </c>
      <c r="J6890" t="s">
        <v>40</v>
      </c>
    </row>
    <row r="6891" spans="1:10" x14ac:dyDescent="0.25">
      <c r="A6891" t="s">
        <v>145</v>
      </c>
      <c r="B6891">
        <f>45962.8296575383*(1/100/100)</f>
        <v>4.5962829657538302</v>
      </c>
      <c r="C6891">
        <v>73501</v>
      </c>
      <c r="D6891" t="s">
        <v>2567</v>
      </c>
      <c r="E6891">
        <v>20610</v>
      </c>
      <c r="F6891" t="s">
        <v>391</v>
      </c>
      <c r="G6891">
        <v>206</v>
      </c>
      <c r="H6891" t="s">
        <v>10</v>
      </c>
      <c r="I6891">
        <v>2</v>
      </c>
      <c r="J6891" t="s">
        <v>40</v>
      </c>
    </row>
    <row r="6892" spans="1:10" x14ac:dyDescent="0.25">
      <c r="A6892" t="s">
        <v>145</v>
      </c>
      <c r="B6892">
        <f>49751.3062777376*(1/100/100)</f>
        <v>4.975130627773761</v>
      </c>
      <c r="C6892">
        <v>73502</v>
      </c>
      <c r="D6892" t="s">
        <v>2557</v>
      </c>
      <c r="E6892">
        <v>20605</v>
      </c>
      <c r="F6892" t="s">
        <v>387</v>
      </c>
      <c r="G6892">
        <v>206</v>
      </c>
      <c r="H6892" t="s">
        <v>10</v>
      </c>
      <c r="I6892">
        <v>2</v>
      </c>
      <c r="J6892" t="s">
        <v>40</v>
      </c>
    </row>
    <row r="6893" spans="1:10" x14ac:dyDescent="0.25">
      <c r="A6893" t="s">
        <v>145</v>
      </c>
      <c r="B6893">
        <f>43376.7739201754*(1/100/100)</f>
        <v>4.3376773920175404</v>
      </c>
      <c r="C6893">
        <v>73503</v>
      </c>
      <c r="D6893" t="s">
        <v>2606</v>
      </c>
      <c r="E6893">
        <v>20636</v>
      </c>
      <c r="F6893" t="s">
        <v>407</v>
      </c>
      <c r="G6893">
        <v>206</v>
      </c>
      <c r="H6893" t="s">
        <v>10</v>
      </c>
      <c r="I6893">
        <v>2</v>
      </c>
      <c r="J6893" t="s">
        <v>40</v>
      </c>
    </row>
    <row r="6894" spans="1:10" x14ac:dyDescent="0.25">
      <c r="A6894" t="s">
        <v>145</v>
      </c>
      <c r="B6894">
        <f>111156.434343429*(1/100/100)</f>
        <v>11.115643434342902</v>
      </c>
      <c r="C6894">
        <v>73504</v>
      </c>
      <c r="D6894" t="s">
        <v>2592</v>
      </c>
      <c r="E6894">
        <v>20631</v>
      </c>
      <c r="F6894" t="s">
        <v>403</v>
      </c>
      <c r="G6894">
        <v>206</v>
      </c>
      <c r="H6894" t="s">
        <v>10</v>
      </c>
      <c r="I6894">
        <v>2</v>
      </c>
      <c r="J6894" t="s">
        <v>40</v>
      </c>
    </row>
    <row r="6895" spans="1:10" x14ac:dyDescent="0.25">
      <c r="A6895" t="s">
        <v>145</v>
      </c>
      <c r="B6895">
        <f>32925.8589054566*(1/100/100)</f>
        <v>3.2925858905456598</v>
      </c>
      <c r="C6895">
        <v>73505</v>
      </c>
      <c r="D6895" t="s">
        <v>2558</v>
      </c>
      <c r="E6895">
        <v>20605</v>
      </c>
      <c r="F6895" t="s">
        <v>387</v>
      </c>
      <c r="G6895">
        <v>206</v>
      </c>
      <c r="H6895" t="s">
        <v>10</v>
      </c>
      <c r="I6895">
        <v>2</v>
      </c>
      <c r="J6895" t="s">
        <v>40</v>
      </c>
    </row>
    <row r="6896" spans="1:10" x14ac:dyDescent="0.25">
      <c r="A6896" t="s">
        <v>145</v>
      </c>
      <c r="B6896">
        <f>61112.1192638022*(1/100/100)</f>
        <v>6.1112119263802196</v>
      </c>
      <c r="C6896">
        <v>73506</v>
      </c>
      <c r="D6896" t="s">
        <v>398</v>
      </c>
      <c r="E6896">
        <v>20622</v>
      </c>
      <c r="F6896" t="s">
        <v>398</v>
      </c>
      <c r="G6896">
        <v>206</v>
      </c>
      <c r="H6896" t="s">
        <v>10</v>
      </c>
      <c r="I6896">
        <v>2</v>
      </c>
      <c r="J6896" t="s">
        <v>40</v>
      </c>
    </row>
    <row r="6897" spans="1:10" x14ac:dyDescent="0.25">
      <c r="A6897" t="s">
        <v>145</v>
      </c>
      <c r="B6897">
        <f>15252.4886887502*(1/100/100)</f>
        <v>1.5252488688750201</v>
      </c>
      <c r="C6897">
        <v>73507</v>
      </c>
      <c r="D6897" t="s">
        <v>2559</v>
      </c>
      <c r="E6897">
        <v>20605</v>
      </c>
      <c r="F6897" t="s">
        <v>387</v>
      </c>
      <c r="G6897">
        <v>206</v>
      </c>
      <c r="H6897" t="s">
        <v>10</v>
      </c>
      <c r="I6897">
        <v>2</v>
      </c>
      <c r="J6897" t="s">
        <v>40</v>
      </c>
    </row>
    <row r="6898" spans="1:10" x14ac:dyDescent="0.25">
      <c r="A6898" t="s">
        <v>145</v>
      </c>
      <c r="B6898">
        <f>75682.9390788011*(1/100/100)</f>
        <v>7.5682939078801095</v>
      </c>
      <c r="C6898">
        <v>73508</v>
      </c>
      <c r="D6898" t="s">
        <v>403</v>
      </c>
      <c r="E6898">
        <v>20631</v>
      </c>
      <c r="F6898" t="s">
        <v>403</v>
      </c>
      <c r="G6898">
        <v>206</v>
      </c>
      <c r="H6898" t="s">
        <v>10</v>
      </c>
      <c r="I6898">
        <v>2</v>
      </c>
      <c r="J6898" t="s">
        <v>40</v>
      </c>
    </row>
    <row r="6899" spans="1:10" x14ac:dyDescent="0.25">
      <c r="A6899" t="s">
        <v>145</v>
      </c>
      <c r="B6899">
        <f>61425.5761952715*(1/100/100)</f>
        <v>6.1425576195271496</v>
      </c>
      <c r="C6899">
        <v>73509</v>
      </c>
      <c r="D6899" t="s">
        <v>2614</v>
      </c>
      <c r="E6899">
        <v>20640</v>
      </c>
      <c r="F6899" t="s">
        <v>411</v>
      </c>
      <c r="G6899">
        <v>206</v>
      </c>
      <c r="H6899" t="s">
        <v>10</v>
      </c>
      <c r="I6899">
        <v>2</v>
      </c>
      <c r="J6899" t="s">
        <v>40</v>
      </c>
    </row>
    <row r="6900" spans="1:10" x14ac:dyDescent="0.25">
      <c r="A6900" t="s">
        <v>145</v>
      </c>
      <c r="B6900">
        <f>32807.5617098669*(1/100/100)</f>
        <v>3.2807561709866904</v>
      </c>
      <c r="C6900">
        <v>73510</v>
      </c>
      <c r="D6900" t="s">
        <v>2568</v>
      </c>
      <c r="E6900">
        <v>20610</v>
      </c>
      <c r="F6900" t="s">
        <v>391</v>
      </c>
      <c r="G6900">
        <v>206</v>
      </c>
      <c r="H6900" t="s">
        <v>10</v>
      </c>
      <c r="I6900">
        <v>2</v>
      </c>
      <c r="J6900" t="s">
        <v>40</v>
      </c>
    </row>
    <row r="6901" spans="1:10" x14ac:dyDescent="0.25">
      <c r="A6901" t="s">
        <v>145</v>
      </c>
      <c r="B6901">
        <f>53860.4328800752*(1/100/100)</f>
        <v>5.38604328800752</v>
      </c>
      <c r="C6901">
        <v>73511</v>
      </c>
      <c r="D6901" t="s">
        <v>2560</v>
      </c>
      <c r="E6901">
        <v>20605</v>
      </c>
      <c r="F6901" t="s">
        <v>387</v>
      </c>
      <c r="G6901">
        <v>206</v>
      </c>
      <c r="H6901" t="s">
        <v>10</v>
      </c>
      <c r="I6901">
        <v>2</v>
      </c>
      <c r="J6901" t="s">
        <v>40</v>
      </c>
    </row>
    <row r="6902" spans="1:10" x14ac:dyDescent="0.25">
      <c r="A6902" t="s">
        <v>145</v>
      </c>
      <c r="B6902">
        <f>32727.86985471*(1/100/100)</f>
        <v>3.2727869854709999</v>
      </c>
      <c r="C6902">
        <v>73512</v>
      </c>
      <c r="D6902" t="s">
        <v>2607</v>
      </c>
      <c r="E6902">
        <v>20636</v>
      </c>
      <c r="F6902" t="s">
        <v>407</v>
      </c>
      <c r="G6902">
        <v>206</v>
      </c>
      <c r="H6902" t="s">
        <v>10</v>
      </c>
      <c r="I6902">
        <v>2</v>
      </c>
      <c r="J6902" t="s">
        <v>40</v>
      </c>
    </row>
    <row r="6903" spans="1:10" x14ac:dyDescent="0.25">
      <c r="A6903" t="s">
        <v>145</v>
      </c>
      <c r="B6903">
        <f>101460.773657845*(1/100/100)</f>
        <v>10.1460773657845</v>
      </c>
      <c r="C6903">
        <v>73513</v>
      </c>
      <c r="D6903" t="s">
        <v>407</v>
      </c>
      <c r="E6903">
        <v>20636</v>
      </c>
      <c r="F6903" t="s">
        <v>407</v>
      </c>
      <c r="G6903">
        <v>206</v>
      </c>
      <c r="H6903" t="s">
        <v>10</v>
      </c>
      <c r="I6903">
        <v>2</v>
      </c>
      <c r="J6903" t="s">
        <v>40</v>
      </c>
    </row>
    <row r="6904" spans="1:10" x14ac:dyDescent="0.25">
      <c r="A6904" t="s">
        <v>145</v>
      </c>
      <c r="B6904">
        <f>63354.3695305116*(1/100/100)</f>
        <v>6.3354369530511603</v>
      </c>
      <c r="C6904">
        <v>73514</v>
      </c>
      <c r="D6904" t="s">
        <v>2582</v>
      </c>
      <c r="E6904">
        <v>20622</v>
      </c>
      <c r="F6904" t="s">
        <v>398</v>
      </c>
      <c r="G6904">
        <v>206</v>
      </c>
      <c r="H6904" t="s">
        <v>10</v>
      </c>
      <c r="I6904">
        <v>2</v>
      </c>
      <c r="J6904" t="s">
        <v>40</v>
      </c>
    </row>
    <row r="6905" spans="1:10" x14ac:dyDescent="0.25">
      <c r="A6905" t="s">
        <v>145</v>
      </c>
      <c r="B6905">
        <f>34951.9931250135*(1/100/100)</f>
        <v>3.4951993125013501</v>
      </c>
      <c r="C6905">
        <v>73515</v>
      </c>
      <c r="D6905" t="s">
        <v>2593</v>
      </c>
      <c r="E6905">
        <v>20631</v>
      </c>
      <c r="F6905" t="s">
        <v>403</v>
      </c>
      <c r="G6905">
        <v>206</v>
      </c>
      <c r="H6905" t="s">
        <v>10</v>
      </c>
      <c r="I6905">
        <v>2</v>
      </c>
      <c r="J6905" t="s">
        <v>40</v>
      </c>
    </row>
    <row r="6906" spans="1:10" x14ac:dyDescent="0.25">
      <c r="A6906" t="s">
        <v>145</v>
      </c>
      <c r="B6906">
        <f>82652.2617224385*(1/100/100)</f>
        <v>8.2652261722438514</v>
      </c>
      <c r="C6906">
        <v>73516</v>
      </c>
      <c r="D6906" t="s">
        <v>411</v>
      </c>
      <c r="E6906">
        <v>20640</v>
      </c>
      <c r="F6906" t="s">
        <v>411</v>
      </c>
      <c r="G6906">
        <v>206</v>
      </c>
      <c r="H6906" t="s">
        <v>10</v>
      </c>
      <c r="I6906">
        <v>2</v>
      </c>
      <c r="J6906" t="s">
        <v>40</v>
      </c>
    </row>
    <row r="6907" spans="1:10" x14ac:dyDescent="0.25">
      <c r="A6907" t="s">
        <v>145</v>
      </c>
      <c r="B6907">
        <f>22163.516494878*(1/100/100)</f>
        <v>2.2163516494877999</v>
      </c>
      <c r="C6907">
        <v>73517</v>
      </c>
      <c r="D6907" t="s">
        <v>2561</v>
      </c>
      <c r="E6907">
        <v>20605</v>
      </c>
      <c r="F6907" t="s">
        <v>387</v>
      </c>
      <c r="G6907">
        <v>206</v>
      </c>
      <c r="H6907" t="s">
        <v>10</v>
      </c>
      <c r="I6907">
        <v>2</v>
      </c>
      <c r="J6907" t="s">
        <v>40</v>
      </c>
    </row>
    <row r="6908" spans="1:10" x14ac:dyDescent="0.25">
      <c r="A6908" t="s">
        <v>145</v>
      </c>
      <c r="B6908">
        <f>107964.373406285*(1/100/100)</f>
        <v>10.796437340628501</v>
      </c>
      <c r="C6908">
        <v>73518</v>
      </c>
      <c r="D6908" t="s">
        <v>2569</v>
      </c>
      <c r="E6908">
        <v>20610</v>
      </c>
      <c r="F6908" t="s">
        <v>391</v>
      </c>
      <c r="G6908">
        <v>206</v>
      </c>
      <c r="H6908" t="s">
        <v>10</v>
      </c>
      <c r="I6908">
        <v>2</v>
      </c>
      <c r="J6908" t="s">
        <v>40</v>
      </c>
    </row>
    <row r="6909" spans="1:10" x14ac:dyDescent="0.25">
      <c r="A6909" t="s">
        <v>145</v>
      </c>
      <c r="B6909">
        <f>360207.969453337*(1/100/100)</f>
        <v>36.020796945333707</v>
      </c>
      <c r="C6909">
        <v>74001</v>
      </c>
      <c r="D6909" t="s">
        <v>366</v>
      </c>
      <c r="E6909">
        <v>20501</v>
      </c>
      <c r="F6909" t="s">
        <v>366</v>
      </c>
      <c r="G6909">
        <v>205</v>
      </c>
      <c r="H6909" t="s">
        <v>44</v>
      </c>
      <c r="I6909">
        <v>2</v>
      </c>
      <c r="J6909" t="s">
        <v>40</v>
      </c>
    </row>
    <row r="6910" spans="1:10" x14ac:dyDescent="0.25">
      <c r="A6910" t="s">
        <v>145</v>
      </c>
      <c r="B6910">
        <f>10816.0237177196*(1/100/100)</f>
        <v>1.0816023717719601</v>
      </c>
      <c r="C6910">
        <v>74002</v>
      </c>
      <c r="D6910" t="s">
        <v>2474</v>
      </c>
      <c r="E6910">
        <v>20509</v>
      </c>
      <c r="F6910" t="s">
        <v>373</v>
      </c>
      <c r="G6910">
        <v>205</v>
      </c>
      <c r="H6910" t="s">
        <v>44</v>
      </c>
      <c r="I6910">
        <v>2</v>
      </c>
      <c r="J6910" t="s">
        <v>40</v>
      </c>
    </row>
    <row r="6911" spans="1:10" x14ac:dyDescent="0.25">
      <c r="A6911" t="s">
        <v>145</v>
      </c>
      <c r="B6911">
        <f>10454.9171093855*(1/100/100)</f>
        <v>1.04549171093855</v>
      </c>
      <c r="C6911">
        <v>74003</v>
      </c>
      <c r="D6911" t="s">
        <v>2475</v>
      </c>
      <c r="E6911">
        <v>20509</v>
      </c>
      <c r="F6911" t="s">
        <v>373</v>
      </c>
      <c r="G6911">
        <v>205</v>
      </c>
      <c r="H6911" t="s">
        <v>44</v>
      </c>
      <c r="I6911">
        <v>2</v>
      </c>
      <c r="J6911" t="s">
        <v>40</v>
      </c>
    </row>
    <row r="6912" spans="1:10" x14ac:dyDescent="0.25">
      <c r="A6912" t="s">
        <v>145</v>
      </c>
      <c r="B6912">
        <f>53569.2743664267*(1/100/100)</f>
        <v>5.3569274366426702</v>
      </c>
      <c r="C6912">
        <v>74004</v>
      </c>
      <c r="D6912" t="s">
        <v>2487</v>
      </c>
      <c r="E6912">
        <v>20512</v>
      </c>
      <c r="F6912" t="s">
        <v>375</v>
      </c>
      <c r="G6912">
        <v>205</v>
      </c>
      <c r="H6912" t="s">
        <v>44</v>
      </c>
      <c r="I6912">
        <v>2</v>
      </c>
      <c r="J6912" t="s">
        <v>40</v>
      </c>
    </row>
    <row r="6913" spans="1:10" x14ac:dyDescent="0.25">
      <c r="A6913" t="s">
        <v>145</v>
      </c>
      <c r="B6913">
        <f>17422.4435016779*(1/100/100)</f>
        <v>1.74224435016779</v>
      </c>
      <c r="C6913">
        <v>74005</v>
      </c>
      <c r="D6913" t="s">
        <v>2488</v>
      </c>
      <c r="E6913">
        <v>20512</v>
      </c>
      <c r="F6913" t="s">
        <v>375</v>
      </c>
      <c r="G6913">
        <v>205</v>
      </c>
      <c r="H6913" t="s">
        <v>44</v>
      </c>
      <c r="I6913">
        <v>2</v>
      </c>
      <c r="J6913" t="s">
        <v>40</v>
      </c>
    </row>
    <row r="6914" spans="1:10" x14ac:dyDescent="0.25">
      <c r="A6914" t="s">
        <v>145</v>
      </c>
      <c r="B6914">
        <f>22540.1600780524*(1/100/100)</f>
        <v>2.25401600780524</v>
      </c>
      <c r="C6914">
        <v>74006</v>
      </c>
      <c r="D6914" t="s">
        <v>2516</v>
      </c>
      <c r="E6914">
        <v>20520</v>
      </c>
      <c r="F6914" t="s">
        <v>379</v>
      </c>
      <c r="G6914">
        <v>205</v>
      </c>
      <c r="H6914" t="s">
        <v>44</v>
      </c>
      <c r="I6914">
        <v>2</v>
      </c>
      <c r="J6914" t="s">
        <v>40</v>
      </c>
    </row>
    <row r="6915" spans="1:10" x14ac:dyDescent="0.25">
      <c r="A6915" t="s">
        <v>145</v>
      </c>
      <c r="B6915">
        <f>73031.8020163904*(1/100/100)</f>
        <v>7.3031802016390408</v>
      </c>
      <c r="C6915">
        <v>74007</v>
      </c>
      <c r="D6915" t="s">
        <v>373</v>
      </c>
      <c r="E6915">
        <v>20509</v>
      </c>
      <c r="F6915" t="s">
        <v>373</v>
      </c>
      <c r="G6915">
        <v>205</v>
      </c>
      <c r="H6915" t="s">
        <v>44</v>
      </c>
      <c r="I6915">
        <v>2</v>
      </c>
      <c r="J6915" t="s">
        <v>40</v>
      </c>
    </row>
    <row r="6916" spans="1:10" x14ac:dyDescent="0.25">
      <c r="A6916" t="s">
        <v>145</v>
      </c>
      <c r="B6916">
        <f>27695.1825107848*(1/100/100)</f>
        <v>2.7695182510784804</v>
      </c>
      <c r="C6916">
        <v>74008</v>
      </c>
      <c r="D6916" t="s">
        <v>2476</v>
      </c>
      <c r="E6916">
        <v>20509</v>
      </c>
      <c r="F6916" t="s">
        <v>373</v>
      </c>
      <c r="G6916">
        <v>205</v>
      </c>
      <c r="H6916" t="s">
        <v>44</v>
      </c>
      <c r="I6916">
        <v>2</v>
      </c>
      <c r="J6916" t="s">
        <v>40</v>
      </c>
    </row>
    <row r="6917" spans="1:10" x14ac:dyDescent="0.25">
      <c r="A6917" t="s">
        <v>145</v>
      </c>
      <c r="B6917">
        <f>45326.5323070721*(1/100/100)</f>
        <v>4.5326532307072105</v>
      </c>
      <c r="C6917">
        <v>74009</v>
      </c>
      <c r="D6917" t="s">
        <v>2477</v>
      </c>
      <c r="E6917">
        <v>20509</v>
      </c>
      <c r="F6917" t="s">
        <v>373</v>
      </c>
      <c r="G6917">
        <v>205</v>
      </c>
      <c r="H6917" t="s">
        <v>44</v>
      </c>
      <c r="I6917">
        <v>2</v>
      </c>
      <c r="J6917" t="s">
        <v>40</v>
      </c>
    </row>
    <row r="6918" spans="1:10" x14ac:dyDescent="0.25">
      <c r="A6918" t="s">
        <v>145</v>
      </c>
      <c r="B6918">
        <f>90723.0677416467*(1/100/100)</f>
        <v>9.0723067741646695</v>
      </c>
      <c r="C6918">
        <v>74010</v>
      </c>
      <c r="D6918" t="s">
        <v>2489</v>
      </c>
      <c r="E6918">
        <v>20512</v>
      </c>
      <c r="F6918" t="s">
        <v>375</v>
      </c>
      <c r="G6918">
        <v>205</v>
      </c>
      <c r="H6918" t="s">
        <v>44</v>
      </c>
      <c r="I6918">
        <v>2</v>
      </c>
      <c r="J6918" t="s">
        <v>40</v>
      </c>
    </row>
    <row r="6919" spans="1:10" x14ac:dyDescent="0.25">
      <c r="A6919" t="s">
        <v>145</v>
      </c>
      <c r="B6919">
        <f>24916.6723941799*(1/100/100)</f>
        <v>2.49166723941799</v>
      </c>
      <c r="C6919">
        <v>74011</v>
      </c>
      <c r="D6919" t="s">
        <v>2490</v>
      </c>
      <c r="E6919">
        <v>20512</v>
      </c>
      <c r="F6919" t="s">
        <v>375</v>
      </c>
      <c r="G6919">
        <v>205</v>
      </c>
      <c r="H6919" t="s">
        <v>44</v>
      </c>
      <c r="I6919">
        <v>2</v>
      </c>
      <c r="J6919" t="s">
        <v>40</v>
      </c>
    </row>
    <row r="6920" spans="1:10" x14ac:dyDescent="0.25">
      <c r="A6920" t="s">
        <v>145</v>
      </c>
      <c r="B6920">
        <f>33031.7377369495*(1/100/100)</f>
        <v>3.30317377369495</v>
      </c>
      <c r="C6920">
        <v>74012</v>
      </c>
      <c r="D6920" t="s">
        <v>2491</v>
      </c>
      <c r="E6920">
        <v>20512</v>
      </c>
      <c r="F6920" t="s">
        <v>375</v>
      </c>
      <c r="G6920">
        <v>205</v>
      </c>
      <c r="H6920" t="s">
        <v>44</v>
      </c>
      <c r="I6920">
        <v>2</v>
      </c>
      <c r="J6920" t="s">
        <v>40</v>
      </c>
    </row>
    <row r="6921" spans="1:10" x14ac:dyDescent="0.25">
      <c r="A6921" t="s">
        <v>145</v>
      </c>
      <c r="B6921">
        <f>70983.4400959216*(1/100/100)</f>
        <v>7.0983440095921599</v>
      </c>
      <c r="C6921">
        <v>74013</v>
      </c>
      <c r="D6921" t="s">
        <v>2517</v>
      </c>
      <c r="E6921">
        <v>20520</v>
      </c>
      <c r="F6921" t="s">
        <v>379</v>
      </c>
      <c r="G6921">
        <v>205</v>
      </c>
      <c r="H6921" t="s">
        <v>44</v>
      </c>
      <c r="I6921">
        <v>2</v>
      </c>
      <c r="J6921" t="s">
        <v>40</v>
      </c>
    </row>
    <row r="6922" spans="1:10" x14ac:dyDescent="0.25">
      <c r="A6922" t="s">
        <v>145</v>
      </c>
      <c r="B6922">
        <f>11517.2711078961*(1/100/100)</f>
        <v>1.1517271107896101</v>
      </c>
      <c r="C6922">
        <v>74014</v>
      </c>
      <c r="D6922" t="s">
        <v>686</v>
      </c>
      <c r="E6922">
        <v>20520</v>
      </c>
      <c r="F6922" t="s">
        <v>379</v>
      </c>
      <c r="G6922">
        <v>205</v>
      </c>
      <c r="H6922" t="s">
        <v>44</v>
      </c>
      <c r="I6922">
        <v>2</v>
      </c>
      <c r="J6922" t="s">
        <v>40</v>
      </c>
    </row>
    <row r="6923" spans="1:10" x14ac:dyDescent="0.25">
      <c r="A6923" t="s">
        <v>145</v>
      </c>
      <c r="B6923">
        <f>45277.0820993278*(1/100/100)</f>
        <v>4.5277082099327801</v>
      </c>
      <c r="C6923">
        <v>74015</v>
      </c>
      <c r="D6923" t="s">
        <v>2492</v>
      </c>
      <c r="E6923">
        <v>20512</v>
      </c>
      <c r="F6923" t="s">
        <v>375</v>
      </c>
      <c r="G6923">
        <v>205</v>
      </c>
      <c r="H6923" t="s">
        <v>44</v>
      </c>
      <c r="I6923">
        <v>2</v>
      </c>
      <c r="J6923" t="s">
        <v>40</v>
      </c>
    </row>
    <row r="6924" spans="1:10" x14ac:dyDescent="0.25">
      <c r="A6924" t="s">
        <v>145</v>
      </c>
      <c r="B6924">
        <f>29321.4371636028*(1/100/100)</f>
        <v>2.9321437163602804</v>
      </c>
      <c r="C6924">
        <v>74016</v>
      </c>
      <c r="D6924" t="s">
        <v>2457</v>
      </c>
      <c r="E6924">
        <v>20501</v>
      </c>
      <c r="F6924" t="s">
        <v>366</v>
      </c>
      <c r="G6924">
        <v>205</v>
      </c>
      <c r="H6924" t="s">
        <v>44</v>
      </c>
      <c r="I6924">
        <v>2</v>
      </c>
      <c r="J6924" t="s">
        <v>40</v>
      </c>
    </row>
    <row r="6925" spans="1:10" x14ac:dyDescent="0.25">
      <c r="A6925" t="s">
        <v>145</v>
      </c>
      <c r="B6925">
        <f>104266.921989373*(1/100/100)</f>
        <v>10.426692198937301</v>
      </c>
      <c r="C6925">
        <v>74017</v>
      </c>
      <c r="D6925" t="s">
        <v>2458</v>
      </c>
      <c r="E6925">
        <v>20501</v>
      </c>
      <c r="F6925" t="s">
        <v>366</v>
      </c>
      <c r="G6925">
        <v>205</v>
      </c>
      <c r="H6925" t="s">
        <v>44</v>
      </c>
      <c r="I6925">
        <v>2</v>
      </c>
      <c r="J6925" t="s">
        <v>40</v>
      </c>
    </row>
    <row r="6926" spans="1:10" x14ac:dyDescent="0.25">
      <c r="A6926" t="s">
        <v>145</v>
      </c>
      <c r="B6926">
        <f>22909.6127657536*(1/100/100)</f>
        <v>2.2909612765753602</v>
      </c>
      <c r="C6926">
        <v>74018</v>
      </c>
      <c r="D6926" t="s">
        <v>2480</v>
      </c>
      <c r="E6926">
        <v>20511</v>
      </c>
      <c r="F6926" t="s">
        <v>374</v>
      </c>
      <c r="G6926">
        <v>205</v>
      </c>
      <c r="H6926" t="s">
        <v>44</v>
      </c>
      <c r="I6926">
        <v>2</v>
      </c>
      <c r="J6926" t="s">
        <v>40</v>
      </c>
    </row>
    <row r="6927" spans="1:10" x14ac:dyDescent="0.25">
      <c r="A6927" t="s">
        <v>145</v>
      </c>
      <c r="B6927">
        <f>9079.63743072128*(1/100/100)</f>
        <v>0.90796374307212813</v>
      </c>
      <c r="C6927">
        <v>74019</v>
      </c>
      <c r="D6927" t="s">
        <v>2478</v>
      </c>
      <c r="E6927">
        <v>20509</v>
      </c>
      <c r="F6927" t="s">
        <v>373</v>
      </c>
      <c r="G6927">
        <v>205</v>
      </c>
      <c r="H6927" t="s">
        <v>44</v>
      </c>
      <c r="I6927">
        <v>2</v>
      </c>
      <c r="J6927" t="s">
        <v>40</v>
      </c>
    </row>
    <row r="6928" spans="1:10" x14ac:dyDescent="0.25">
      <c r="A6928" t="s">
        <v>145</v>
      </c>
      <c r="B6928">
        <f>17950.0247891046*(1/100/100)</f>
        <v>1.7950024789104599</v>
      </c>
      <c r="C6928">
        <v>74020</v>
      </c>
      <c r="D6928" t="s">
        <v>2479</v>
      </c>
      <c r="E6928">
        <v>20509</v>
      </c>
      <c r="F6928" t="s">
        <v>373</v>
      </c>
      <c r="G6928">
        <v>205</v>
      </c>
      <c r="H6928" t="s">
        <v>44</v>
      </c>
      <c r="I6928">
        <v>2</v>
      </c>
      <c r="J6928" t="s">
        <v>40</v>
      </c>
    </row>
    <row r="6929" spans="1:10" x14ac:dyDescent="0.25">
      <c r="A6929" t="s">
        <v>145</v>
      </c>
      <c r="B6929">
        <f>1804.754081758*(1/100/100)</f>
        <v>0.18047540817580002</v>
      </c>
      <c r="C6929">
        <v>74101</v>
      </c>
      <c r="D6929" t="s">
        <v>254</v>
      </c>
      <c r="E6929">
        <v>20504</v>
      </c>
      <c r="F6929" t="s">
        <v>369</v>
      </c>
      <c r="G6929">
        <v>205</v>
      </c>
      <c r="H6929" t="s">
        <v>44</v>
      </c>
      <c r="I6929">
        <v>2</v>
      </c>
      <c r="J6929" t="s">
        <v>40</v>
      </c>
    </row>
    <row r="6930" spans="1:10" x14ac:dyDescent="0.25">
      <c r="A6930" t="s">
        <v>145</v>
      </c>
      <c r="B6930">
        <f>143641.869834898*(1/100/100)</f>
        <v>14.364186983489802</v>
      </c>
      <c r="C6930">
        <v>74102</v>
      </c>
      <c r="D6930" t="s">
        <v>367</v>
      </c>
      <c r="E6930">
        <v>20502</v>
      </c>
      <c r="F6930" t="s">
        <v>367</v>
      </c>
      <c r="G6930">
        <v>205</v>
      </c>
      <c r="H6930" t="s">
        <v>44</v>
      </c>
      <c r="I6930">
        <v>2</v>
      </c>
      <c r="J6930" t="s">
        <v>40</v>
      </c>
    </row>
    <row r="6931" spans="1:10" x14ac:dyDescent="0.25">
      <c r="A6931" t="s">
        <v>145</v>
      </c>
      <c r="B6931">
        <f>11008.0232695415*(1/100/100)</f>
        <v>1.10080232695415</v>
      </c>
      <c r="C6931">
        <v>74103</v>
      </c>
      <c r="D6931" t="s">
        <v>2060</v>
      </c>
      <c r="E6931">
        <v>20513</v>
      </c>
      <c r="F6931" t="s">
        <v>2493</v>
      </c>
      <c r="G6931">
        <v>205</v>
      </c>
      <c r="H6931" t="s">
        <v>44</v>
      </c>
      <c r="I6931">
        <v>2</v>
      </c>
      <c r="J6931" t="s">
        <v>40</v>
      </c>
    </row>
    <row r="6932" spans="1:10" x14ac:dyDescent="0.25">
      <c r="A6932" t="s">
        <v>145</v>
      </c>
      <c r="B6932">
        <f>23119.8985541436*(1/100/100)</f>
        <v>2.3119898554143603</v>
      </c>
      <c r="C6932">
        <v>74104</v>
      </c>
      <c r="D6932" t="s">
        <v>2494</v>
      </c>
      <c r="E6932">
        <v>20513</v>
      </c>
      <c r="F6932" t="s">
        <v>2493</v>
      </c>
      <c r="G6932">
        <v>205</v>
      </c>
      <c r="H6932" t="s">
        <v>44</v>
      </c>
      <c r="I6932">
        <v>2</v>
      </c>
      <c r="J6932" t="s">
        <v>40</v>
      </c>
    </row>
    <row r="6933" spans="1:10" x14ac:dyDescent="0.25">
      <c r="A6933" t="s">
        <v>145</v>
      </c>
      <c r="B6933">
        <f>64546.8764436776*(1/100/100)</f>
        <v>6.4546876443677599</v>
      </c>
      <c r="C6933">
        <v>74105</v>
      </c>
      <c r="D6933" t="s">
        <v>369</v>
      </c>
      <c r="E6933">
        <v>20504</v>
      </c>
      <c r="F6933" t="s">
        <v>369</v>
      </c>
      <c r="G6933">
        <v>205</v>
      </c>
      <c r="H6933" t="s">
        <v>44</v>
      </c>
      <c r="I6933">
        <v>2</v>
      </c>
      <c r="J6933" t="s">
        <v>40</v>
      </c>
    </row>
    <row r="6934" spans="1:10" x14ac:dyDescent="0.25">
      <c r="A6934" t="s">
        <v>145</v>
      </c>
      <c r="B6934">
        <f>21784.3730120399*(1/100/100)</f>
        <v>2.1784373012039904</v>
      </c>
      <c r="C6934">
        <v>74106</v>
      </c>
      <c r="D6934" t="s">
        <v>2495</v>
      </c>
      <c r="E6934">
        <v>20513</v>
      </c>
      <c r="F6934" t="s">
        <v>2493</v>
      </c>
      <c r="G6934">
        <v>205</v>
      </c>
      <c r="H6934" t="s">
        <v>44</v>
      </c>
      <c r="I6934">
        <v>2</v>
      </c>
      <c r="J6934" t="s">
        <v>40</v>
      </c>
    </row>
    <row r="6935" spans="1:10" x14ac:dyDescent="0.25">
      <c r="A6935" t="s">
        <v>145</v>
      </c>
      <c r="B6935">
        <f>4740.08157653389*(1/100/100)</f>
        <v>0.47400815765338905</v>
      </c>
      <c r="C6935">
        <v>74107</v>
      </c>
      <c r="D6935" t="s">
        <v>1113</v>
      </c>
      <c r="E6935">
        <v>20513</v>
      </c>
      <c r="F6935" t="s">
        <v>2493</v>
      </c>
      <c r="G6935">
        <v>205</v>
      </c>
      <c r="H6935" t="s">
        <v>44</v>
      </c>
      <c r="I6935">
        <v>2</v>
      </c>
      <c r="J6935" t="s">
        <v>40</v>
      </c>
    </row>
    <row r="6936" spans="1:10" x14ac:dyDescent="0.25">
      <c r="A6936" t="s">
        <v>145</v>
      </c>
      <c r="B6936">
        <f>19657.9874098252*(1/100/100)</f>
        <v>1.9657987409825202</v>
      </c>
      <c r="C6936">
        <v>74108</v>
      </c>
      <c r="D6936" t="s">
        <v>2464</v>
      </c>
      <c r="E6936">
        <v>20504</v>
      </c>
      <c r="F6936" t="s">
        <v>369</v>
      </c>
      <c r="G6936">
        <v>205</v>
      </c>
      <c r="H6936" t="s">
        <v>44</v>
      </c>
      <c r="I6936">
        <v>2</v>
      </c>
      <c r="J6936" t="s">
        <v>40</v>
      </c>
    </row>
    <row r="6937" spans="1:10" x14ac:dyDescent="0.25">
      <c r="A6937" t="s">
        <v>145</v>
      </c>
      <c r="B6937">
        <f>3957.94847970797*(1/100/100)</f>
        <v>0.395794847970797</v>
      </c>
      <c r="C6937">
        <v>74109</v>
      </c>
      <c r="D6937" t="s">
        <v>2481</v>
      </c>
      <c r="E6937">
        <v>20511</v>
      </c>
      <c r="F6937" t="s">
        <v>374</v>
      </c>
      <c r="G6937">
        <v>205</v>
      </c>
      <c r="H6937" t="s">
        <v>44</v>
      </c>
      <c r="I6937">
        <v>2</v>
      </c>
      <c r="J6937" t="s">
        <v>40</v>
      </c>
    </row>
    <row r="6938" spans="1:10" x14ac:dyDescent="0.25">
      <c r="A6938" t="s">
        <v>145</v>
      </c>
      <c r="B6938">
        <f>18000.307171437*(1/100/100)</f>
        <v>1.8000307171437002</v>
      </c>
      <c r="C6938">
        <v>74110</v>
      </c>
      <c r="D6938" t="s">
        <v>2465</v>
      </c>
      <c r="E6938">
        <v>20504</v>
      </c>
      <c r="F6938" t="s">
        <v>369</v>
      </c>
      <c r="G6938">
        <v>205</v>
      </c>
      <c r="H6938" t="s">
        <v>44</v>
      </c>
      <c r="I6938">
        <v>2</v>
      </c>
      <c r="J6938" t="s">
        <v>40</v>
      </c>
    </row>
    <row r="6939" spans="1:10" x14ac:dyDescent="0.25">
      <c r="A6939" t="s">
        <v>145</v>
      </c>
      <c r="B6939">
        <f>40809.1322892701*(1/100/100)</f>
        <v>4.0809132289270105</v>
      </c>
      <c r="C6939">
        <v>74111</v>
      </c>
      <c r="D6939" t="s">
        <v>374</v>
      </c>
      <c r="E6939">
        <v>20511</v>
      </c>
      <c r="F6939" t="s">
        <v>374</v>
      </c>
      <c r="G6939">
        <v>205</v>
      </c>
      <c r="H6939" t="s">
        <v>44</v>
      </c>
      <c r="I6939">
        <v>2</v>
      </c>
      <c r="J6939" t="s">
        <v>40</v>
      </c>
    </row>
    <row r="6940" spans="1:10" x14ac:dyDescent="0.25">
      <c r="A6940" t="s">
        <v>145</v>
      </c>
      <c r="B6940">
        <f>27153.3074980545*(1/100/100)</f>
        <v>2.71533074980545</v>
      </c>
      <c r="C6940">
        <v>74112</v>
      </c>
      <c r="D6940" t="s">
        <v>2459</v>
      </c>
      <c r="E6940">
        <v>20502</v>
      </c>
      <c r="F6940" t="s">
        <v>367</v>
      </c>
      <c r="G6940">
        <v>205</v>
      </c>
      <c r="H6940" t="s">
        <v>44</v>
      </c>
      <c r="I6940">
        <v>2</v>
      </c>
      <c r="J6940" t="s">
        <v>40</v>
      </c>
    </row>
    <row r="6941" spans="1:10" x14ac:dyDescent="0.25">
      <c r="A6941" t="s">
        <v>145</v>
      </c>
      <c r="B6941">
        <f>10949.1631402584*(1/100/100)</f>
        <v>1.0949163140258402</v>
      </c>
      <c r="C6941">
        <v>74113</v>
      </c>
      <c r="D6941" t="s">
        <v>1046</v>
      </c>
      <c r="E6941">
        <v>20504</v>
      </c>
      <c r="F6941" t="s">
        <v>369</v>
      </c>
      <c r="G6941">
        <v>205</v>
      </c>
      <c r="H6941" t="s">
        <v>44</v>
      </c>
      <c r="I6941">
        <v>2</v>
      </c>
      <c r="J6941" t="s">
        <v>40</v>
      </c>
    </row>
    <row r="6942" spans="1:10" x14ac:dyDescent="0.25">
      <c r="A6942" t="s">
        <v>145</v>
      </c>
      <c r="B6942">
        <f>23614.4580196916*(1/100/100)</f>
        <v>2.3614458019691602</v>
      </c>
      <c r="C6942">
        <v>74114</v>
      </c>
      <c r="D6942" t="s">
        <v>2496</v>
      </c>
      <c r="E6942">
        <v>20513</v>
      </c>
      <c r="F6942" t="s">
        <v>2493</v>
      </c>
      <c r="G6942">
        <v>205</v>
      </c>
      <c r="H6942" t="s">
        <v>44</v>
      </c>
      <c r="I6942">
        <v>2</v>
      </c>
      <c r="J6942" t="s">
        <v>40</v>
      </c>
    </row>
    <row r="6943" spans="1:10" x14ac:dyDescent="0.25">
      <c r="A6943" t="s">
        <v>145</v>
      </c>
      <c r="B6943">
        <f>35069.5807707547*(1/100/100)</f>
        <v>3.50695807707547</v>
      </c>
      <c r="C6943">
        <v>74115</v>
      </c>
      <c r="D6943" t="s">
        <v>2493</v>
      </c>
      <c r="E6943">
        <v>20513</v>
      </c>
      <c r="F6943" t="s">
        <v>2493</v>
      </c>
      <c r="G6943">
        <v>205</v>
      </c>
      <c r="H6943" t="s">
        <v>44</v>
      </c>
      <c r="I6943">
        <v>2</v>
      </c>
      <c r="J6943" t="s">
        <v>40</v>
      </c>
    </row>
    <row r="6944" spans="1:10" x14ac:dyDescent="0.25">
      <c r="A6944" t="s">
        <v>145</v>
      </c>
      <c r="B6944">
        <f>49025.9386755556*(1/100/100)</f>
        <v>4.9025938675555603</v>
      </c>
      <c r="C6944">
        <v>74116</v>
      </c>
      <c r="D6944" t="s">
        <v>2482</v>
      </c>
      <c r="E6944">
        <v>20511</v>
      </c>
      <c r="F6944" t="s">
        <v>374</v>
      </c>
      <c r="G6944">
        <v>205</v>
      </c>
      <c r="H6944" t="s">
        <v>44</v>
      </c>
      <c r="I6944">
        <v>2</v>
      </c>
      <c r="J6944" t="s">
        <v>40</v>
      </c>
    </row>
    <row r="6945" spans="1:10" x14ac:dyDescent="0.25">
      <c r="A6945" t="s">
        <v>145</v>
      </c>
      <c r="B6945">
        <f>1918.46687235841*(1/100/100)</f>
        <v>0.191846687235841</v>
      </c>
      <c r="C6945">
        <v>74117</v>
      </c>
      <c r="D6945" t="s">
        <v>2130</v>
      </c>
      <c r="E6945">
        <v>20504</v>
      </c>
      <c r="F6945" t="s">
        <v>369</v>
      </c>
      <c r="G6945">
        <v>205</v>
      </c>
      <c r="H6945" t="s">
        <v>44</v>
      </c>
      <c r="I6945">
        <v>2</v>
      </c>
      <c r="J6945" t="s">
        <v>40</v>
      </c>
    </row>
    <row r="6946" spans="1:10" x14ac:dyDescent="0.25">
      <c r="A6946" t="s">
        <v>145</v>
      </c>
      <c r="B6946">
        <f>4991.18023305577*(1/100/100)</f>
        <v>0.49911802330557703</v>
      </c>
      <c r="C6946">
        <v>74118</v>
      </c>
      <c r="D6946" t="s">
        <v>2460</v>
      </c>
      <c r="E6946">
        <v>20502</v>
      </c>
      <c r="F6946" t="s">
        <v>367</v>
      </c>
      <c r="G6946">
        <v>205</v>
      </c>
      <c r="H6946" t="s">
        <v>44</v>
      </c>
      <c r="I6946">
        <v>2</v>
      </c>
      <c r="J6946" t="s">
        <v>40</v>
      </c>
    </row>
    <row r="6947" spans="1:10" x14ac:dyDescent="0.25">
      <c r="A6947" t="s">
        <v>145</v>
      </c>
      <c r="B6947">
        <f>39118.284748788*(1/100/100)</f>
        <v>3.9118284748788001</v>
      </c>
      <c r="C6947">
        <v>74119</v>
      </c>
      <c r="D6947" t="s">
        <v>2483</v>
      </c>
      <c r="E6947">
        <v>20511</v>
      </c>
      <c r="F6947" t="s">
        <v>374</v>
      </c>
      <c r="G6947">
        <v>205</v>
      </c>
      <c r="H6947" t="s">
        <v>44</v>
      </c>
      <c r="I6947">
        <v>2</v>
      </c>
      <c r="J6947" t="s">
        <v>40</v>
      </c>
    </row>
    <row r="6948" spans="1:10" x14ac:dyDescent="0.25">
      <c r="A6948" t="s">
        <v>145</v>
      </c>
      <c r="B6948">
        <f>8253.53041141482*(1/100/100)</f>
        <v>0.82535304114148211</v>
      </c>
      <c r="C6948">
        <v>74120</v>
      </c>
      <c r="D6948" t="s">
        <v>2466</v>
      </c>
      <c r="E6948">
        <v>20504</v>
      </c>
      <c r="F6948" t="s">
        <v>369</v>
      </c>
      <c r="G6948">
        <v>205</v>
      </c>
      <c r="H6948" t="s">
        <v>44</v>
      </c>
      <c r="I6948">
        <v>2</v>
      </c>
      <c r="J6948" t="s">
        <v>40</v>
      </c>
    </row>
    <row r="6949" spans="1:10" x14ac:dyDescent="0.25">
      <c r="A6949" t="s">
        <v>145</v>
      </c>
      <c r="B6949">
        <f>33739.5110218752*(1/100/100)</f>
        <v>3.3739511021875201</v>
      </c>
      <c r="C6949">
        <v>74121</v>
      </c>
      <c r="D6949" t="s">
        <v>2497</v>
      </c>
      <c r="E6949">
        <v>20513</v>
      </c>
      <c r="F6949" t="s">
        <v>2493</v>
      </c>
      <c r="G6949">
        <v>205</v>
      </c>
      <c r="H6949" t="s">
        <v>44</v>
      </c>
      <c r="I6949">
        <v>2</v>
      </c>
      <c r="J6949" t="s">
        <v>40</v>
      </c>
    </row>
    <row r="6950" spans="1:10" x14ac:dyDescent="0.25">
      <c r="A6950" t="s">
        <v>145</v>
      </c>
      <c r="B6950">
        <f>12946.5032042042*(1/100/100)</f>
        <v>1.2946503204204201</v>
      </c>
      <c r="C6950">
        <v>74122</v>
      </c>
      <c r="D6950" t="s">
        <v>2498</v>
      </c>
      <c r="E6950">
        <v>20513</v>
      </c>
      <c r="F6950" t="s">
        <v>2493</v>
      </c>
      <c r="G6950">
        <v>205</v>
      </c>
      <c r="H6950" t="s">
        <v>44</v>
      </c>
      <c r="I6950">
        <v>2</v>
      </c>
      <c r="J6950" t="s">
        <v>40</v>
      </c>
    </row>
    <row r="6951" spans="1:10" x14ac:dyDescent="0.25">
      <c r="A6951" t="s">
        <v>145</v>
      </c>
      <c r="B6951">
        <f>2608.06756282578*(1/100/100)</f>
        <v>0.26080675628257799</v>
      </c>
      <c r="C6951">
        <v>74123</v>
      </c>
      <c r="D6951" t="s">
        <v>2467</v>
      </c>
      <c r="E6951">
        <v>20504</v>
      </c>
      <c r="F6951" t="s">
        <v>369</v>
      </c>
      <c r="G6951">
        <v>205</v>
      </c>
      <c r="H6951" t="s">
        <v>44</v>
      </c>
      <c r="I6951">
        <v>2</v>
      </c>
      <c r="J6951" t="s">
        <v>40</v>
      </c>
    </row>
    <row r="6952" spans="1:10" x14ac:dyDescent="0.25">
      <c r="A6952" t="s">
        <v>145</v>
      </c>
      <c r="B6952">
        <f>111918.009906824*(1/100/100)</f>
        <v>11.191800990682401</v>
      </c>
      <c r="C6952">
        <v>74124</v>
      </c>
      <c r="D6952" t="s">
        <v>2461</v>
      </c>
      <c r="E6952">
        <v>20502</v>
      </c>
      <c r="F6952" t="s">
        <v>367</v>
      </c>
      <c r="G6952">
        <v>205</v>
      </c>
      <c r="H6952" t="s">
        <v>44</v>
      </c>
      <c r="I6952">
        <v>2</v>
      </c>
      <c r="J6952" t="s">
        <v>40</v>
      </c>
    </row>
    <row r="6953" spans="1:10" x14ac:dyDescent="0.25">
      <c r="A6953" t="s">
        <v>145</v>
      </c>
      <c r="B6953">
        <f>23834.5603884518*(1/100/100)</f>
        <v>2.3834560388451798</v>
      </c>
      <c r="C6953">
        <v>74125</v>
      </c>
      <c r="D6953" t="s">
        <v>2484</v>
      </c>
      <c r="E6953">
        <v>20511</v>
      </c>
      <c r="F6953" t="s">
        <v>374</v>
      </c>
      <c r="G6953">
        <v>205</v>
      </c>
      <c r="H6953" t="s">
        <v>44</v>
      </c>
      <c r="I6953">
        <v>2</v>
      </c>
      <c r="J6953" t="s">
        <v>40</v>
      </c>
    </row>
    <row r="6954" spans="1:10" x14ac:dyDescent="0.25">
      <c r="A6954" t="s">
        <v>145</v>
      </c>
      <c r="B6954">
        <f>19267.4372138638*(1/100/100)</f>
        <v>1.9267437213863801</v>
      </c>
      <c r="C6954">
        <v>74126</v>
      </c>
      <c r="D6954" t="s">
        <v>2485</v>
      </c>
      <c r="E6954">
        <v>20511</v>
      </c>
      <c r="F6954" t="s">
        <v>374</v>
      </c>
      <c r="G6954">
        <v>205</v>
      </c>
      <c r="H6954" t="s">
        <v>44</v>
      </c>
      <c r="I6954">
        <v>2</v>
      </c>
      <c r="J6954" t="s">
        <v>40</v>
      </c>
    </row>
    <row r="6955" spans="1:10" x14ac:dyDescent="0.25">
      <c r="A6955" t="s">
        <v>145</v>
      </c>
      <c r="B6955">
        <f>24963.4405882497*(1/100/100)</f>
        <v>2.4963440588249703</v>
      </c>
      <c r="C6955">
        <v>74127</v>
      </c>
      <c r="D6955" t="s">
        <v>2468</v>
      </c>
      <c r="E6955">
        <v>20504</v>
      </c>
      <c r="F6955" t="s">
        <v>369</v>
      </c>
      <c r="G6955">
        <v>205</v>
      </c>
      <c r="H6955" t="s">
        <v>44</v>
      </c>
      <c r="I6955">
        <v>2</v>
      </c>
      <c r="J6955" t="s">
        <v>40</v>
      </c>
    </row>
    <row r="6956" spans="1:10" x14ac:dyDescent="0.25">
      <c r="A6956" t="s">
        <v>145</v>
      </c>
      <c r="B6956">
        <f>36121.9838968336*(1/100/100)</f>
        <v>3.61219838968336</v>
      </c>
      <c r="C6956">
        <v>74128</v>
      </c>
      <c r="D6956" t="s">
        <v>2469</v>
      </c>
      <c r="E6956">
        <v>20504</v>
      </c>
      <c r="F6956" t="s">
        <v>369</v>
      </c>
      <c r="G6956">
        <v>205</v>
      </c>
      <c r="H6956" t="s">
        <v>44</v>
      </c>
      <c r="I6956">
        <v>2</v>
      </c>
      <c r="J6956" t="s">
        <v>40</v>
      </c>
    </row>
    <row r="6957" spans="1:10" x14ac:dyDescent="0.25">
      <c r="A6957" t="s">
        <v>145</v>
      </c>
      <c r="B6957">
        <f>25461.7606778305*(1/100/100)</f>
        <v>2.5461760677830503</v>
      </c>
      <c r="C6957">
        <v>74129</v>
      </c>
      <c r="D6957" t="s">
        <v>2462</v>
      </c>
      <c r="E6957">
        <v>20502</v>
      </c>
      <c r="F6957" t="s">
        <v>367</v>
      </c>
      <c r="G6957">
        <v>205</v>
      </c>
      <c r="H6957" t="s">
        <v>44</v>
      </c>
      <c r="I6957">
        <v>2</v>
      </c>
      <c r="J6957" t="s">
        <v>40</v>
      </c>
    </row>
    <row r="6958" spans="1:10" x14ac:dyDescent="0.25">
      <c r="A6958" t="s">
        <v>145</v>
      </c>
      <c r="B6958">
        <f>14442.2655729455*(1/100/100)</f>
        <v>1.4442265572945501</v>
      </c>
      <c r="C6958">
        <v>74130</v>
      </c>
      <c r="D6958" t="s">
        <v>2499</v>
      </c>
      <c r="E6958">
        <v>20513</v>
      </c>
      <c r="F6958" t="s">
        <v>2493</v>
      </c>
      <c r="G6958">
        <v>205</v>
      </c>
      <c r="H6958" t="s">
        <v>44</v>
      </c>
      <c r="I6958">
        <v>2</v>
      </c>
      <c r="J6958" t="s">
        <v>40</v>
      </c>
    </row>
    <row r="6959" spans="1:10" x14ac:dyDescent="0.25">
      <c r="A6959" t="s">
        <v>145</v>
      </c>
      <c r="B6959">
        <f>13213.7165636218*(1/100/100)</f>
        <v>1.32137165636218</v>
      </c>
      <c r="C6959">
        <v>74131</v>
      </c>
      <c r="D6959" t="s">
        <v>2500</v>
      </c>
      <c r="E6959">
        <v>20513</v>
      </c>
      <c r="F6959" t="s">
        <v>2493</v>
      </c>
      <c r="G6959">
        <v>205</v>
      </c>
      <c r="H6959" t="s">
        <v>44</v>
      </c>
      <c r="I6959">
        <v>2</v>
      </c>
      <c r="J6959" t="s">
        <v>40</v>
      </c>
    </row>
    <row r="6960" spans="1:10" x14ac:dyDescent="0.25">
      <c r="A6960" t="s">
        <v>145</v>
      </c>
      <c r="B6960">
        <f>39326.1555905817*(1/100/100)</f>
        <v>3.9326155590581702</v>
      </c>
      <c r="C6960">
        <v>74132</v>
      </c>
      <c r="D6960" t="s">
        <v>2501</v>
      </c>
      <c r="E6960">
        <v>20513</v>
      </c>
      <c r="F6960" t="s">
        <v>2493</v>
      </c>
      <c r="G6960">
        <v>205</v>
      </c>
      <c r="H6960" t="s">
        <v>44</v>
      </c>
      <c r="I6960">
        <v>2</v>
      </c>
      <c r="J6960" t="s">
        <v>40</v>
      </c>
    </row>
    <row r="6961" spans="1:10" x14ac:dyDescent="0.25">
      <c r="A6961" t="s">
        <v>145</v>
      </c>
      <c r="B6961">
        <f>43649.958930213*(1/100/100)</f>
        <v>4.3649958930213</v>
      </c>
      <c r="C6961">
        <v>74133</v>
      </c>
      <c r="D6961" t="s">
        <v>2502</v>
      </c>
      <c r="E6961">
        <v>20513</v>
      </c>
      <c r="F6961" t="s">
        <v>2493</v>
      </c>
      <c r="G6961">
        <v>205</v>
      </c>
      <c r="H6961" t="s">
        <v>44</v>
      </c>
      <c r="I6961">
        <v>2</v>
      </c>
      <c r="J6961" t="s">
        <v>40</v>
      </c>
    </row>
    <row r="6962" spans="1:10" x14ac:dyDescent="0.25">
      <c r="A6962" t="s">
        <v>145</v>
      </c>
      <c r="B6962">
        <f>19530.6931176361*(1/100/100)</f>
        <v>1.95306931176361</v>
      </c>
      <c r="C6962">
        <v>74134</v>
      </c>
      <c r="D6962" t="s">
        <v>2486</v>
      </c>
      <c r="E6962">
        <v>20511</v>
      </c>
      <c r="F6962" t="s">
        <v>374</v>
      </c>
      <c r="G6962">
        <v>205</v>
      </c>
      <c r="H6962" t="s">
        <v>44</v>
      </c>
      <c r="I6962">
        <v>2</v>
      </c>
      <c r="J6962" t="s">
        <v>40</v>
      </c>
    </row>
    <row r="6963" spans="1:10" x14ac:dyDescent="0.25">
      <c r="A6963" t="s">
        <v>145</v>
      </c>
      <c r="B6963">
        <f>102598.071268431*(1/100/100)</f>
        <v>10.2598071268431</v>
      </c>
      <c r="C6963">
        <v>74301</v>
      </c>
      <c r="D6963" t="s">
        <v>2511</v>
      </c>
      <c r="E6963">
        <v>20518</v>
      </c>
      <c r="F6963" t="s">
        <v>377</v>
      </c>
      <c r="G6963">
        <v>205</v>
      </c>
      <c r="H6963" t="s">
        <v>44</v>
      </c>
      <c r="I6963">
        <v>2</v>
      </c>
      <c r="J6963" t="s">
        <v>40</v>
      </c>
    </row>
    <row r="6964" spans="1:10" x14ac:dyDescent="0.25">
      <c r="A6964" t="s">
        <v>145</v>
      </c>
      <c r="B6964">
        <f>342661.220180125*(1/100/100)</f>
        <v>34.266122018012496</v>
      </c>
      <c r="C6964">
        <v>74302</v>
      </c>
      <c r="D6964" t="s">
        <v>370</v>
      </c>
      <c r="E6964">
        <v>20505</v>
      </c>
      <c r="F6964" t="s">
        <v>370</v>
      </c>
      <c r="G6964">
        <v>205</v>
      </c>
      <c r="H6964" t="s">
        <v>44</v>
      </c>
      <c r="I6964">
        <v>2</v>
      </c>
      <c r="J6964" t="s">
        <v>40</v>
      </c>
    </row>
    <row r="6965" spans="1:10" x14ac:dyDescent="0.25">
      <c r="A6965" t="s">
        <v>145</v>
      </c>
      <c r="B6965">
        <f>35406.3774026227*(1/100/100)</f>
        <v>3.54063774026227</v>
      </c>
      <c r="C6965">
        <v>74303</v>
      </c>
      <c r="D6965" t="s">
        <v>2512</v>
      </c>
      <c r="E6965">
        <v>20518</v>
      </c>
      <c r="F6965" t="s">
        <v>377</v>
      </c>
      <c r="G6965">
        <v>205</v>
      </c>
      <c r="H6965" t="s">
        <v>44</v>
      </c>
      <c r="I6965">
        <v>2</v>
      </c>
      <c r="J6965" t="s">
        <v>40</v>
      </c>
    </row>
    <row r="6966" spans="1:10" x14ac:dyDescent="0.25">
      <c r="A6966" t="s">
        <v>145</v>
      </c>
      <c r="B6966">
        <f>35240.6682476846*(1/100/100)</f>
        <v>3.5240668247684606</v>
      </c>
      <c r="C6966">
        <v>74304</v>
      </c>
      <c r="D6966" t="s">
        <v>2515</v>
      </c>
      <c r="E6966">
        <v>20519</v>
      </c>
      <c r="F6966" t="s">
        <v>378</v>
      </c>
      <c r="G6966">
        <v>205</v>
      </c>
      <c r="H6966" t="s">
        <v>44</v>
      </c>
      <c r="I6966">
        <v>2</v>
      </c>
      <c r="J6966" t="s">
        <v>40</v>
      </c>
    </row>
    <row r="6967" spans="1:10" x14ac:dyDescent="0.25">
      <c r="A6967" t="s">
        <v>145</v>
      </c>
      <c r="B6967">
        <f>45273.6286321613*(1/100/100)</f>
        <v>4.5273628632161307</v>
      </c>
      <c r="C6967">
        <v>74305</v>
      </c>
      <c r="D6967" t="s">
        <v>2513</v>
      </c>
      <c r="E6967">
        <v>20518</v>
      </c>
      <c r="F6967" t="s">
        <v>377</v>
      </c>
      <c r="G6967">
        <v>205</v>
      </c>
      <c r="H6967" t="s">
        <v>44</v>
      </c>
      <c r="I6967">
        <v>2</v>
      </c>
      <c r="J6967" t="s">
        <v>40</v>
      </c>
    </row>
    <row r="6968" spans="1:10" x14ac:dyDescent="0.25">
      <c r="A6968" t="s">
        <v>145</v>
      </c>
      <c r="B6968">
        <f>161167.563911765*(1/100/100)</f>
        <v>16.116756391176501</v>
      </c>
      <c r="C6968">
        <v>74306</v>
      </c>
      <c r="D6968" t="s">
        <v>2514</v>
      </c>
      <c r="E6968">
        <v>20518</v>
      </c>
      <c r="F6968" t="s">
        <v>377</v>
      </c>
      <c r="G6968">
        <v>205</v>
      </c>
      <c r="H6968" t="s">
        <v>44</v>
      </c>
      <c r="I6968">
        <v>2</v>
      </c>
      <c r="J6968" t="s">
        <v>40</v>
      </c>
    </row>
    <row r="6969" spans="1:10" x14ac:dyDescent="0.25">
      <c r="A6969" t="s">
        <v>145</v>
      </c>
      <c r="B6969">
        <f>88124.6455780709*(1/100/100)</f>
        <v>8.8124645578070897</v>
      </c>
      <c r="C6969">
        <v>74307</v>
      </c>
      <c r="D6969" t="s">
        <v>378</v>
      </c>
      <c r="E6969">
        <v>20519</v>
      </c>
      <c r="F6969" t="s">
        <v>378</v>
      </c>
      <c r="G6969">
        <v>205</v>
      </c>
      <c r="H6969" t="s">
        <v>44</v>
      </c>
      <c r="I6969">
        <v>2</v>
      </c>
      <c r="J6969" t="s">
        <v>40</v>
      </c>
    </row>
    <row r="6970" spans="1:10" x14ac:dyDescent="0.25">
      <c r="A6970" t="s">
        <v>145</v>
      </c>
      <c r="B6970">
        <f>216376.843220908*(1/100/100)</f>
        <v>21.637684322090799</v>
      </c>
      <c r="C6970">
        <v>74308</v>
      </c>
      <c r="D6970" t="s">
        <v>2470</v>
      </c>
      <c r="E6970">
        <v>20505</v>
      </c>
      <c r="F6970" t="s">
        <v>370</v>
      </c>
      <c r="G6970">
        <v>205</v>
      </c>
      <c r="H6970" t="s">
        <v>44</v>
      </c>
      <c r="I6970">
        <v>2</v>
      </c>
      <c r="J6970" t="s">
        <v>40</v>
      </c>
    </row>
    <row r="6971" spans="1:10" x14ac:dyDescent="0.25">
      <c r="A6971" t="s">
        <v>145</v>
      </c>
      <c r="B6971">
        <f>96661.1442612747*(1/100/100)</f>
        <v>9.6661144261274714</v>
      </c>
      <c r="C6971">
        <v>74309</v>
      </c>
      <c r="D6971" t="s">
        <v>2471</v>
      </c>
      <c r="E6971">
        <v>20505</v>
      </c>
      <c r="F6971" t="s">
        <v>370</v>
      </c>
      <c r="G6971">
        <v>205</v>
      </c>
      <c r="H6971" t="s">
        <v>44</v>
      </c>
      <c r="I6971">
        <v>2</v>
      </c>
      <c r="J6971" t="s">
        <v>40</v>
      </c>
    </row>
    <row r="6972" spans="1:10" x14ac:dyDescent="0.25">
      <c r="A6972" t="s">
        <v>145</v>
      </c>
      <c r="B6972">
        <f>60924.4275728742*(1/100/100)</f>
        <v>6.0924427572874205</v>
      </c>
      <c r="C6972">
        <v>74401</v>
      </c>
      <c r="D6972" t="s">
        <v>2535</v>
      </c>
      <c r="E6972">
        <v>20531</v>
      </c>
      <c r="F6972" t="s">
        <v>381</v>
      </c>
      <c r="G6972">
        <v>205</v>
      </c>
      <c r="H6972" t="s">
        <v>44</v>
      </c>
      <c r="I6972">
        <v>2</v>
      </c>
      <c r="J6972" t="s">
        <v>40</v>
      </c>
    </row>
    <row r="6973" spans="1:10" x14ac:dyDescent="0.25">
      <c r="A6973" t="s">
        <v>145</v>
      </c>
      <c r="B6973">
        <f>10807.8145654957*(1/100/100)</f>
        <v>1.0807814565495701</v>
      </c>
      <c r="C6973">
        <v>74402</v>
      </c>
      <c r="D6973" t="s">
        <v>2536</v>
      </c>
      <c r="E6973">
        <v>20531</v>
      </c>
      <c r="F6973" t="s">
        <v>381</v>
      </c>
      <c r="G6973">
        <v>205</v>
      </c>
      <c r="H6973" t="s">
        <v>44</v>
      </c>
      <c r="I6973">
        <v>2</v>
      </c>
      <c r="J6973" t="s">
        <v>40</v>
      </c>
    </row>
    <row r="6974" spans="1:10" x14ac:dyDescent="0.25">
      <c r="A6974" t="s">
        <v>145</v>
      </c>
      <c r="B6974">
        <f>136038.806100239*(1/100/100)</f>
        <v>13.6038806100239</v>
      </c>
      <c r="C6974">
        <v>74403</v>
      </c>
      <c r="D6974" t="s">
        <v>2463</v>
      </c>
      <c r="E6974">
        <v>20503</v>
      </c>
      <c r="F6974" t="s">
        <v>368</v>
      </c>
      <c r="G6974">
        <v>205</v>
      </c>
      <c r="H6974" t="s">
        <v>44</v>
      </c>
      <c r="I6974">
        <v>2</v>
      </c>
      <c r="J6974" t="s">
        <v>40</v>
      </c>
    </row>
    <row r="6975" spans="1:10" x14ac:dyDescent="0.25">
      <c r="A6975" t="s">
        <v>145</v>
      </c>
      <c r="B6975">
        <f>164719.550519126*(1/100/100)</f>
        <v>16.471955051912602</v>
      </c>
      <c r="C6975">
        <v>74404</v>
      </c>
      <c r="D6975" t="s">
        <v>371</v>
      </c>
      <c r="E6975">
        <v>20506</v>
      </c>
      <c r="F6975" t="s">
        <v>371</v>
      </c>
      <c r="G6975">
        <v>205</v>
      </c>
      <c r="H6975" t="s">
        <v>44</v>
      </c>
      <c r="I6975">
        <v>2</v>
      </c>
      <c r="J6975" t="s">
        <v>40</v>
      </c>
    </row>
    <row r="6976" spans="1:10" x14ac:dyDescent="0.25">
      <c r="A6976" t="s">
        <v>145</v>
      </c>
      <c r="B6976">
        <f>17250.6925082333*(1/100/100)</f>
        <v>1.7250692508233301</v>
      </c>
      <c r="C6976">
        <v>74405</v>
      </c>
      <c r="D6976" t="s">
        <v>2472</v>
      </c>
      <c r="E6976">
        <v>20508</v>
      </c>
      <c r="F6976" t="s">
        <v>372</v>
      </c>
      <c r="G6976">
        <v>205</v>
      </c>
      <c r="H6976" t="s">
        <v>44</v>
      </c>
      <c r="I6976">
        <v>2</v>
      </c>
      <c r="J6976" t="s">
        <v>40</v>
      </c>
    </row>
    <row r="6977" spans="1:10" x14ac:dyDescent="0.25">
      <c r="A6977" t="s">
        <v>145</v>
      </c>
      <c r="B6977">
        <f>99071.1815973479*(1/100/100)</f>
        <v>9.9071181597347895</v>
      </c>
      <c r="C6977">
        <v>74406</v>
      </c>
      <c r="D6977" t="s">
        <v>372</v>
      </c>
      <c r="E6977">
        <v>20508</v>
      </c>
      <c r="F6977" t="s">
        <v>372</v>
      </c>
      <c r="G6977">
        <v>205</v>
      </c>
      <c r="H6977" t="s">
        <v>44</v>
      </c>
      <c r="I6977">
        <v>2</v>
      </c>
      <c r="J6977" t="s">
        <v>40</v>
      </c>
    </row>
    <row r="6978" spans="1:10" x14ac:dyDescent="0.25">
      <c r="A6978" t="s">
        <v>145</v>
      </c>
      <c r="B6978">
        <f>32601.9029722301*(1/100/100)</f>
        <v>3.2601902972230099</v>
      </c>
      <c r="C6978">
        <v>74407</v>
      </c>
      <c r="D6978" t="s">
        <v>2537</v>
      </c>
      <c r="E6978">
        <v>20531</v>
      </c>
      <c r="F6978" t="s">
        <v>381</v>
      </c>
      <c r="G6978">
        <v>205</v>
      </c>
      <c r="H6978" t="s">
        <v>44</v>
      </c>
      <c r="I6978">
        <v>2</v>
      </c>
      <c r="J6978" t="s">
        <v>40</v>
      </c>
    </row>
    <row r="6979" spans="1:10" x14ac:dyDescent="0.25">
      <c r="A6979" t="s">
        <v>145</v>
      </c>
      <c r="B6979">
        <f>43958.373054253*(1/100/100)</f>
        <v>4.3958373054253004</v>
      </c>
      <c r="C6979">
        <v>74408</v>
      </c>
      <c r="D6979" t="s">
        <v>2473</v>
      </c>
      <c r="E6979">
        <v>20508</v>
      </c>
      <c r="F6979" t="s">
        <v>372</v>
      </c>
      <c r="G6979">
        <v>205</v>
      </c>
      <c r="H6979" t="s">
        <v>44</v>
      </c>
      <c r="I6979">
        <v>2</v>
      </c>
      <c r="J6979" t="s">
        <v>40</v>
      </c>
    </row>
    <row r="6980" spans="1:10" x14ac:dyDescent="0.25">
      <c r="A6980" t="s">
        <v>145</v>
      </c>
      <c r="B6980">
        <f>83540.0581419672*(1/100/100)</f>
        <v>8.3540058141967197</v>
      </c>
      <c r="C6980">
        <v>74409</v>
      </c>
      <c r="D6980" t="s">
        <v>2122</v>
      </c>
      <c r="E6980">
        <v>20530</v>
      </c>
      <c r="F6980" t="s">
        <v>380</v>
      </c>
      <c r="G6980">
        <v>205</v>
      </c>
      <c r="H6980" t="s">
        <v>44</v>
      </c>
      <c r="I6980">
        <v>2</v>
      </c>
      <c r="J6980" t="s">
        <v>40</v>
      </c>
    </row>
    <row r="6981" spans="1:10" x14ac:dyDescent="0.25">
      <c r="A6981" t="s">
        <v>145</v>
      </c>
      <c r="B6981">
        <f>120846.318416676*(1/100/100)</f>
        <v>12.084631841667601</v>
      </c>
      <c r="C6981">
        <v>74410</v>
      </c>
      <c r="D6981" t="s">
        <v>2533</v>
      </c>
      <c r="E6981">
        <v>20530</v>
      </c>
      <c r="F6981" t="s">
        <v>380</v>
      </c>
      <c r="G6981">
        <v>205</v>
      </c>
      <c r="H6981" t="s">
        <v>44</v>
      </c>
      <c r="I6981">
        <v>2</v>
      </c>
      <c r="J6981" t="s">
        <v>40</v>
      </c>
    </row>
    <row r="6982" spans="1:10" x14ac:dyDescent="0.25">
      <c r="A6982" t="s">
        <v>145</v>
      </c>
      <c r="B6982">
        <f>104425.534997842*(1/100/100)</f>
        <v>10.4425534997842</v>
      </c>
      <c r="C6982">
        <v>74411</v>
      </c>
      <c r="D6982" t="s">
        <v>2534</v>
      </c>
      <c r="E6982">
        <v>20530</v>
      </c>
      <c r="F6982" t="s">
        <v>380</v>
      </c>
      <c r="G6982">
        <v>205</v>
      </c>
      <c r="H6982" t="s">
        <v>44</v>
      </c>
      <c r="I6982">
        <v>2</v>
      </c>
      <c r="J6982" t="s">
        <v>40</v>
      </c>
    </row>
    <row r="6983" spans="1:10" x14ac:dyDescent="0.25">
      <c r="A6983" t="s">
        <v>145</v>
      </c>
      <c r="B6983">
        <f>42037.2858920783*(1/100/100)</f>
        <v>4.20372858920783</v>
      </c>
      <c r="C6983">
        <v>74412</v>
      </c>
      <c r="D6983" t="s">
        <v>2538</v>
      </c>
      <c r="E6983">
        <v>20531</v>
      </c>
      <c r="F6983" t="s">
        <v>381</v>
      </c>
      <c r="G6983">
        <v>205</v>
      </c>
      <c r="H6983" t="s">
        <v>44</v>
      </c>
      <c r="I6983">
        <v>2</v>
      </c>
      <c r="J6983" t="s">
        <v>40</v>
      </c>
    </row>
    <row r="6984" spans="1:10" x14ac:dyDescent="0.25">
      <c r="A6984" t="s">
        <v>145</v>
      </c>
      <c r="B6984">
        <f>63012.031910443*(1/100/100)</f>
        <v>6.3012031910443005</v>
      </c>
      <c r="C6984">
        <v>74413</v>
      </c>
      <c r="D6984" t="s">
        <v>2539</v>
      </c>
      <c r="E6984">
        <v>20531</v>
      </c>
      <c r="F6984" t="s">
        <v>381</v>
      </c>
      <c r="G6984">
        <v>205</v>
      </c>
      <c r="H6984" t="s">
        <v>44</v>
      </c>
      <c r="I6984">
        <v>2</v>
      </c>
      <c r="J6984" t="s">
        <v>40</v>
      </c>
    </row>
    <row r="6985" spans="1:10" x14ac:dyDescent="0.25">
      <c r="A6985" t="s">
        <v>145</v>
      </c>
      <c r="B6985">
        <f>62497.648438312*(1/100/100)</f>
        <v>6.2497648438312003</v>
      </c>
      <c r="C6985">
        <v>74414</v>
      </c>
      <c r="D6985" t="s">
        <v>2540</v>
      </c>
      <c r="E6985">
        <v>20531</v>
      </c>
      <c r="F6985" t="s">
        <v>381</v>
      </c>
      <c r="G6985">
        <v>205</v>
      </c>
      <c r="H6985" t="s">
        <v>44</v>
      </c>
      <c r="I6985">
        <v>2</v>
      </c>
      <c r="J6985" t="s">
        <v>40</v>
      </c>
    </row>
    <row r="6986" spans="1:10" x14ac:dyDescent="0.25">
      <c r="A6986" t="s">
        <v>145</v>
      </c>
      <c r="B6986">
        <f>39007.9586726236*(1/100/100)</f>
        <v>3.9007958672623602</v>
      </c>
      <c r="C6986">
        <v>74415</v>
      </c>
      <c r="D6986" t="s">
        <v>2541</v>
      </c>
      <c r="E6986">
        <v>20531</v>
      </c>
      <c r="F6986" t="s">
        <v>381</v>
      </c>
      <c r="G6986">
        <v>205</v>
      </c>
      <c r="H6986" t="s">
        <v>44</v>
      </c>
      <c r="I6986">
        <v>2</v>
      </c>
      <c r="J6986" t="s">
        <v>40</v>
      </c>
    </row>
    <row r="6987" spans="1:10" x14ac:dyDescent="0.25">
      <c r="A6987" t="s">
        <v>145</v>
      </c>
      <c r="B6987">
        <f>55097.7730783683*(1/100/100)</f>
        <v>5.5097773078368304</v>
      </c>
      <c r="C6987">
        <v>74501</v>
      </c>
      <c r="D6987" t="s">
        <v>2518</v>
      </c>
      <c r="E6987">
        <v>20520</v>
      </c>
      <c r="F6987" t="s">
        <v>379</v>
      </c>
      <c r="G6987">
        <v>205</v>
      </c>
      <c r="H6987" t="s">
        <v>44</v>
      </c>
      <c r="I6987">
        <v>2</v>
      </c>
      <c r="J6987" t="s">
        <v>40</v>
      </c>
    </row>
    <row r="6988" spans="1:10" x14ac:dyDescent="0.25">
      <c r="A6988" t="s">
        <v>145</v>
      </c>
      <c r="B6988">
        <f>35631.3008132339*(1/100/100)</f>
        <v>3.5631300813233904</v>
      </c>
      <c r="C6988">
        <v>74502</v>
      </c>
      <c r="D6988" t="s">
        <v>2229</v>
      </c>
      <c r="E6988">
        <v>20534</v>
      </c>
      <c r="F6988" t="s">
        <v>382</v>
      </c>
      <c r="G6988">
        <v>205</v>
      </c>
      <c r="H6988" t="s">
        <v>44</v>
      </c>
      <c r="I6988">
        <v>2</v>
      </c>
      <c r="J6988" t="s">
        <v>40</v>
      </c>
    </row>
    <row r="6989" spans="1:10" x14ac:dyDescent="0.25">
      <c r="A6989" t="s">
        <v>145</v>
      </c>
      <c r="B6989">
        <f>78479.7572613241*(1/100/100)</f>
        <v>7.847975726132411</v>
      </c>
      <c r="C6989">
        <v>74503</v>
      </c>
      <c r="D6989" t="s">
        <v>376</v>
      </c>
      <c r="E6989">
        <v>20515</v>
      </c>
      <c r="F6989" t="s">
        <v>376</v>
      </c>
      <c r="G6989">
        <v>205</v>
      </c>
      <c r="H6989" t="s">
        <v>44</v>
      </c>
      <c r="I6989">
        <v>2</v>
      </c>
      <c r="J6989" t="s">
        <v>40</v>
      </c>
    </row>
    <row r="6990" spans="1:10" x14ac:dyDescent="0.25">
      <c r="A6990" t="s">
        <v>145</v>
      </c>
      <c r="B6990">
        <f>16665.9139689347*(1/100/100)</f>
        <v>1.66659139689347</v>
      </c>
      <c r="C6990">
        <v>74504</v>
      </c>
      <c r="D6990" t="s">
        <v>2503</v>
      </c>
      <c r="E6990">
        <v>20515</v>
      </c>
      <c r="F6990" t="s">
        <v>376</v>
      </c>
      <c r="G6990">
        <v>205</v>
      </c>
      <c r="H6990" t="s">
        <v>44</v>
      </c>
      <c r="I6990">
        <v>2</v>
      </c>
      <c r="J6990" t="s">
        <v>40</v>
      </c>
    </row>
    <row r="6991" spans="1:10" x14ac:dyDescent="0.25">
      <c r="A6991" t="s">
        <v>145</v>
      </c>
      <c r="B6991">
        <f>20231.7000894711*(1/100/100)</f>
        <v>2.0231700089471101</v>
      </c>
      <c r="C6991">
        <v>74505</v>
      </c>
      <c r="D6991" t="s">
        <v>2526</v>
      </c>
      <c r="E6991">
        <v>20527</v>
      </c>
      <c r="F6991" t="s">
        <v>2527</v>
      </c>
      <c r="G6991">
        <v>205</v>
      </c>
      <c r="H6991" t="s">
        <v>44</v>
      </c>
      <c r="I6991">
        <v>2</v>
      </c>
      <c r="J6991" t="s">
        <v>40</v>
      </c>
    </row>
    <row r="6992" spans="1:10" x14ac:dyDescent="0.25">
      <c r="A6992" t="s">
        <v>145</v>
      </c>
      <c r="B6992">
        <f>14015.7023189864*(1/100/100)</f>
        <v>1.4015702318986401</v>
      </c>
      <c r="C6992">
        <v>74506</v>
      </c>
      <c r="D6992" t="s">
        <v>2504</v>
      </c>
      <c r="E6992">
        <v>20515</v>
      </c>
      <c r="F6992" t="s">
        <v>376</v>
      </c>
      <c r="G6992">
        <v>205</v>
      </c>
      <c r="H6992" t="s">
        <v>44</v>
      </c>
      <c r="I6992">
        <v>2</v>
      </c>
      <c r="J6992" t="s">
        <v>40</v>
      </c>
    </row>
    <row r="6993" spans="1:10" x14ac:dyDescent="0.25">
      <c r="A6993" t="s">
        <v>145</v>
      </c>
      <c r="B6993">
        <f>96011.1147203613*(1/100/100)</f>
        <v>9.6011114720361306</v>
      </c>
      <c r="C6993">
        <v>74507</v>
      </c>
      <c r="D6993" t="s">
        <v>2520</v>
      </c>
      <c r="E6993">
        <v>20523</v>
      </c>
      <c r="F6993" t="s">
        <v>2521</v>
      </c>
      <c r="G6993">
        <v>205</v>
      </c>
      <c r="H6993" t="s">
        <v>44</v>
      </c>
      <c r="I6993">
        <v>2</v>
      </c>
      <c r="J6993" t="s">
        <v>40</v>
      </c>
    </row>
    <row r="6994" spans="1:10" x14ac:dyDescent="0.25">
      <c r="A6994" t="s">
        <v>145</v>
      </c>
      <c r="B6994">
        <f>15660.7019594885*(1/100/100)</f>
        <v>1.5660701959488501</v>
      </c>
      <c r="C6994">
        <v>74508</v>
      </c>
      <c r="D6994" t="s">
        <v>2522</v>
      </c>
      <c r="E6994">
        <v>20523</v>
      </c>
      <c r="F6994" t="s">
        <v>2521</v>
      </c>
      <c r="G6994">
        <v>205</v>
      </c>
      <c r="H6994" t="s">
        <v>44</v>
      </c>
      <c r="I6994">
        <v>2</v>
      </c>
      <c r="J6994" t="s">
        <v>40</v>
      </c>
    </row>
    <row r="6995" spans="1:10" x14ac:dyDescent="0.25">
      <c r="A6995" t="s">
        <v>145</v>
      </c>
      <c r="B6995">
        <f>14204.2913296861*(1/100/100)</f>
        <v>1.4204291329686101</v>
      </c>
      <c r="C6995">
        <v>74509</v>
      </c>
      <c r="D6995" t="s">
        <v>2419</v>
      </c>
      <c r="E6995">
        <v>20515</v>
      </c>
      <c r="F6995" t="s">
        <v>376</v>
      </c>
      <c r="G6995">
        <v>205</v>
      </c>
      <c r="H6995" t="s">
        <v>44</v>
      </c>
      <c r="I6995">
        <v>2</v>
      </c>
      <c r="J6995" t="s">
        <v>40</v>
      </c>
    </row>
    <row r="6996" spans="1:10" x14ac:dyDescent="0.25">
      <c r="A6996" t="s">
        <v>145</v>
      </c>
      <c r="B6996">
        <f>50531.5253262618*(1/100/100)</f>
        <v>5.0531525326261804</v>
      </c>
      <c r="C6996">
        <v>74510</v>
      </c>
      <c r="D6996" t="s">
        <v>2542</v>
      </c>
      <c r="E6996">
        <v>20534</v>
      </c>
      <c r="F6996" t="s">
        <v>382</v>
      </c>
      <c r="G6996">
        <v>205</v>
      </c>
      <c r="H6996" t="s">
        <v>44</v>
      </c>
      <c r="I6996">
        <v>2</v>
      </c>
      <c r="J6996" t="s">
        <v>40</v>
      </c>
    </row>
    <row r="6997" spans="1:10" x14ac:dyDescent="0.25">
      <c r="A6997" t="s">
        <v>145</v>
      </c>
      <c r="B6997">
        <f>62726.7915223251*(1/100/100)</f>
        <v>6.2726791522325103</v>
      </c>
      <c r="C6997">
        <v>74511</v>
      </c>
      <c r="D6997" t="s">
        <v>614</v>
      </c>
      <c r="E6997">
        <v>20515</v>
      </c>
      <c r="F6997" t="s">
        <v>376</v>
      </c>
      <c r="G6997">
        <v>205</v>
      </c>
      <c r="H6997" t="s">
        <v>44</v>
      </c>
      <c r="I6997">
        <v>2</v>
      </c>
      <c r="J6997" t="s">
        <v>40</v>
      </c>
    </row>
    <row r="6998" spans="1:10" x14ac:dyDescent="0.25">
      <c r="A6998" t="s">
        <v>145</v>
      </c>
      <c r="B6998">
        <f>46247.8581244968*(1/100/100)</f>
        <v>4.6247858124496801</v>
      </c>
      <c r="C6998">
        <v>74512</v>
      </c>
      <c r="D6998" t="s">
        <v>2528</v>
      </c>
      <c r="E6998">
        <v>20527</v>
      </c>
      <c r="F6998" t="s">
        <v>2527</v>
      </c>
      <c r="G6998">
        <v>205</v>
      </c>
      <c r="H6998" t="s">
        <v>44</v>
      </c>
      <c r="I6998">
        <v>2</v>
      </c>
      <c r="J6998" t="s">
        <v>40</v>
      </c>
    </row>
    <row r="6999" spans="1:10" x14ac:dyDescent="0.25">
      <c r="A6999" t="s">
        <v>145</v>
      </c>
      <c r="B6999">
        <f>174224.73283252*(1/100/100)</f>
        <v>17.422473283252003</v>
      </c>
      <c r="C6999">
        <v>74513</v>
      </c>
      <c r="D6999" t="s">
        <v>2543</v>
      </c>
      <c r="E6999">
        <v>20534</v>
      </c>
      <c r="F6999" t="s">
        <v>382</v>
      </c>
      <c r="G6999">
        <v>205</v>
      </c>
      <c r="H6999" t="s">
        <v>44</v>
      </c>
      <c r="I6999">
        <v>2</v>
      </c>
      <c r="J6999" t="s">
        <v>40</v>
      </c>
    </row>
    <row r="7000" spans="1:10" x14ac:dyDescent="0.25">
      <c r="A7000" t="s">
        <v>145</v>
      </c>
      <c r="B7000">
        <f>193466.645037553*(1/100/100)</f>
        <v>19.346664503755303</v>
      </c>
      <c r="C7000">
        <v>74514</v>
      </c>
      <c r="D7000" t="s">
        <v>2523</v>
      </c>
      <c r="E7000">
        <v>20523</v>
      </c>
      <c r="F7000" t="s">
        <v>2521</v>
      </c>
      <c r="G7000">
        <v>205</v>
      </c>
      <c r="H7000" t="s">
        <v>44</v>
      </c>
      <c r="I7000">
        <v>2</v>
      </c>
      <c r="J7000" t="s">
        <v>40</v>
      </c>
    </row>
    <row r="7001" spans="1:10" x14ac:dyDescent="0.25">
      <c r="A7001" t="s">
        <v>145</v>
      </c>
      <c r="B7001">
        <f>8282.36003375309*(1/100/100)</f>
        <v>0.828236003375309</v>
      </c>
      <c r="C7001">
        <v>74515</v>
      </c>
      <c r="D7001" t="s">
        <v>2544</v>
      </c>
      <c r="E7001">
        <v>20534</v>
      </c>
      <c r="F7001" t="s">
        <v>382</v>
      </c>
      <c r="G7001">
        <v>205</v>
      </c>
      <c r="H7001" t="s">
        <v>44</v>
      </c>
      <c r="I7001">
        <v>2</v>
      </c>
      <c r="J7001" t="s">
        <v>40</v>
      </c>
    </row>
    <row r="7002" spans="1:10" x14ac:dyDescent="0.25">
      <c r="A7002" t="s">
        <v>145</v>
      </c>
      <c r="B7002">
        <f>17611.5728240071*(1/100/100)</f>
        <v>1.76115728240071</v>
      </c>
      <c r="C7002">
        <v>74516</v>
      </c>
      <c r="D7002" t="s">
        <v>2505</v>
      </c>
      <c r="E7002">
        <v>20515</v>
      </c>
      <c r="F7002" t="s">
        <v>376</v>
      </c>
      <c r="G7002">
        <v>205</v>
      </c>
      <c r="H7002" t="s">
        <v>44</v>
      </c>
      <c r="I7002">
        <v>2</v>
      </c>
      <c r="J7002" t="s">
        <v>40</v>
      </c>
    </row>
    <row r="7003" spans="1:10" x14ac:dyDescent="0.25">
      <c r="A7003" t="s">
        <v>145</v>
      </c>
      <c r="B7003">
        <f>62430.690185659*(1/100/100)</f>
        <v>6.2430690185659001</v>
      </c>
      <c r="C7003">
        <v>74517</v>
      </c>
      <c r="D7003" t="s">
        <v>2519</v>
      </c>
      <c r="E7003">
        <v>20520</v>
      </c>
      <c r="F7003" t="s">
        <v>379</v>
      </c>
      <c r="G7003">
        <v>205</v>
      </c>
      <c r="H7003" t="s">
        <v>44</v>
      </c>
      <c r="I7003">
        <v>2</v>
      </c>
      <c r="J7003" t="s">
        <v>40</v>
      </c>
    </row>
    <row r="7004" spans="1:10" x14ac:dyDescent="0.25">
      <c r="A7004" t="s">
        <v>145</v>
      </c>
      <c r="B7004">
        <f>32907.8533680095*(1/100/100)</f>
        <v>3.2907853368009499</v>
      </c>
      <c r="C7004">
        <v>74518</v>
      </c>
      <c r="D7004" t="s">
        <v>2529</v>
      </c>
      <c r="E7004">
        <v>20527</v>
      </c>
      <c r="F7004" t="s">
        <v>2527</v>
      </c>
      <c r="G7004">
        <v>205</v>
      </c>
      <c r="H7004" t="s">
        <v>44</v>
      </c>
      <c r="I7004">
        <v>2</v>
      </c>
      <c r="J7004" t="s">
        <v>40</v>
      </c>
    </row>
    <row r="7005" spans="1:10" x14ac:dyDescent="0.25">
      <c r="A7005" t="s">
        <v>145</v>
      </c>
      <c r="B7005">
        <f>90663.1838370999*(1/100/100)</f>
        <v>9.0663183837099908</v>
      </c>
      <c r="C7005">
        <v>74519</v>
      </c>
      <c r="D7005" t="s">
        <v>2545</v>
      </c>
      <c r="E7005">
        <v>20534</v>
      </c>
      <c r="F7005" t="s">
        <v>382</v>
      </c>
      <c r="G7005">
        <v>205</v>
      </c>
      <c r="H7005" t="s">
        <v>44</v>
      </c>
      <c r="I7005">
        <v>2</v>
      </c>
      <c r="J7005" t="s">
        <v>40</v>
      </c>
    </row>
    <row r="7006" spans="1:10" x14ac:dyDescent="0.25">
      <c r="A7006" t="s">
        <v>145</v>
      </c>
      <c r="B7006">
        <f>54850.7636686712*(1/100/100)</f>
        <v>5.4850763668671201</v>
      </c>
      <c r="C7006">
        <v>74520</v>
      </c>
      <c r="D7006" t="s">
        <v>2524</v>
      </c>
      <c r="E7006">
        <v>20523</v>
      </c>
      <c r="F7006" t="s">
        <v>2521</v>
      </c>
      <c r="G7006">
        <v>205</v>
      </c>
      <c r="H7006" t="s">
        <v>44</v>
      </c>
      <c r="I7006">
        <v>2</v>
      </c>
      <c r="J7006" t="s">
        <v>40</v>
      </c>
    </row>
    <row r="7007" spans="1:10" x14ac:dyDescent="0.25">
      <c r="A7007" t="s">
        <v>145</v>
      </c>
      <c r="B7007">
        <f>8020.50540735705*(1/100/100)</f>
        <v>0.80205054073570503</v>
      </c>
      <c r="C7007">
        <v>74521</v>
      </c>
      <c r="D7007" t="s">
        <v>2546</v>
      </c>
      <c r="E7007">
        <v>20534</v>
      </c>
      <c r="F7007" t="s">
        <v>382</v>
      </c>
      <c r="G7007">
        <v>205</v>
      </c>
      <c r="H7007" t="s">
        <v>44</v>
      </c>
      <c r="I7007">
        <v>2</v>
      </c>
      <c r="J7007" t="s">
        <v>40</v>
      </c>
    </row>
    <row r="7008" spans="1:10" x14ac:dyDescent="0.25">
      <c r="A7008" t="s">
        <v>145</v>
      </c>
      <c r="B7008">
        <f>14106.6282629971*(1/100/100)</f>
        <v>1.4106628262997101</v>
      </c>
      <c r="C7008">
        <v>74522</v>
      </c>
      <c r="D7008" t="s">
        <v>2506</v>
      </c>
      <c r="E7008">
        <v>20515</v>
      </c>
      <c r="F7008" t="s">
        <v>376</v>
      </c>
      <c r="G7008">
        <v>205</v>
      </c>
      <c r="H7008" t="s">
        <v>44</v>
      </c>
      <c r="I7008">
        <v>2</v>
      </c>
      <c r="J7008" t="s">
        <v>40</v>
      </c>
    </row>
    <row r="7009" spans="1:10" x14ac:dyDescent="0.25">
      <c r="A7009" t="s">
        <v>145</v>
      </c>
      <c r="B7009">
        <f>32286.1689537669*(1/100/100)</f>
        <v>3.2286168953766903</v>
      </c>
      <c r="C7009">
        <v>74523</v>
      </c>
      <c r="D7009" t="s">
        <v>2530</v>
      </c>
      <c r="E7009">
        <v>20527</v>
      </c>
      <c r="F7009" t="s">
        <v>2527</v>
      </c>
      <c r="G7009">
        <v>205</v>
      </c>
      <c r="H7009" t="s">
        <v>44</v>
      </c>
      <c r="I7009">
        <v>2</v>
      </c>
      <c r="J7009" t="s">
        <v>40</v>
      </c>
    </row>
    <row r="7010" spans="1:10" x14ac:dyDescent="0.25">
      <c r="A7010" t="s">
        <v>145</v>
      </c>
      <c r="B7010">
        <f>135903.839462183*(1/100/100)</f>
        <v>13.590383946218301</v>
      </c>
      <c r="C7010">
        <v>74524</v>
      </c>
      <c r="D7010" t="s">
        <v>2507</v>
      </c>
      <c r="E7010">
        <v>20515</v>
      </c>
      <c r="F7010" t="s">
        <v>376</v>
      </c>
      <c r="G7010">
        <v>205</v>
      </c>
      <c r="H7010" t="s">
        <v>44</v>
      </c>
      <c r="I7010">
        <v>2</v>
      </c>
      <c r="J7010" t="s">
        <v>40</v>
      </c>
    </row>
    <row r="7011" spans="1:10" x14ac:dyDescent="0.25">
      <c r="A7011" t="s">
        <v>145</v>
      </c>
      <c r="B7011">
        <f>26355.6347479494*(1/100/100)</f>
        <v>2.6355634747949401</v>
      </c>
      <c r="C7011">
        <v>74525</v>
      </c>
      <c r="D7011" t="s">
        <v>2508</v>
      </c>
      <c r="E7011">
        <v>20515</v>
      </c>
      <c r="F7011" t="s">
        <v>376</v>
      </c>
      <c r="G7011">
        <v>205</v>
      </c>
      <c r="H7011" t="s">
        <v>44</v>
      </c>
      <c r="I7011">
        <v>2</v>
      </c>
      <c r="J7011" t="s">
        <v>40</v>
      </c>
    </row>
    <row r="7012" spans="1:10" x14ac:dyDescent="0.25">
      <c r="A7012" t="s">
        <v>145</v>
      </c>
      <c r="B7012">
        <f>344560.202936286*(1/100/100)</f>
        <v>34.456020293628598</v>
      </c>
      <c r="C7012">
        <v>74526</v>
      </c>
      <c r="D7012" t="s">
        <v>2531</v>
      </c>
      <c r="E7012">
        <v>20527</v>
      </c>
      <c r="F7012" t="s">
        <v>2527</v>
      </c>
      <c r="G7012">
        <v>205</v>
      </c>
      <c r="H7012" t="s">
        <v>44</v>
      </c>
      <c r="I7012">
        <v>2</v>
      </c>
      <c r="J7012" t="s">
        <v>40</v>
      </c>
    </row>
    <row r="7013" spans="1:10" x14ac:dyDescent="0.25">
      <c r="A7013" t="s">
        <v>145</v>
      </c>
      <c r="B7013">
        <f>61530.9263196308*(1/100/100)</f>
        <v>6.1530926319630801</v>
      </c>
      <c r="C7013">
        <v>74527</v>
      </c>
      <c r="D7013" t="s">
        <v>2521</v>
      </c>
      <c r="E7013">
        <v>20523</v>
      </c>
      <c r="F7013" t="s">
        <v>2521</v>
      </c>
      <c r="G7013">
        <v>205</v>
      </c>
      <c r="H7013" t="s">
        <v>44</v>
      </c>
      <c r="I7013">
        <v>2</v>
      </c>
      <c r="J7013" t="s">
        <v>40</v>
      </c>
    </row>
    <row r="7014" spans="1:10" x14ac:dyDescent="0.25">
      <c r="A7014" t="s">
        <v>145</v>
      </c>
      <c r="B7014">
        <f>712378.913190507*(1/100/100)</f>
        <v>71.237891319050703</v>
      </c>
      <c r="C7014">
        <v>74528</v>
      </c>
      <c r="D7014" t="s">
        <v>2527</v>
      </c>
      <c r="E7014">
        <v>20527</v>
      </c>
      <c r="F7014" t="s">
        <v>2527</v>
      </c>
      <c r="G7014">
        <v>205</v>
      </c>
      <c r="H7014" t="s">
        <v>44</v>
      </c>
      <c r="I7014">
        <v>2</v>
      </c>
      <c r="J7014" t="s">
        <v>40</v>
      </c>
    </row>
    <row r="7015" spans="1:10" x14ac:dyDescent="0.25">
      <c r="A7015" t="s">
        <v>145</v>
      </c>
      <c r="B7015">
        <f>33986.1280554823*(1/100/100)</f>
        <v>3.3986128055482303</v>
      </c>
      <c r="C7015">
        <v>74529</v>
      </c>
      <c r="D7015" t="s">
        <v>2547</v>
      </c>
      <c r="E7015">
        <v>20534</v>
      </c>
      <c r="F7015" t="s">
        <v>382</v>
      </c>
      <c r="G7015">
        <v>205</v>
      </c>
      <c r="H7015" t="s">
        <v>44</v>
      </c>
      <c r="I7015">
        <v>2</v>
      </c>
      <c r="J7015" t="s">
        <v>40</v>
      </c>
    </row>
    <row r="7016" spans="1:10" x14ac:dyDescent="0.25">
      <c r="A7016" t="s">
        <v>145</v>
      </c>
      <c r="B7016">
        <f>29088.851687619*(1/100/100)</f>
        <v>2.9088851687619002</v>
      </c>
      <c r="C7016">
        <v>74530</v>
      </c>
      <c r="D7016" t="s">
        <v>2509</v>
      </c>
      <c r="E7016">
        <v>20515</v>
      </c>
      <c r="F7016" t="s">
        <v>376</v>
      </c>
      <c r="G7016">
        <v>205</v>
      </c>
      <c r="H7016" t="s">
        <v>44</v>
      </c>
      <c r="I7016">
        <v>2</v>
      </c>
      <c r="J7016" t="s">
        <v>40</v>
      </c>
    </row>
    <row r="7017" spans="1:10" x14ac:dyDescent="0.25">
      <c r="A7017" t="s">
        <v>145</v>
      </c>
      <c r="B7017">
        <f>29946.1045444085*(1/100/100)</f>
        <v>2.9946104544408501</v>
      </c>
      <c r="C7017">
        <v>74531</v>
      </c>
      <c r="D7017" t="s">
        <v>2510</v>
      </c>
      <c r="E7017">
        <v>20515</v>
      </c>
      <c r="F7017" t="s">
        <v>376</v>
      </c>
      <c r="G7017">
        <v>205</v>
      </c>
      <c r="H7017" t="s">
        <v>44</v>
      </c>
      <c r="I7017">
        <v>2</v>
      </c>
      <c r="J7017" t="s">
        <v>40</v>
      </c>
    </row>
    <row r="7018" spans="1:10" x14ac:dyDescent="0.25">
      <c r="A7018" t="s">
        <v>145</v>
      </c>
      <c r="B7018">
        <f>38135.3811793095*(1/100/100)</f>
        <v>3.8135381179309502</v>
      </c>
      <c r="C7018">
        <v>74532</v>
      </c>
      <c r="D7018" t="s">
        <v>2548</v>
      </c>
      <c r="E7018">
        <v>20534</v>
      </c>
      <c r="F7018" t="s">
        <v>382</v>
      </c>
      <c r="G7018">
        <v>205</v>
      </c>
      <c r="H7018" t="s">
        <v>44</v>
      </c>
      <c r="I7018">
        <v>2</v>
      </c>
      <c r="J7018" t="s">
        <v>40</v>
      </c>
    </row>
    <row r="7019" spans="1:10" x14ac:dyDescent="0.25">
      <c r="A7019" t="s">
        <v>145</v>
      </c>
      <c r="B7019">
        <f>6667.10793018739*(1/100/100)</f>
        <v>0.66671079301873903</v>
      </c>
      <c r="C7019">
        <v>74533</v>
      </c>
      <c r="D7019" t="s">
        <v>2525</v>
      </c>
      <c r="E7019">
        <v>20523</v>
      </c>
      <c r="F7019" t="s">
        <v>2521</v>
      </c>
      <c r="G7019">
        <v>205</v>
      </c>
      <c r="H7019" t="s">
        <v>44</v>
      </c>
      <c r="I7019">
        <v>2</v>
      </c>
      <c r="J7019" t="s">
        <v>40</v>
      </c>
    </row>
    <row r="7020" spans="1:10" x14ac:dyDescent="0.25">
      <c r="A7020" t="s">
        <v>145</v>
      </c>
      <c r="B7020">
        <f>21540.6077609431*(1/100/100)</f>
        <v>2.15406077609431</v>
      </c>
      <c r="C7020">
        <v>74534</v>
      </c>
      <c r="D7020" t="s">
        <v>2532</v>
      </c>
      <c r="E7020">
        <v>20527</v>
      </c>
      <c r="F7020" t="s">
        <v>2527</v>
      </c>
      <c r="G7020">
        <v>205</v>
      </c>
      <c r="H7020" t="s">
        <v>44</v>
      </c>
      <c r="I7020">
        <v>2</v>
      </c>
      <c r="J7020" t="s">
        <v>40</v>
      </c>
    </row>
    <row r="7021" spans="1:10" x14ac:dyDescent="0.25">
      <c r="A7021" t="s">
        <v>145</v>
      </c>
      <c r="B7021">
        <f>94215.8601707647*(1/100/100)</f>
        <v>9.4215860170764714</v>
      </c>
      <c r="C7021">
        <v>75001</v>
      </c>
      <c r="D7021" t="s">
        <v>2063</v>
      </c>
      <c r="E7021">
        <v>20305</v>
      </c>
      <c r="F7021" t="s">
        <v>344</v>
      </c>
      <c r="G7021">
        <v>203</v>
      </c>
      <c r="H7021" t="s">
        <v>42</v>
      </c>
      <c r="I7021">
        <v>2</v>
      </c>
      <c r="J7021" t="s">
        <v>40</v>
      </c>
    </row>
    <row r="7022" spans="1:10" x14ac:dyDescent="0.25">
      <c r="A7022" t="s">
        <v>145</v>
      </c>
      <c r="B7022">
        <f>73609.7186943925*(1/100/100)</f>
        <v>7.3609718694392505</v>
      </c>
      <c r="C7022">
        <v>75002</v>
      </c>
      <c r="D7022" t="s">
        <v>2337</v>
      </c>
      <c r="E7022">
        <v>20305</v>
      </c>
      <c r="F7022" t="s">
        <v>344</v>
      </c>
      <c r="G7022">
        <v>203</v>
      </c>
      <c r="H7022" t="s">
        <v>42</v>
      </c>
      <c r="I7022">
        <v>2</v>
      </c>
      <c r="J7022" t="s">
        <v>40</v>
      </c>
    </row>
    <row r="7023" spans="1:10" x14ac:dyDescent="0.25">
      <c r="A7023" t="s">
        <v>145</v>
      </c>
      <c r="B7023">
        <f>24946.7167594586*(1/100/100)</f>
        <v>2.49467167594586</v>
      </c>
      <c r="C7023">
        <v>75003</v>
      </c>
      <c r="D7023" t="s">
        <v>2338</v>
      </c>
      <c r="E7023">
        <v>20305</v>
      </c>
      <c r="F7023" t="s">
        <v>344</v>
      </c>
      <c r="G7023">
        <v>203</v>
      </c>
      <c r="H7023" t="s">
        <v>42</v>
      </c>
      <c r="I7023">
        <v>2</v>
      </c>
      <c r="J7023" t="s">
        <v>40</v>
      </c>
    </row>
    <row r="7024" spans="1:10" x14ac:dyDescent="0.25">
      <c r="A7024" t="s">
        <v>145</v>
      </c>
      <c r="B7024">
        <f>23285.966090365*(1/100/100)</f>
        <v>2.3285966090365</v>
      </c>
      <c r="C7024">
        <v>75004</v>
      </c>
      <c r="D7024" t="s">
        <v>2354</v>
      </c>
      <c r="E7024">
        <v>20316</v>
      </c>
      <c r="F7024" t="s">
        <v>2355</v>
      </c>
      <c r="G7024">
        <v>203</v>
      </c>
      <c r="H7024" t="s">
        <v>42</v>
      </c>
      <c r="I7024">
        <v>2</v>
      </c>
      <c r="J7024" t="s">
        <v>40</v>
      </c>
    </row>
    <row r="7025" spans="1:10" x14ac:dyDescent="0.25">
      <c r="A7025" t="s">
        <v>145</v>
      </c>
      <c r="B7025">
        <f>148840.021941599*(1/100/100)</f>
        <v>14.884002194159901</v>
      </c>
      <c r="C7025">
        <v>75005</v>
      </c>
      <c r="D7025" t="s">
        <v>42</v>
      </c>
      <c r="E7025">
        <v>20305</v>
      </c>
      <c r="F7025" t="s">
        <v>344</v>
      </c>
      <c r="G7025">
        <v>203</v>
      </c>
      <c r="H7025" t="s">
        <v>42</v>
      </c>
      <c r="I7025">
        <v>2</v>
      </c>
      <c r="J7025" t="s">
        <v>40</v>
      </c>
    </row>
    <row r="7026" spans="1:10" x14ac:dyDescent="0.25">
      <c r="A7026" t="s">
        <v>145</v>
      </c>
      <c r="B7026">
        <f>25040.6445094169*(1/100/100)</f>
        <v>2.5040644509416903</v>
      </c>
      <c r="C7026">
        <v>75006</v>
      </c>
      <c r="D7026" t="s">
        <v>1411</v>
      </c>
      <c r="E7026">
        <v>20316</v>
      </c>
      <c r="F7026" t="s">
        <v>2355</v>
      </c>
      <c r="G7026">
        <v>203</v>
      </c>
      <c r="H7026" t="s">
        <v>42</v>
      </c>
      <c r="I7026">
        <v>2</v>
      </c>
      <c r="J7026" t="s">
        <v>40</v>
      </c>
    </row>
    <row r="7027" spans="1:10" x14ac:dyDescent="0.25">
      <c r="A7027" t="s">
        <v>145</v>
      </c>
      <c r="B7027">
        <f>2852.12197850679*(1/100/100)</f>
        <v>0.28521219785067903</v>
      </c>
      <c r="C7027">
        <v>75007</v>
      </c>
      <c r="D7027" t="s">
        <v>2339</v>
      </c>
      <c r="E7027">
        <v>20305</v>
      </c>
      <c r="F7027" t="s">
        <v>344</v>
      </c>
      <c r="G7027">
        <v>203</v>
      </c>
      <c r="H7027" t="s">
        <v>42</v>
      </c>
      <c r="I7027">
        <v>2</v>
      </c>
      <c r="J7027" t="s">
        <v>40</v>
      </c>
    </row>
    <row r="7028" spans="1:10" x14ac:dyDescent="0.25">
      <c r="A7028" t="s">
        <v>145</v>
      </c>
      <c r="B7028">
        <f>23302.5863894211*(1/100/100)</f>
        <v>2.33025863894211</v>
      </c>
      <c r="C7028">
        <v>75008</v>
      </c>
      <c r="D7028" t="s">
        <v>2356</v>
      </c>
      <c r="E7028">
        <v>20316</v>
      </c>
      <c r="F7028" t="s">
        <v>2355</v>
      </c>
      <c r="G7028">
        <v>203</v>
      </c>
      <c r="H7028" t="s">
        <v>42</v>
      </c>
      <c r="I7028">
        <v>2</v>
      </c>
      <c r="J7028" t="s">
        <v>40</v>
      </c>
    </row>
    <row r="7029" spans="1:10" x14ac:dyDescent="0.25">
      <c r="A7029" t="s">
        <v>145</v>
      </c>
      <c r="B7029">
        <f>55942.4374234189*(1/100/100)</f>
        <v>5.5942437423418907</v>
      </c>
      <c r="C7029">
        <v>75009</v>
      </c>
      <c r="D7029" t="s">
        <v>2340</v>
      </c>
      <c r="E7029">
        <v>20305</v>
      </c>
      <c r="F7029" t="s">
        <v>344</v>
      </c>
      <c r="G7029">
        <v>203</v>
      </c>
      <c r="H7029" t="s">
        <v>42</v>
      </c>
      <c r="I7029">
        <v>2</v>
      </c>
      <c r="J7029" t="s">
        <v>40</v>
      </c>
    </row>
    <row r="7030" spans="1:10" x14ac:dyDescent="0.25">
      <c r="A7030" t="s">
        <v>145</v>
      </c>
      <c r="B7030">
        <f>80817.5247199203*(1/100/100)</f>
        <v>8.0817524719920311</v>
      </c>
      <c r="C7030">
        <v>75010</v>
      </c>
      <c r="D7030" t="s">
        <v>2341</v>
      </c>
      <c r="E7030">
        <v>20305</v>
      </c>
      <c r="F7030" t="s">
        <v>344</v>
      </c>
      <c r="G7030">
        <v>203</v>
      </c>
      <c r="H7030" t="s">
        <v>42</v>
      </c>
      <c r="I7030">
        <v>2</v>
      </c>
      <c r="J7030" t="s">
        <v>40</v>
      </c>
    </row>
    <row r="7031" spans="1:10" x14ac:dyDescent="0.25">
      <c r="A7031" t="s">
        <v>145</v>
      </c>
      <c r="B7031">
        <f>54503.1445087191*(1/100/100)</f>
        <v>5.4503144508719101</v>
      </c>
      <c r="C7031">
        <v>75011</v>
      </c>
      <c r="D7031" t="s">
        <v>2342</v>
      </c>
      <c r="E7031">
        <v>20305</v>
      </c>
      <c r="F7031" t="s">
        <v>344</v>
      </c>
      <c r="G7031">
        <v>203</v>
      </c>
      <c r="H7031" t="s">
        <v>42</v>
      </c>
      <c r="I7031">
        <v>2</v>
      </c>
      <c r="J7031" t="s">
        <v>40</v>
      </c>
    </row>
    <row r="7032" spans="1:10" x14ac:dyDescent="0.25">
      <c r="A7032" t="s">
        <v>145</v>
      </c>
      <c r="B7032">
        <f>69257.4581878598*(1/100/100)</f>
        <v>6.9257458187859804</v>
      </c>
      <c r="C7032">
        <v>75012</v>
      </c>
      <c r="D7032" t="s">
        <v>2343</v>
      </c>
      <c r="E7032">
        <v>20305</v>
      </c>
      <c r="F7032" t="s">
        <v>344</v>
      </c>
      <c r="G7032">
        <v>203</v>
      </c>
      <c r="H7032" t="s">
        <v>42</v>
      </c>
      <c r="I7032">
        <v>2</v>
      </c>
      <c r="J7032" t="s">
        <v>40</v>
      </c>
    </row>
    <row r="7033" spans="1:10" x14ac:dyDescent="0.25">
      <c r="A7033" t="s">
        <v>145</v>
      </c>
      <c r="B7033">
        <f>54261.3499131515*(1/100/100)</f>
        <v>5.4261349913151502</v>
      </c>
      <c r="C7033">
        <v>75013</v>
      </c>
      <c r="D7033" t="s">
        <v>2344</v>
      </c>
      <c r="E7033">
        <v>20305</v>
      </c>
      <c r="F7033" t="s">
        <v>344</v>
      </c>
      <c r="G7033">
        <v>203</v>
      </c>
      <c r="H7033" t="s">
        <v>42</v>
      </c>
      <c r="I7033">
        <v>2</v>
      </c>
      <c r="J7033" t="s">
        <v>40</v>
      </c>
    </row>
    <row r="7034" spans="1:10" x14ac:dyDescent="0.25">
      <c r="A7034" t="s">
        <v>145</v>
      </c>
      <c r="B7034">
        <f>66230.7803526161*(1/100/100)</f>
        <v>6.6230780352616101</v>
      </c>
      <c r="C7034">
        <v>75014</v>
      </c>
      <c r="D7034" t="s">
        <v>2360</v>
      </c>
      <c r="E7034">
        <v>20320</v>
      </c>
      <c r="F7034" t="s">
        <v>347</v>
      </c>
      <c r="G7034">
        <v>203</v>
      </c>
      <c r="H7034" t="s">
        <v>42</v>
      </c>
      <c r="I7034">
        <v>2</v>
      </c>
      <c r="J7034" t="s">
        <v>40</v>
      </c>
    </row>
    <row r="7035" spans="1:10" x14ac:dyDescent="0.25">
      <c r="A7035" t="s">
        <v>145</v>
      </c>
      <c r="B7035">
        <f>27998.7832156172*(1/100/100)</f>
        <v>2.79987832156172</v>
      </c>
      <c r="C7035">
        <v>75015</v>
      </c>
      <c r="D7035" t="s">
        <v>2357</v>
      </c>
      <c r="E7035">
        <v>20316</v>
      </c>
      <c r="F7035" t="s">
        <v>2355</v>
      </c>
      <c r="G7035">
        <v>203</v>
      </c>
      <c r="H7035" t="s">
        <v>42</v>
      </c>
      <c r="I7035">
        <v>2</v>
      </c>
      <c r="J7035" t="s">
        <v>40</v>
      </c>
    </row>
    <row r="7036" spans="1:10" x14ac:dyDescent="0.25">
      <c r="A7036" t="s">
        <v>145</v>
      </c>
      <c r="B7036">
        <f>65082.3358556293*(1/100/100)</f>
        <v>6.5082335855629303</v>
      </c>
      <c r="C7036">
        <v>75016</v>
      </c>
      <c r="D7036" t="s">
        <v>2358</v>
      </c>
      <c r="E7036">
        <v>20316</v>
      </c>
      <c r="F7036" t="s">
        <v>2355</v>
      </c>
      <c r="G7036">
        <v>203</v>
      </c>
      <c r="H7036" t="s">
        <v>42</v>
      </c>
      <c r="I7036">
        <v>2</v>
      </c>
      <c r="J7036" t="s">
        <v>40</v>
      </c>
    </row>
    <row r="7037" spans="1:10" x14ac:dyDescent="0.25">
      <c r="A7037" t="s">
        <v>145</v>
      </c>
      <c r="B7037">
        <f>169008.643823557*(1/100/100)</f>
        <v>16.900864382355703</v>
      </c>
      <c r="C7037">
        <v>75017</v>
      </c>
      <c r="D7037" t="s">
        <v>2345</v>
      </c>
      <c r="E7037">
        <v>20305</v>
      </c>
      <c r="F7037" t="s">
        <v>344</v>
      </c>
      <c r="G7037">
        <v>203</v>
      </c>
      <c r="H7037" t="s">
        <v>42</v>
      </c>
      <c r="I7037">
        <v>2</v>
      </c>
      <c r="J7037" t="s">
        <v>40</v>
      </c>
    </row>
    <row r="7038" spans="1:10" x14ac:dyDescent="0.25">
      <c r="A7038" t="s">
        <v>145</v>
      </c>
      <c r="B7038">
        <f>106357.413932194*(1/100/100)</f>
        <v>10.635741393219401</v>
      </c>
      <c r="C7038">
        <v>75018</v>
      </c>
      <c r="D7038" t="s">
        <v>2346</v>
      </c>
      <c r="E7038">
        <v>20305</v>
      </c>
      <c r="F7038" t="s">
        <v>344</v>
      </c>
      <c r="G7038">
        <v>203</v>
      </c>
      <c r="H7038" t="s">
        <v>42</v>
      </c>
      <c r="I7038">
        <v>2</v>
      </c>
      <c r="J7038" t="s">
        <v>40</v>
      </c>
    </row>
    <row r="7039" spans="1:10" x14ac:dyDescent="0.25">
      <c r="A7039" t="s">
        <v>145</v>
      </c>
      <c r="B7039">
        <f>56636.0521039411*(1/100/100)</f>
        <v>5.6636052103941106</v>
      </c>
      <c r="C7039">
        <v>75019</v>
      </c>
      <c r="D7039" t="s">
        <v>2359</v>
      </c>
      <c r="E7039">
        <v>20316</v>
      </c>
      <c r="F7039" t="s">
        <v>2355</v>
      </c>
      <c r="G7039">
        <v>203</v>
      </c>
      <c r="H7039" t="s">
        <v>42</v>
      </c>
      <c r="I7039">
        <v>2</v>
      </c>
      <c r="J7039" t="s">
        <v>40</v>
      </c>
    </row>
    <row r="7040" spans="1:10" x14ac:dyDescent="0.25">
      <c r="A7040" t="s">
        <v>145</v>
      </c>
      <c r="B7040">
        <f>31179.9489981804*(1/100/100)</f>
        <v>3.11799489981804</v>
      </c>
      <c r="C7040">
        <v>75020</v>
      </c>
      <c r="D7040" t="s">
        <v>2347</v>
      </c>
      <c r="E7040">
        <v>20306</v>
      </c>
      <c r="F7040" t="s">
        <v>345</v>
      </c>
      <c r="G7040">
        <v>203</v>
      </c>
      <c r="H7040" t="s">
        <v>42</v>
      </c>
      <c r="I7040">
        <v>2</v>
      </c>
      <c r="J7040" t="s">
        <v>40</v>
      </c>
    </row>
    <row r="7041" spans="1:10" x14ac:dyDescent="0.25">
      <c r="A7041" t="s">
        <v>145</v>
      </c>
      <c r="B7041">
        <f>94796.4420641326*(1/100/100)</f>
        <v>9.4796442064132602</v>
      </c>
      <c r="C7041">
        <v>75021</v>
      </c>
      <c r="D7041" t="s">
        <v>2361</v>
      </c>
      <c r="E7041">
        <v>20320</v>
      </c>
      <c r="F7041" t="s">
        <v>347</v>
      </c>
      <c r="G7041">
        <v>203</v>
      </c>
      <c r="H7041" t="s">
        <v>42</v>
      </c>
      <c r="I7041">
        <v>2</v>
      </c>
      <c r="J7041" t="s">
        <v>40</v>
      </c>
    </row>
    <row r="7042" spans="1:10" x14ac:dyDescent="0.25">
      <c r="A7042" t="s">
        <v>145</v>
      </c>
      <c r="B7042">
        <f>147032.172419236*(1/100/100)</f>
        <v>14.703217241923602</v>
      </c>
      <c r="C7042">
        <v>75101</v>
      </c>
      <c r="D7042" t="s">
        <v>343</v>
      </c>
      <c r="E7042">
        <v>20302</v>
      </c>
      <c r="F7042" t="s">
        <v>343</v>
      </c>
      <c r="G7042">
        <v>203</v>
      </c>
      <c r="H7042" t="s">
        <v>42</v>
      </c>
      <c r="I7042">
        <v>2</v>
      </c>
      <c r="J7042" t="s">
        <v>40</v>
      </c>
    </row>
    <row r="7043" spans="1:10" x14ac:dyDescent="0.25">
      <c r="A7043" t="s">
        <v>145</v>
      </c>
      <c r="B7043">
        <f>94064.5021139711*(1/100/100)</f>
        <v>9.4064502113971109</v>
      </c>
      <c r="C7043">
        <v>75102</v>
      </c>
      <c r="D7043" t="s">
        <v>2348</v>
      </c>
      <c r="E7043">
        <v>20306</v>
      </c>
      <c r="F7043" t="s">
        <v>345</v>
      </c>
      <c r="G7043">
        <v>203</v>
      </c>
      <c r="H7043" t="s">
        <v>42</v>
      </c>
      <c r="I7043">
        <v>2</v>
      </c>
      <c r="J7043" t="s">
        <v>40</v>
      </c>
    </row>
    <row r="7044" spans="1:10" x14ac:dyDescent="0.25">
      <c r="A7044" t="s">
        <v>145</v>
      </c>
      <c r="B7044">
        <f>103407.102502406*(1/100/100)</f>
        <v>10.340710250240601</v>
      </c>
      <c r="C7044">
        <v>75103</v>
      </c>
      <c r="D7044" t="s">
        <v>345</v>
      </c>
      <c r="E7044">
        <v>20306</v>
      </c>
      <c r="F7044" t="s">
        <v>345</v>
      </c>
      <c r="G7044">
        <v>203</v>
      </c>
      <c r="H7044" t="s">
        <v>42</v>
      </c>
      <c r="I7044">
        <v>2</v>
      </c>
      <c r="J7044" t="s">
        <v>40</v>
      </c>
    </row>
    <row r="7045" spans="1:10" x14ac:dyDescent="0.25">
      <c r="A7045" t="s">
        <v>145</v>
      </c>
      <c r="B7045">
        <f>42443.8323640741*(1/100/100)</f>
        <v>4.2443832364074101</v>
      </c>
      <c r="C7045">
        <v>75104</v>
      </c>
      <c r="D7045" t="s">
        <v>2362</v>
      </c>
      <c r="E7045">
        <v>20321</v>
      </c>
      <c r="F7045" t="s">
        <v>348</v>
      </c>
      <c r="G7045">
        <v>203</v>
      </c>
      <c r="H7045" t="s">
        <v>42</v>
      </c>
      <c r="I7045">
        <v>2</v>
      </c>
      <c r="J7045" t="s">
        <v>40</v>
      </c>
    </row>
    <row r="7046" spans="1:10" x14ac:dyDescent="0.25">
      <c r="A7046" t="s">
        <v>145</v>
      </c>
      <c r="B7046">
        <f>261543.720393413*(1/100/100)</f>
        <v>26.1543720393413</v>
      </c>
      <c r="C7046">
        <v>75105</v>
      </c>
      <c r="D7046" t="s">
        <v>2350</v>
      </c>
      <c r="E7046">
        <v>20307</v>
      </c>
      <c r="F7046" t="s">
        <v>346</v>
      </c>
      <c r="G7046">
        <v>203</v>
      </c>
      <c r="H7046" t="s">
        <v>42</v>
      </c>
      <c r="I7046">
        <v>2</v>
      </c>
      <c r="J7046" t="s">
        <v>40</v>
      </c>
    </row>
    <row r="7047" spans="1:10" x14ac:dyDescent="0.25">
      <c r="A7047" t="s">
        <v>145</v>
      </c>
      <c r="B7047">
        <f>67491.0275596906*(1/100/100)</f>
        <v>6.7491027559690604</v>
      </c>
      <c r="C7047">
        <v>75106</v>
      </c>
      <c r="D7047" t="s">
        <v>2363</v>
      </c>
      <c r="E7047">
        <v>20321</v>
      </c>
      <c r="F7047" t="s">
        <v>348</v>
      </c>
      <c r="G7047">
        <v>203</v>
      </c>
      <c r="H7047" t="s">
        <v>42</v>
      </c>
      <c r="I7047">
        <v>2</v>
      </c>
      <c r="J7047" t="s">
        <v>40</v>
      </c>
    </row>
    <row r="7048" spans="1:10" x14ac:dyDescent="0.25">
      <c r="A7048" t="s">
        <v>145</v>
      </c>
      <c r="B7048">
        <f>51444.7270920467*(1/100/100)</f>
        <v>5.1444727092046705</v>
      </c>
      <c r="C7048">
        <v>75107</v>
      </c>
      <c r="D7048" t="s">
        <v>2364</v>
      </c>
      <c r="E7048">
        <v>20321</v>
      </c>
      <c r="F7048" t="s">
        <v>348</v>
      </c>
      <c r="G7048">
        <v>203</v>
      </c>
      <c r="H7048" t="s">
        <v>42</v>
      </c>
      <c r="I7048">
        <v>2</v>
      </c>
      <c r="J7048" t="s">
        <v>40</v>
      </c>
    </row>
    <row r="7049" spans="1:10" x14ac:dyDescent="0.25">
      <c r="A7049" t="s">
        <v>145</v>
      </c>
      <c r="B7049">
        <f>89450.1424273538*(1/100/100)</f>
        <v>8.9450142427353807</v>
      </c>
      <c r="C7049">
        <v>75108</v>
      </c>
      <c r="D7049" t="s">
        <v>2351</v>
      </c>
      <c r="E7049">
        <v>20307</v>
      </c>
      <c r="F7049" t="s">
        <v>346</v>
      </c>
      <c r="G7049">
        <v>203</v>
      </c>
      <c r="H7049" t="s">
        <v>42</v>
      </c>
      <c r="I7049">
        <v>2</v>
      </c>
      <c r="J7049" t="s">
        <v>40</v>
      </c>
    </row>
    <row r="7050" spans="1:10" x14ac:dyDescent="0.25">
      <c r="A7050" t="s">
        <v>145</v>
      </c>
      <c r="B7050">
        <f>74698.9296184302*(1/100/100)</f>
        <v>7.4698929618430192</v>
      </c>
      <c r="C7050">
        <v>75109</v>
      </c>
      <c r="D7050" t="s">
        <v>2349</v>
      </c>
      <c r="E7050">
        <v>20306</v>
      </c>
      <c r="F7050" t="s">
        <v>345</v>
      </c>
      <c r="G7050">
        <v>203</v>
      </c>
      <c r="H7050" t="s">
        <v>42</v>
      </c>
      <c r="I7050">
        <v>2</v>
      </c>
      <c r="J7050" t="s">
        <v>40</v>
      </c>
    </row>
    <row r="7051" spans="1:10" x14ac:dyDescent="0.25">
      <c r="A7051" t="s">
        <v>145</v>
      </c>
      <c r="B7051">
        <f>59634.0370833053*(1/100/100)</f>
        <v>5.9634037083305307</v>
      </c>
      <c r="C7051">
        <v>75110</v>
      </c>
      <c r="D7051" t="s">
        <v>2365</v>
      </c>
      <c r="E7051">
        <v>20321</v>
      </c>
      <c r="F7051" t="s">
        <v>348</v>
      </c>
      <c r="G7051">
        <v>203</v>
      </c>
      <c r="H7051" t="s">
        <v>42</v>
      </c>
      <c r="I7051">
        <v>2</v>
      </c>
      <c r="J7051" t="s">
        <v>40</v>
      </c>
    </row>
    <row r="7052" spans="1:10" x14ac:dyDescent="0.25">
      <c r="A7052" t="s">
        <v>145</v>
      </c>
      <c r="B7052">
        <f>42873.8050092357*(1/100/100)</f>
        <v>4.2873805009235699</v>
      </c>
      <c r="C7052">
        <v>75111</v>
      </c>
      <c r="D7052" t="s">
        <v>2352</v>
      </c>
      <c r="E7052">
        <v>20307</v>
      </c>
      <c r="F7052" t="s">
        <v>346</v>
      </c>
      <c r="G7052">
        <v>203</v>
      </c>
      <c r="H7052" t="s">
        <v>42</v>
      </c>
      <c r="I7052">
        <v>2</v>
      </c>
      <c r="J7052" t="s">
        <v>40</v>
      </c>
    </row>
    <row r="7053" spans="1:10" x14ac:dyDescent="0.25">
      <c r="A7053" t="s">
        <v>145</v>
      </c>
      <c r="B7053">
        <f>83771.8386964178*(1/100/100)</f>
        <v>8.3771838696417813</v>
      </c>
      <c r="C7053">
        <v>75112</v>
      </c>
      <c r="D7053" t="s">
        <v>2353</v>
      </c>
      <c r="E7053">
        <v>20307</v>
      </c>
      <c r="F7053" t="s">
        <v>346</v>
      </c>
      <c r="G7053">
        <v>203</v>
      </c>
      <c r="H7053" t="s">
        <v>42</v>
      </c>
      <c r="I7053">
        <v>2</v>
      </c>
      <c r="J7053" t="s">
        <v>40</v>
      </c>
    </row>
    <row r="7054" spans="1:10" x14ac:dyDescent="0.25">
      <c r="A7054" t="s">
        <v>145</v>
      </c>
      <c r="B7054">
        <f>302673.441054233*(1/100/100)</f>
        <v>30.267344105423302</v>
      </c>
      <c r="C7054">
        <v>75201</v>
      </c>
      <c r="D7054" t="s">
        <v>2653</v>
      </c>
      <c r="E7054">
        <v>20720</v>
      </c>
      <c r="F7054" t="s">
        <v>426</v>
      </c>
      <c r="G7054">
        <v>207</v>
      </c>
      <c r="H7054" t="s">
        <v>45</v>
      </c>
      <c r="I7054">
        <v>2</v>
      </c>
      <c r="J7054" t="s">
        <v>40</v>
      </c>
    </row>
    <row r="7055" spans="1:10" x14ac:dyDescent="0.25">
      <c r="A7055" t="s">
        <v>145</v>
      </c>
      <c r="B7055">
        <f>180536.982081299*(1/100/100)</f>
        <v>18.053698208129902</v>
      </c>
      <c r="C7055">
        <v>75202</v>
      </c>
      <c r="D7055" t="s">
        <v>421</v>
      </c>
      <c r="E7055">
        <v>20710</v>
      </c>
      <c r="F7055" t="s">
        <v>421</v>
      </c>
      <c r="G7055">
        <v>207</v>
      </c>
      <c r="H7055" t="s">
        <v>45</v>
      </c>
      <c r="I7055">
        <v>2</v>
      </c>
      <c r="J7055" t="s">
        <v>40</v>
      </c>
    </row>
    <row r="7056" spans="1:10" x14ac:dyDescent="0.25">
      <c r="A7056" t="s">
        <v>145</v>
      </c>
      <c r="B7056">
        <f>79894.9580873701*(1/100/100)</f>
        <v>7.9894958087370105</v>
      </c>
      <c r="C7056">
        <v>75203</v>
      </c>
      <c r="D7056" t="s">
        <v>423</v>
      </c>
      <c r="E7056">
        <v>20712</v>
      </c>
      <c r="F7056" t="s">
        <v>423</v>
      </c>
      <c r="G7056">
        <v>207</v>
      </c>
      <c r="H7056" t="s">
        <v>45</v>
      </c>
      <c r="I7056">
        <v>2</v>
      </c>
      <c r="J7056" t="s">
        <v>40</v>
      </c>
    </row>
    <row r="7057" spans="1:10" x14ac:dyDescent="0.25">
      <c r="A7057" t="s">
        <v>145</v>
      </c>
      <c r="B7057">
        <f>35087.3916201975*(1/100/100)</f>
        <v>3.5087391620197503</v>
      </c>
      <c r="C7057">
        <v>75204</v>
      </c>
      <c r="D7057" t="s">
        <v>2640</v>
      </c>
      <c r="E7057">
        <v>20710</v>
      </c>
      <c r="F7057" t="s">
        <v>421</v>
      </c>
      <c r="G7057">
        <v>207</v>
      </c>
      <c r="H7057" t="s">
        <v>45</v>
      </c>
      <c r="I7057">
        <v>2</v>
      </c>
      <c r="J7057" t="s">
        <v>40</v>
      </c>
    </row>
    <row r="7058" spans="1:10" x14ac:dyDescent="0.25">
      <c r="A7058" t="s">
        <v>145</v>
      </c>
      <c r="B7058">
        <f>45434.7970266826*(1/100/100)</f>
        <v>4.5434797026682601</v>
      </c>
      <c r="C7058">
        <v>75205</v>
      </c>
      <c r="D7058" t="s">
        <v>2654</v>
      </c>
      <c r="E7058">
        <v>20720</v>
      </c>
      <c r="F7058" t="s">
        <v>426</v>
      </c>
      <c r="G7058">
        <v>207</v>
      </c>
      <c r="H7058" t="s">
        <v>45</v>
      </c>
      <c r="I7058">
        <v>2</v>
      </c>
      <c r="J7058" t="s">
        <v>40</v>
      </c>
    </row>
    <row r="7059" spans="1:10" x14ac:dyDescent="0.25">
      <c r="A7059" t="s">
        <v>145</v>
      </c>
      <c r="B7059">
        <f>41871.029947764*(1/100/100)</f>
        <v>4.1871029947764002</v>
      </c>
      <c r="C7059">
        <v>75206</v>
      </c>
      <c r="D7059" t="s">
        <v>2681</v>
      </c>
      <c r="E7059">
        <v>20726</v>
      </c>
      <c r="F7059" t="s">
        <v>431</v>
      </c>
      <c r="G7059">
        <v>207</v>
      </c>
      <c r="H7059" t="s">
        <v>45</v>
      </c>
      <c r="I7059">
        <v>2</v>
      </c>
      <c r="J7059" t="s">
        <v>40</v>
      </c>
    </row>
    <row r="7060" spans="1:10" x14ac:dyDescent="0.25">
      <c r="A7060" t="s">
        <v>145</v>
      </c>
      <c r="B7060">
        <f>26176.4168872357*(1/100/100)</f>
        <v>2.6176416887235701</v>
      </c>
      <c r="C7060">
        <v>75207</v>
      </c>
      <c r="D7060" t="s">
        <v>2655</v>
      </c>
      <c r="E7060">
        <v>20720</v>
      </c>
      <c r="F7060" t="s">
        <v>426</v>
      </c>
      <c r="G7060">
        <v>207</v>
      </c>
      <c r="H7060" t="s">
        <v>45</v>
      </c>
      <c r="I7060">
        <v>2</v>
      </c>
      <c r="J7060" t="s">
        <v>40</v>
      </c>
    </row>
    <row r="7061" spans="1:10" x14ac:dyDescent="0.25">
      <c r="A7061" t="s">
        <v>145</v>
      </c>
      <c r="B7061">
        <f>43510.8593946632*(1/100/100)</f>
        <v>4.3510859394663202</v>
      </c>
      <c r="C7061">
        <v>75208</v>
      </c>
      <c r="D7061" t="s">
        <v>2648</v>
      </c>
      <c r="E7061">
        <v>20712</v>
      </c>
      <c r="F7061" t="s">
        <v>423</v>
      </c>
      <c r="G7061">
        <v>207</v>
      </c>
      <c r="H7061" t="s">
        <v>45</v>
      </c>
      <c r="I7061">
        <v>2</v>
      </c>
      <c r="J7061" t="s">
        <v>40</v>
      </c>
    </row>
    <row r="7062" spans="1:10" x14ac:dyDescent="0.25">
      <c r="A7062" t="s">
        <v>145</v>
      </c>
      <c r="B7062">
        <f>106234.528146657*(1/100/100)</f>
        <v>10.623452814665701</v>
      </c>
      <c r="C7062">
        <v>75209</v>
      </c>
      <c r="D7062" t="s">
        <v>2656</v>
      </c>
      <c r="E7062">
        <v>20720</v>
      </c>
      <c r="F7062" t="s">
        <v>426</v>
      </c>
      <c r="G7062">
        <v>207</v>
      </c>
      <c r="H7062" t="s">
        <v>45</v>
      </c>
      <c r="I7062">
        <v>2</v>
      </c>
      <c r="J7062" t="s">
        <v>40</v>
      </c>
    </row>
    <row r="7063" spans="1:10" x14ac:dyDescent="0.25">
      <c r="A7063" t="s">
        <v>145</v>
      </c>
      <c r="B7063">
        <f>57837.809688485*(1/100/100)</f>
        <v>5.7837809688485002</v>
      </c>
      <c r="C7063">
        <v>75210</v>
      </c>
      <c r="D7063" t="s">
        <v>426</v>
      </c>
      <c r="E7063">
        <v>20720</v>
      </c>
      <c r="F7063" t="s">
        <v>426</v>
      </c>
      <c r="G7063">
        <v>207</v>
      </c>
      <c r="H7063" t="s">
        <v>45</v>
      </c>
      <c r="I7063">
        <v>2</v>
      </c>
      <c r="J7063" t="s">
        <v>40</v>
      </c>
    </row>
    <row r="7064" spans="1:10" x14ac:dyDescent="0.25">
      <c r="A7064" t="s">
        <v>145</v>
      </c>
      <c r="B7064">
        <f>101332.189186153*(1/100/100)</f>
        <v>10.133218918615301</v>
      </c>
      <c r="C7064">
        <v>75211</v>
      </c>
      <c r="D7064" t="s">
        <v>2682</v>
      </c>
      <c r="E7064">
        <v>20726</v>
      </c>
      <c r="F7064" t="s">
        <v>431</v>
      </c>
      <c r="G7064">
        <v>207</v>
      </c>
      <c r="H7064" t="s">
        <v>45</v>
      </c>
      <c r="I7064">
        <v>2</v>
      </c>
      <c r="J7064" t="s">
        <v>40</v>
      </c>
    </row>
    <row r="7065" spans="1:10" x14ac:dyDescent="0.25">
      <c r="A7065" t="s">
        <v>145</v>
      </c>
      <c r="B7065">
        <f>20812.9828051003*(1/100/100)</f>
        <v>2.0812982805100302</v>
      </c>
      <c r="C7065">
        <v>75212</v>
      </c>
      <c r="D7065" t="s">
        <v>2657</v>
      </c>
      <c r="E7065">
        <v>20720</v>
      </c>
      <c r="F7065" t="s">
        <v>426</v>
      </c>
      <c r="G7065">
        <v>207</v>
      </c>
      <c r="H7065" t="s">
        <v>45</v>
      </c>
      <c r="I7065">
        <v>2</v>
      </c>
      <c r="J7065" t="s">
        <v>40</v>
      </c>
    </row>
    <row r="7066" spans="1:10" x14ac:dyDescent="0.25">
      <c r="A7066" t="s">
        <v>145</v>
      </c>
      <c r="B7066">
        <f>74620.6036752235*(1/100/100)</f>
        <v>7.4620603675223496</v>
      </c>
      <c r="C7066">
        <v>75213</v>
      </c>
      <c r="D7066" t="s">
        <v>428</v>
      </c>
      <c r="E7066">
        <v>20723</v>
      </c>
      <c r="F7066" t="s">
        <v>428</v>
      </c>
      <c r="G7066">
        <v>207</v>
      </c>
      <c r="H7066" t="s">
        <v>45</v>
      </c>
      <c r="I7066">
        <v>2</v>
      </c>
      <c r="J7066" t="s">
        <v>40</v>
      </c>
    </row>
    <row r="7067" spans="1:10" x14ac:dyDescent="0.25">
      <c r="A7067" t="s">
        <v>145</v>
      </c>
      <c r="B7067">
        <f>121873.498817191*(1/100/100)</f>
        <v>12.187349881719101</v>
      </c>
      <c r="C7067">
        <v>75214</v>
      </c>
      <c r="D7067" t="s">
        <v>2683</v>
      </c>
      <c r="E7067">
        <v>20726</v>
      </c>
      <c r="F7067" t="s">
        <v>431</v>
      </c>
      <c r="G7067">
        <v>207</v>
      </c>
      <c r="H7067" t="s">
        <v>45</v>
      </c>
      <c r="I7067">
        <v>2</v>
      </c>
      <c r="J7067" t="s">
        <v>40</v>
      </c>
    </row>
    <row r="7068" spans="1:10" x14ac:dyDescent="0.25">
      <c r="A7068" t="s">
        <v>145</v>
      </c>
      <c r="B7068">
        <f>69685.8327023935*(1/100/100)</f>
        <v>6.9685832702393498</v>
      </c>
      <c r="C7068">
        <v>75215</v>
      </c>
      <c r="D7068" t="s">
        <v>2664</v>
      </c>
      <c r="E7068">
        <v>20723</v>
      </c>
      <c r="F7068" t="s">
        <v>428</v>
      </c>
      <c r="G7068">
        <v>207</v>
      </c>
      <c r="H7068" t="s">
        <v>45</v>
      </c>
      <c r="I7068">
        <v>2</v>
      </c>
      <c r="J7068" t="s">
        <v>40</v>
      </c>
    </row>
    <row r="7069" spans="1:10" x14ac:dyDescent="0.25">
      <c r="A7069" t="s">
        <v>145</v>
      </c>
      <c r="B7069">
        <f>18264.2979412868*(1/100/100)</f>
        <v>1.8264297941286802</v>
      </c>
      <c r="C7069">
        <v>75216</v>
      </c>
      <c r="D7069" t="s">
        <v>2649</v>
      </c>
      <c r="E7069">
        <v>20712</v>
      </c>
      <c r="F7069" t="s">
        <v>423</v>
      </c>
      <c r="G7069">
        <v>207</v>
      </c>
      <c r="H7069" t="s">
        <v>45</v>
      </c>
      <c r="I7069">
        <v>2</v>
      </c>
      <c r="J7069" t="s">
        <v>40</v>
      </c>
    </row>
    <row r="7070" spans="1:10" x14ac:dyDescent="0.25">
      <c r="A7070" t="s">
        <v>145</v>
      </c>
      <c r="B7070">
        <f>109708.439210941*(1/100/100)</f>
        <v>10.970843921094101</v>
      </c>
      <c r="C7070">
        <v>75217</v>
      </c>
      <c r="D7070" t="s">
        <v>431</v>
      </c>
      <c r="E7070">
        <v>20726</v>
      </c>
      <c r="F7070" t="s">
        <v>431</v>
      </c>
      <c r="G7070">
        <v>207</v>
      </c>
      <c r="H7070" t="s">
        <v>45</v>
      </c>
      <c r="I7070">
        <v>2</v>
      </c>
      <c r="J7070" t="s">
        <v>40</v>
      </c>
    </row>
    <row r="7071" spans="1:10" x14ac:dyDescent="0.25">
      <c r="A7071" t="s">
        <v>145</v>
      </c>
      <c r="B7071">
        <f>28608.7670563509*(1/100/100)</f>
        <v>2.8608767056350901</v>
      </c>
      <c r="C7071">
        <v>75218</v>
      </c>
      <c r="D7071" t="s">
        <v>2665</v>
      </c>
      <c r="E7071">
        <v>20723</v>
      </c>
      <c r="F7071" t="s">
        <v>428</v>
      </c>
      <c r="G7071">
        <v>207</v>
      </c>
      <c r="H7071" t="s">
        <v>45</v>
      </c>
      <c r="I7071">
        <v>2</v>
      </c>
      <c r="J7071" t="s">
        <v>40</v>
      </c>
    </row>
    <row r="7072" spans="1:10" x14ac:dyDescent="0.25">
      <c r="A7072" t="s">
        <v>145</v>
      </c>
      <c r="B7072">
        <f>28959.5031016771*(1/100/100)</f>
        <v>2.8959503101677102</v>
      </c>
      <c r="C7072">
        <v>75219</v>
      </c>
      <c r="D7072" t="s">
        <v>2666</v>
      </c>
      <c r="E7072">
        <v>20723</v>
      </c>
      <c r="F7072" t="s">
        <v>428</v>
      </c>
      <c r="G7072">
        <v>207</v>
      </c>
      <c r="H7072" t="s">
        <v>45</v>
      </c>
      <c r="I7072">
        <v>2</v>
      </c>
      <c r="J7072" t="s">
        <v>40</v>
      </c>
    </row>
    <row r="7073" spans="1:10" x14ac:dyDescent="0.25">
      <c r="A7073" t="s">
        <v>145</v>
      </c>
      <c r="B7073">
        <f>159184.002466337*(1/100/100)</f>
        <v>15.9184002466337</v>
      </c>
      <c r="C7073">
        <v>75301</v>
      </c>
      <c r="D7073" t="s">
        <v>2673</v>
      </c>
      <c r="E7073">
        <v>20725</v>
      </c>
      <c r="F7073" t="s">
        <v>430</v>
      </c>
      <c r="G7073">
        <v>207</v>
      </c>
      <c r="H7073" t="s">
        <v>45</v>
      </c>
      <c r="I7073">
        <v>2</v>
      </c>
      <c r="J7073" t="s">
        <v>40</v>
      </c>
    </row>
    <row r="7074" spans="1:10" x14ac:dyDescent="0.25">
      <c r="A7074" t="s">
        <v>145</v>
      </c>
      <c r="B7074">
        <f>61372.6665439913*(1/100/100)</f>
        <v>6.1372666543991299</v>
      </c>
      <c r="C7074">
        <v>75302</v>
      </c>
      <c r="D7074" t="s">
        <v>518</v>
      </c>
      <c r="E7074">
        <v>20721</v>
      </c>
      <c r="F7074" t="s">
        <v>427</v>
      </c>
      <c r="G7074">
        <v>207</v>
      </c>
      <c r="H7074" t="s">
        <v>45</v>
      </c>
      <c r="I7074">
        <v>2</v>
      </c>
      <c r="J7074" t="s">
        <v>40</v>
      </c>
    </row>
    <row r="7075" spans="1:10" x14ac:dyDescent="0.25">
      <c r="A7075" t="s">
        <v>145</v>
      </c>
      <c r="B7075">
        <f>98845.7785670476*(1/100/100)</f>
        <v>9.8845778567047606</v>
      </c>
      <c r="C7075">
        <v>75303</v>
      </c>
      <c r="D7075" t="s">
        <v>2674</v>
      </c>
      <c r="E7075">
        <v>20725</v>
      </c>
      <c r="F7075" t="s">
        <v>430</v>
      </c>
      <c r="G7075">
        <v>207</v>
      </c>
      <c r="H7075" t="s">
        <v>45</v>
      </c>
      <c r="I7075">
        <v>2</v>
      </c>
      <c r="J7075" t="s">
        <v>40</v>
      </c>
    </row>
    <row r="7076" spans="1:10" x14ac:dyDescent="0.25">
      <c r="A7076" t="s">
        <v>145</v>
      </c>
      <c r="B7076">
        <f>48697.914119402*(1/100/100)</f>
        <v>4.8697914119402004</v>
      </c>
      <c r="C7076">
        <v>75304</v>
      </c>
      <c r="D7076" t="s">
        <v>2658</v>
      </c>
      <c r="E7076">
        <v>20721</v>
      </c>
      <c r="F7076" t="s">
        <v>427</v>
      </c>
      <c r="G7076">
        <v>207</v>
      </c>
      <c r="H7076" t="s">
        <v>45</v>
      </c>
      <c r="I7076">
        <v>2</v>
      </c>
      <c r="J7076" t="s">
        <v>40</v>
      </c>
    </row>
    <row r="7077" spans="1:10" x14ac:dyDescent="0.25">
      <c r="A7077" t="s">
        <v>145</v>
      </c>
      <c r="B7077">
        <f>165622.353513036*(1/100/100)</f>
        <v>16.562235351303602</v>
      </c>
      <c r="C7077">
        <v>75305</v>
      </c>
      <c r="D7077" t="s">
        <v>351</v>
      </c>
      <c r="E7077">
        <v>20711</v>
      </c>
      <c r="F7077" t="s">
        <v>422</v>
      </c>
      <c r="G7077">
        <v>207</v>
      </c>
      <c r="H7077" t="s">
        <v>45</v>
      </c>
      <c r="I7077">
        <v>2</v>
      </c>
      <c r="J7077" t="s">
        <v>40</v>
      </c>
    </row>
    <row r="7078" spans="1:10" x14ac:dyDescent="0.25">
      <c r="A7078" t="s">
        <v>145</v>
      </c>
      <c r="B7078">
        <f>49091.1191529113*(1/100/100)</f>
        <v>4.9091119152911302</v>
      </c>
      <c r="C7078">
        <v>75306</v>
      </c>
      <c r="D7078" t="s">
        <v>2659</v>
      </c>
      <c r="E7078">
        <v>20722</v>
      </c>
      <c r="F7078" t="s">
        <v>2660</v>
      </c>
      <c r="G7078">
        <v>207</v>
      </c>
      <c r="H7078" t="s">
        <v>45</v>
      </c>
      <c r="I7078">
        <v>2</v>
      </c>
      <c r="J7078" t="s">
        <v>40</v>
      </c>
    </row>
    <row r="7079" spans="1:10" x14ac:dyDescent="0.25">
      <c r="A7079" t="s">
        <v>145</v>
      </c>
      <c r="B7079">
        <f>79440.9583128589*(1/100/100)</f>
        <v>7.9440958312858907</v>
      </c>
      <c r="C7079">
        <v>75307</v>
      </c>
      <c r="D7079" t="s">
        <v>2675</v>
      </c>
      <c r="E7079">
        <v>20725</v>
      </c>
      <c r="F7079" t="s">
        <v>430</v>
      </c>
      <c r="G7079">
        <v>207</v>
      </c>
      <c r="H7079" t="s">
        <v>45</v>
      </c>
      <c r="I7079">
        <v>2</v>
      </c>
      <c r="J7079" t="s">
        <v>40</v>
      </c>
    </row>
    <row r="7080" spans="1:10" x14ac:dyDescent="0.25">
      <c r="A7080" t="s">
        <v>145</v>
      </c>
      <c r="B7080">
        <f>90230.9228575642*(1/100/100)</f>
        <v>9.0230922857564213</v>
      </c>
      <c r="C7080">
        <v>75308</v>
      </c>
      <c r="D7080" t="s">
        <v>2676</v>
      </c>
      <c r="E7080">
        <v>20725</v>
      </c>
      <c r="F7080" t="s">
        <v>430</v>
      </c>
      <c r="G7080">
        <v>207</v>
      </c>
      <c r="H7080" t="s">
        <v>45</v>
      </c>
      <c r="I7080">
        <v>2</v>
      </c>
      <c r="J7080" t="s">
        <v>40</v>
      </c>
    </row>
    <row r="7081" spans="1:10" x14ac:dyDescent="0.25">
      <c r="A7081" t="s">
        <v>145</v>
      </c>
      <c r="B7081">
        <f>42607.9227057789*(1/100/100)</f>
        <v>4.2607922705778902</v>
      </c>
      <c r="C7081">
        <v>75309</v>
      </c>
      <c r="D7081" t="s">
        <v>2677</v>
      </c>
      <c r="E7081">
        <v>20725</v>
      </c>
      <c r="F7081" t="s">
        <v>430</v>
      </c>
      <c r="G7081">
        <v>207</v>
      </c>
      <c r="H7081" t="s">
        <v>45</v>
      </c>
      <c r="I7081">
        <v>2</v>
      </c>
      <c r="J7081" t="s">
        <v>40</v>
      </c>
    </row>
    <row r="7082" spans="1:10" x14ac:dyDescent="0.25">
      <c r="A7082" t="s">
        <v>145</v>
      </c>
      <c r="B7082">
        <f>106670.523839921*(1/100/100)</f>
        <v>10.6670523839921</v>
      </c>
      <c r="C7082">
        <v>75310</v>
      </c>
      <c r="D7082" t="s">
        <v>2678</v>
      </c>
      <c r="E7082">
        <v>20725</v>
      </c>
      <c r="F7082" t="s">
        <v>430</v>
      </c>
      <c r="G7082">
        <v>207</v>
      </c>
      <c r="H7082" t="s">
        <v>45</v>
      </c>
      <c r="I7082">
        <v>2</v>
      </c>
      <c r="J7082" t="s">
        <v>40</v>
      </c>
    </row>
    <row r="7083" spans="1:10" x14ac:dyDescent="0.25">
      <c r="A7083" t="s">
        <v>145</v>
      </c>
      <c r="B7083">
        <f>119566.581080176*(1/100/100)</f>
        <v>11.956658108017599</v>
      </c>
      <c r="C7083">
        <v>75311</v>
      </c>
      <c r="D7083" t="s">
        <v>2661</v>
      </c>
      <c r="E7083">
        <v>20722</v>
      </c>
      <c r="F7083" t="s">
        <v>2660</v>
      </c>
      <c r="G7083">
        <v>207</v>
      </c>
      <c r="H7083" t="s">
        <v>45</v>
      </c>
      <c r="I7083">
        <v>2</v>
      </c>
      <c r="J7083" t="s">
        <v>40</v>
      </c>
    </row>
    <row r="7084" spans="1:10" x14ac:dyDescent="0.25">
      <c r="A7084" t="s">
        <v>145</v>
      </c>
      <c r="B7084">
        <f>62966.8924233345*(1/100/100)</f>
        <v>6.2966892423334508</v>
      </c>
      <c r="C7084">
        <v>75312</v>
      </c>
      <c r="D7084" t="s">
        <v>2662</v>
      </c>
      <c r="E7084">
        <v>20722</v>
      </c>
      <c r="F7084" t="s">
        <v>2660</v>
      </c>
      <c r="G7084">
        <v>207</v>
      </c>
      <c r="H7084" t="s">
        <v>45</v>
      </c>
      <c r="I7084">
        <v>2</v>
      </c>
      <c r="J7084" t="s">
        <v>40</v>
      </c>
    </row>
    <row r="7085" spans="1:10" x14ac:dyDescent="0.25">
      <c r="A7085" t="s">
        <v>145</v>
      </c>
      <c r="B7085">
        <f>84564.6955675786*(1/100/100)</f>
        <v>8.4564695567578614</v>
      </c>
      <c r="C7085">
        <v>75313</v>
      </c>
      <c r="D7085" t="s">
        <v>427</v>
      </c>
      <c r="E7085">
        <v>20721</v>
      </c>
      <c r="F7085" t="s">
        <v>427</v>
      </c>
      <c r="G7085">
        <v>207</v>
      </c>
      <c r="H7085" t="s">
        <v>45</v>
      </c>
      <c r="I7085">
        <v>2</v>
      </c>
      <c r="J7085" t="s">
        <v>40</v>
      </c>
    </row>
    <row r="7086" spans="1:10" x14ac:dyDescent="0.25">
      <c r="A7086" t="s">
        <v>145</v>
      </c>
      <c r="B7086">
        <f>56302.3661900856*(1/100/100)</f>
        <v>5.6302366190085609</v>
      </c>
      <c r="C7086">
        <v>75314</v>
      </c>
      <c r="D7086" t="s">
        <v>2663</v>
      </c>
      <c r="E7086">
        <v>20722</v>
      </c>
      <c r="F7086" t="s">
        <v>2660</v>
      </c>
      <c r="G7086">
        <v>207</v>
      </c>
      <c r="H7086" t="s">
        <v>45</v>
      </c>
      <c r="I7086">
        <v>2</v>
      </c>
      <c r="J7086" t="s">
        <v>40</v>
      </c>
    </row>
    <row r="7087" spans="1:10" x14ac:dyDescent="0.25">
      <c r="A7087" t="s">
        <v>145</v>
      </c>
      <c r="B7087">
        <f>49747.6527093106*(1/100/100)</f>
        <v>4.9747652709310604</v>
      </c>
      <c r="C7087">
        <v>75315</v>
      </c>
      <c r="D7087" t="s">
        <v>2679</v>
      </c>
      <c r="E7087">
        <v>20725</v>
      </c>
      <c r="F7087" t="s">
        <v>430</v>
      </c>
      <c r="G7087">
        <v>207</v>
      </c>
      <c r="H7087" t="s">
        <v>45</v>
      </c>
      <c r="I7087">
        <v>2</v>
      </c>
      <c r="J7087" t="s">
        <v>40</v>
      </c>
    </row>
    <row r="7088" spans="1:10" x14ac:dyDescent="0.25">
      <c r="A7088" t="s">
        <v>145</v>
      </c>
      <c r="B7088">
        <f>123667.278102547*(1/100/100)</f>
        <v>12.366727810254702</v>
      </c>
      <c r="C7088">
        <v>75316</v>
      </c>
      <c r="D7088" t="s">
        <v>2660</v>
      </c>
      <c r="E7088">
        <v>20722</v>
      </c>
      <c r="F7088" t="s">
        <v>2660</v>
      </c>
      <c r="G7088">
        <v>207</v>
      </c>
      <c r="H7088" t="s">
        <v>45</v>
      </c>
      <c r="I7088">
        <v>2</v>
      </c>
      <c r="J7088" t="s">
        <v>40</v>
      </c>
    </row>
    <row r="7089" spans="1:10" x14ac:dyDescent="0.25">
      <c r="A7089" t="s">
        <v>145</v>
      </c>
      <c r="B7089">
        <f>49639.5635057512*(1/100/100)</f>
        <v>4.9639563505751196</v>
      </c>
      <c r="C7089">
        <v>75317</v>
      </c>
      <c r="D7089" t="s">
        <v>2595</v>
      </c>
      <c r="E7089">
        <v>20722</v>
      </c>
      <c r="F7089" t="s">
        <v>2660</v>
      </c>
      <c r="G7089">
        <v>207</v>
      </c>
      <c r="H7089" t="s">
        <v>45</v>
      </c>
      <c r="I7089">
        <v>2</v>
      </c>
      <c r="J7089" t="s">
        <v>40</v>
      </c>
    </row>
    <row r="7090" spans="1:10" x14ac:dyDescent="0.25">
      <c r="A7090" t="s">
        <v>145</v>
      </c>
      <c r="B7090">
        <f>308856.352216651*(1/100/100)</f>
        <v>30.885635221665105</v>
      </c>
      <c r="C7090">
        <v>75318</v>
      </c>
      <c r="D7090" t="s">
        <v>2680</v>
      </c>
      <c r="E7090">
        <v>20725</v>
      </c>
      <c r="F7090" t="s">
        <v>430</v>
      </c>
      <c r="G7090">
        <v>207</v>
      </c>
      <c r="H7090" t="s">
        <v>45</v>
      </c>
      <c r="I7090">
        <v>2</v>
      </c>
      <c r="J7090" t="s">
        <v>40</v>
      </c>
    </row>
    <row r="7091" spans="1:10" x14ac:dyDescent="0.25">
      <c r="A7091" t="s">
        <v>145</v>
      </c>
      <c r="B7091">
        <f>101857.670250502*(1/100/100)</f>
        <v>10.1857670250502</v>
      </c>
      <c r="C7091">
        <v>75401</v>
      </c>
      <c r="D7091" t="s">
        <v>2628</v>
      </c>
      <c r="E7091">
        <v>20701</v>
      </c>
      <c r="F7091" t="s">
        <v>415</v>
      </c>
      <c r="G7091">
        <v>207</v>
      </c>
      <c r="H7091" t="s">
        <v>45</v>
      </c>
      <c r="I7091">
        <v>2</v>
      </c>
      <c r="J7091" t="s">
        <v>40</v>
      </c>
    </row>
    <row r="7092" spans="1:10" x14ac:dyDescent="0.25">
      <c r="A7092" t="s">
        <v>145</v>
      </c>
      <c r="B7092">
        <f>288503.765205958*(1/100/100)</f>
        <v>28.850376520595798</v>
      </c>
      <c r="C7092">
        <v>75402</v>
      </c>
      <c r="D7092" t="s">
        <v>416</v>
      </c>
      <c r="E7092">
        <v>20702</v>
      </c>
      <c r="F7092" t="s">
        <v>416</v>
      </c>
      <c r="G7092">
        <v>207</v>
      </c>
      <c r="H7092" t="s">
        <v>45</v>
      </c>
      <c r="I7092">
        <v>2</v>
      </c>
      <c r="J7092" t="s">
        <v>40</v>
      </c>
    </row>
    <row r="7093" spans="1:10" x14ac:dyDescent="0.25">
      <c r="A7093" t="s">
        <v>145</v>
      </c>
      <c r="B7093">
        <f>89844.1696805391*(1/100/100)</f>
        <v>8.9844169680539103</v>
      </c>
      <c r="C7093">
        <v>75403</v>
      </c>
      <c r="D7093" t="s">
        <v>417</v>
      </c>
      <c r="E7093">
        <v>20703</v>
      </c>
      <c r="F7093" t="s">
        <v>417</v>
      </c>
      <c r="G7093">
        <v>207</v>
      </c>
      <c r="H7093" t="s">
        <v>45</v>
      </c>
      <c r="I7093">
        <v>2</v>
      </c>
      <c r="J7093" t="s">
        <v>40</v>
      </c>
    </row>
    <row r="7094" spans="1:10" x14ac:dyDescent="0.25">
      <c r="A7094" t="s">
        <v>145</v>
      </c>
      <c r="B7094">
        <f>28750.1205644302*(1/100/100)</f>
        <v>2.8750120564430199</v>
      </c>
      <c r="C7094">
        <v>75404</v>
      </c>
      <c r="D7094" t="s">
        <v>2629</v>
      </c>
      <c r="E7094">
        <v>20701</v>
      </c>
      <c r="F7094" t="s">
        <v>415</v>
      </c>
      <c r="G7094">
        <v>207</v>
      </c>
      <c r="H7094" t="s">
        <v>45</v>
      </c>
      <c r="I7094">
        <v>2</v>
      </c>
      <c r="J7094" t="s">
        <v>40</v>
      </c>
    </row>
    <row r="7095" spans="1:10" x14ac:dyDescent="0.25">
      <c r="A7095" t="s">
        <v>145</v>
      </c>
      <c r="B7095">
        <f>147004.474718303*(1/100/100)</f>
        <v>14.700447471830302</v>
      </c>
      <c r="C7095">
        <v>75405</v>
      </c>
      <c r="D7095" t="s">
        <v>2638</v>
      </c>
      <c r="E7095">
        <v>20705</v>
      </c>
      <c r="F7095" t="s">
        <v>418</v>
      </c>
      <c r="G7095">
        <v>207</v>
      </c>
      <c r="H7095" t="s">
        <v>45</v>
      </c>
      <c r="I7095">
        <v>2</v>
      </c>
      <c r="J7095" t="s">
        <v>40</v>
      </c>
    </row>
    <row r="7096" spans="1:10" x14ac:dyDescent="0.25">
      <c r="A7096" t="s">
        <v>145</v>
      </c>
      <c r="B7096">
        <f>48632.3715354308*(1/100/100)</f>
        <v>4.8632371535430803</v>
      </c>
      <c r="C7096">
        <v>75406</v>
      </c>
      <c r="D7096" t="s">
        <v>2322</v>
      </c>
      <c r="E7096">
        <v>20201</v>
      </c>
      <c r="F7096" t="s">
        <v>342</v>
      </c>
      <c r="G7096">
        <v>202</v>
      </c>
      <c r="H7096" t="s">
        <v>41</v>
      </c>
      <c r="I7096">
        <v>2</v>
      </c>
      <c r="J7096" t="s">
        <v>40</v>
      </c>
    </row>
    <row r="7097" spans="1:10" x14ac:dyDescent="0.25">
      <c r="A7097" t="s">
        <v>145</v>
      </c>
      <c r="B7097">
        <f>14689.7732679248*(1/100/100)</f>
        <v>1.4689773267924802</v>
      </c>
      <c r="C7097">
        <v>75407</v>
      </c>
      <c r="D7097" t="s">
        <v>2667</v>
      </c>
      <c r="E7097">
        <v>20724</v>
      </c>
      <c r="F7097" t="s">
        <v>429</v>
      </c>
      <c r="G7097">
        <v>207</v>
      </c>
      <c r="H7097" t="s">
        <v>45</v>
      </c>
      <c r="I7097">
        <v>2</v>
      </c>
      <c r="J7097" t="s">
        <v>40</v>
      </c>
    </row>
    <row r="7098" spans="1:10" x14ac:dyDescent="0.25">
      <c r="A7098" t="s">
        <v>145</v>
      </c>
      <c r="B7098">
        <f>46924.1570097468*(1/100/100)</f>
        <v>4.6924157009746805</v>
      </c>
      <c r="C7098">
        <v>75408</v>
      </c>
      <c r="D7098" t="s">
        <v>2650</v>
      </c>
      <c r="E7098">
        <v>20713</v>
      </c>
      <c r="F7098" t="s">
        <v>424</v>
      </c>
      <c r="G7098">
        <v>207</v>
      </c>
      <c r="H7098" t="s">
        <v>45</v>
      </c>
      <c r="I7098">
        <v>2</v>
      </c>
      <c r="J7098" t="s">
        <v>40</v>
      </c>
    </row>
    <row r="7099" spans="1:10" x14ac:dyDescent="0.25">
      <c r="A7099" t="s">
        <v>145</v>
      </c>
      <c r="B7099">
        <f>113401.273171825*(1/100/100)</f>
        <v>11.3401273171825</v>
      </c>
      <c r="C7099">
        <v>75409</v>
      </c>
      <c r="D7099" t="s">
        <v>2323</v>
      </c>
      <c r="E7099">
        <v>20201</v>
      </c>
      <c r="F7099" t="s">
        <v>342</v>
      </c>
      <c r="G7099">
        <v>202</v>
      </c>
      <c r="H7099" t="s">
        <v>41</v>
      </c>
      <c r="I7099">
        <v>2</v>
      </c>
      <c r="J7099" t="s">
        <v>40</v>
      </c>
    </row>
    <row r="7100" spans="1:10" x14ac:dyDescent="0.25">
      <c r="A7100" t="s">
        <v>145</v>
      </c>
      <c r="B7100">
        <f>120176.487807792*(1/100/100)</f>
        <v>12.017648780779201</v>
      </c>
      <c r="C7100">
        <v>75410</v>
      </c>
      <c r="D7100" t="s">
        <v>2641</v>
      </c>
      <c r="E7100">
        <v>20711</v>
      </c>
      <c r="F7100" t="s">
        <v>422</v>
      </c>
      <c r="G7100">
        <v>207</v>
      </c>
      <c r="H7100" t="s">
        <v>45</v>
      </c>
      <c r="I7100">
        <v>2</v>
      </c>
      <c r="J7100" t="s">
        <v>40</v>
      </c>
    </row>
    <row r="7101" spans="1:10" x14ac:dyDescent="0.25">
      <c r="A7101" t="s">
        <v>145</v>
      </c>
      <c r="B7101">
        <f>37883.4507495819*(1/100/100)</f>
        <v>3.78834507495819</v>
      </c>
      <c r="C7101">
        <v>75411</v>
      </c>
      <c r="D7101" t="s">
        <v>2324</v>
      </c>
      <c r="E7101">
        <v>20201</v>
      </c>
      <c r="F7101" t="s">
        <v>342</v>
      </c>
      <c r="G7101">
        <v>202</v>
      </c>
      <c r="H7101" t="s">
        <v>41</v>
      </c>
      <c r="I7101">
        <v>2</v>
      </c>
      <c r="J7101" t="s">
        <v>40</v>
      </c>
    </row>
    <row r="7102" spans="1:10" x14ac:dyDescent="0.25">
      <c r="A7102" t="s">
        <v>145</v>
      </c>
      <c r="B7102">
        <f>84202.0529432507*(1/100/100)</f>
        <v>8.4202052943250703</v>
      </c>
      <c r="C7102">
        <v>75412</v>
      </c>
      <c r="D7102" t="s">
        <v>419</v>
      </c>
      <c r="E7102">
        <v>20707</v>
      </c>
      <c r="F7102" t="s">
        <v>419</v>
      </c>
      <c r="G7102">
        <v>207</v>
      </c>
      <c r="H7102" t="s">
        <v>45</v>
      </c>
      <c r="I7102">
        <v>2</v>
      </c>
      <c r="J7102" t="s">
        <v>40</v>
      </c>
    </row>
    <row r="7103" spans="1:10" x14ac:dyDescent="0.25">
      <c r="A7103" t="s">
        <v>145</v>
      </c>
      <c r="B7103">
        <f>213248.700496823*(1/100/100)</f>
        <v>21.3248700496823</v>
      </c>
      <c r="C7103">
        <v>75413</v>
      </c>
      <c r="D7103" t="s">
        <v>2642</v>
      </c>
      <c r="E7103">
        <v>20711</v>
      </c>
      <c r="F7103" t="s">
        <v>422</v>
      </c>
      <c r="G7103">
        <v>207</v>
      </c>
      <c r="H7103" t="s">
        <v>45</v>
      </c>
      <c r="I7103">
        <v>2</v>
      </c>
      <c r="J7103" t="s">
        <v>40</v>
      </c>
    </row>
    <row r="7104" spans="1:10" x14ac:dyDescent="0.25">
      <c r="A7104" t="s">
        <v>145</v>
      </c>
      <c r="B7104">
        <f>100088.153109588*(1/100/100)</f>
        <v>10.0088153109588</v>
      </c>
      <c r="C7104">
        <v>75414</v>
      </c>
      <c r="D7104" t="s">
        <v>2643</v>
      </c>
      <c r="E7104">
        <v>20711</v>
      </c>
      <c r="F7104" t="s">
        <v>422</v>
      </c>
      <c r="G7104">
        <v>207</v>
      </c>
      <c r="H7104" t="s">
        <v>45</v>
      </c>
      <c r="I7104">
        <v>2</v>
      </c>
      <c r="J7104" t="s">
        <v>40</v>
      </c>
    </row>
    <row r="7105" spans="1:10" x14ac:dyDescent="0.25">
      <c r="A7105" t="s">
        <v>145</v>
      </c>
      <c r="B7105">
        <f>207694.308389009*(1/100/100)</f>
        <v>20.769430838900902</v>
      </c>
      <c r="C7105">
        <v>75415</v>
      </c>
      <c r="D7105" t="s">
        <v>2325</v>
      </c>
      <c r="E7105">
        <v>20201</v>
      </c>
      <c r="F7105" t="s">
        <v>342</v>
      </c>
      <c r="G7105">
        <v>202</v>
      </c>
      <c r="H7105" t="s">
        <v>41</v>
      </c>
      <c r="I7105">
        <v>2</v>
      </c>
      <c r="J7105" t="s">
        <v>40</v>
      </c>
    </row>
    <row r="7106" spans="1:10" x14ac:dyDescent="0.25">
      <c r="A7106" t="s">
        <v>145</v>
      </c>
      <c r="B7106">
        <f>31827.1888488577*(1/100/100)</f>
        <v>3.1827188848857699</v>
      </c>
      <c r="C7106">
        <v>75416</v>
      </c>
      <c r="D7106" t="s">
        <v>2644</v>
      </c>
      <c r="E7106">
        <v>20711</v>
      </c>
      <c r="F7106" t="s">
        <v>422</v>
      </c>
      <c r="G7106">
        <v>207</v>
      </c>
      <c r="H7106" t="s">
        <v>45</v>
      </c>
      <c r="I7106">
        <v>2</v>
      </c>
      <c r="J7106" t="s">
        <v>40</v>
      </c>
    </row>
    <row r="7107" spans="1:10" x14ac:dyDescent="0.25">
      <c r="A7107" t="s">
        <v>145</v>
      </c>
      <c r="B7107">
        <f>106690.801466139*(1/100/100)</f>
        <v>10.669080146613901</v>
      </c>
      <c r="C7107">
        <v>75417</v>
      </c>
      <c r="D7107" t="s">
        <v>2630</v>
      </c>
      <c r="E7107">
        <v>20702</v>
      </c>
      <c r="F7107" t="s">
        <v>416</v>
      </c>
      <c r="G7107">
        <v>207</v>
      </c>
      <c r="H7107" t="s">
        <v>45</v>
      </c>
      <c r="I7107">
        <v>2</v>
      </c>
      <c r="J7107" t="s">
        <v>40</v>
      </c>
    </row>
    <row r="7108" spans="1:10" x14ac:dyDescent="0.25">
      <c r="A7108" t="s">
        <v>145</v>
      </c>
      <c r="B7108">
        <f>24844.4176070922*(1/100/100)</f>
        <v>2.48444176070922</v>
      </c>
      <c r="C7108">
        <v>75418</v>
      </c>
      <c r="D7108" t="s">
        <v>2326</v>
      </c>
      <c r="E7108">
        <v>20201</v>
      </c>
      <c r="F7108" t="s">
        <v>342</v>
      </c>
      <c r="G7108">
        <v>202</v>
      </c>
      <c r="H7108" t="s">
        <v>41</v>
      </c>
      <c r="I7108">
        <v>2</v>
      </c>
      <c r="J7108" t="s">
        <v>40</v>
      </c>
    </row>
    <row r="7109" spans="1:10" x14ac:dyDescent="0.25">
      <c r="A7109" t="s">
        <v>145</v>
      </c>
      <c r="B7109">
        <f>69978.1202899205*(1/100/100)</f>
        <v>6.9978120289920493</v>
      </c>
      <c r="C7109">
        <v>75419</v>
      </c>
      <c r="D7109" t="s">
        <v>424</v>
      </c>
      <c r="E7109">
        <v>20713</v>
      </c>
      <c r="F7109" t="s">
        <v>424</v>
      </c>
      <c r="G7109">
        <v>207</v>
      </c>
      <c r="H7109" t="s">
        <v>45</v>
      </c>
      <c r="I7109">
        <v>2</v>
      </c>
      <c r="J7109" t="s">
        <v>40</v>
      </c>
    </row>
    <row r="7110" spans="1:10" x14ac:dyDescent="0.25">
      <c r="A7110" t="s">
        <v>145</v>
      </c>
      <c r="B7110">
        <f>30416.1223765819*(1/100/100)</f>
        <v>3.0416122376581902</v>
      </c>
      <c r="C7110">
        <v>75420</v>
      </c>
      <c r="D7110" t="s">
        <v>2635</v>
      </c>
      <c r="E7110">
        <v>20703</v>
      </c>
      <c r="F7110" t="s">
        <v>417</v>
      </c>
      <c r="G7110">
        <v>207</v>
      </c>
      <c r="H7110" t="s">
        <v>45</v>
      </c>
      <c r="I7110">
        <v>2</v>
      </c>
      <c r="J7110" t="s">
        <v>40</v>
      </c>
    </row>
    <row r="7111" spans="1:10" x14ac:dyDescent="0.25">
      <c r="A7111" t="s">
        <v>145</v>
      </c>
      <c r="B7111">
        <f>299157.915457456*(1/100/100)</f>
        <v>29.915791545745602</v>
      </c>
      <c r="C7111">
        <v>75421</v>
      </c>
      <c r="D7111" t="s">
        <v>2327</v>
      </c>
      <c r="E7111">
        <v>20201</v>
      </c>
      <c r="F7111" t="s">
        <v>342</v>
      </c>
      <c r="G7111">
        <v>202</v>
      </c>
      <c r="H7111" t="s">
        <v>41</v>
      </c>
      <c r="I7111">
        <v>2</v>
      </c>
      <c r="J7111" t="s">
        <v>40</v>
      </c>
    </row>
    <row r="7112" spans="1:10" x14ac:dyDescent="0.25">
      <c r="A7112" t="s">
        <v>145</v>
      </c>
      <c r="B7112">
        <f>48668.3322846826*(1/100/100)</f>
        <v>4.8668332284682601</v>
      </c>
      <c r="C7112">
        <v>75422</v>
      </c>
      <c r="D7112" t="s">
        <v>2651</v>
      </c>
      <c r="E7112">
        <v>20719</v>
      </c>
      <c r="F7112" t="s">
        <v>425</v>
      </c>
      <c r="G7112">
        <v>207</v>
      </c>
      <c r="H7112" t="s">
        <v>45</v>
      </c>
      <c r="I7112">
        <v>2</v>
      </c>
      <c r="J7112" t="s">
        <v>40</v>
      </c>
    </row>
    <row r="7113" spans="1:10" x14ac:dyDescent="0.25">
      <c r="A7113" t="s">
        <v>145</v>
      </c>
      <c r="B7113">
        <f>50095.9084959262*(1/100/100)</f>
        <v>5.0095908495926205</v>
      </c>
      <c r="C7113">
        <v>75423</v>
      </c>
      <c r="D7113" t="s">
        <v>2645</v>
      </c>
      <c r="E7113">
        <v>20711</v>
      </c>
      <c r="F7113" t="s">
        <v>422</v>
      </c>
      <c r="G7113">
        <v>207</v>
      </c>
      <c r="H7113" t="s">
        <v>45</v>
      </c>
      <c r="I7113">
        <v>2</v>
      </c>
      <c r="J7113" t="s">
        <v>40</v>
      </c>
    </row>
    <row r="7114" spans="1:10" x14ac:dyDescent="0.25">
      <c r="A7114" t="s">
        <v>145</v>
      </c>
      <c r="B7114">
        <f>80555.9057105383*(1/100/100)</f>
        <v>8.0555905710538305</v>
      </c>
      <c r="C7114">
        <v>75424</v>
      </c>
      <c r="D7114" t="s">
        <v>2369</v>
      </c>
      <c r="E7114">
        <v>20705</v>
      </c>
      <c r="F7114" t="s">
        <v>418</v>
      </c>
      <c r="G7114">
        <v>207</v>
      </c>
      <c r="H7114" t="s">
        <v>45</v>
      </c>
      <c r="I7114">
        <v>2</v>
      </c>
      <c r="J7114" t="s">
        <v>40</v>
      </c>
    </row>
    <row r="7115" spans="1:10" x14ac:dyDescent="0.25">
      <c r="A7115" t="s">
        <v>145</v>
      </c>
      <c r="B7115">
        <f>61874.1289764158*(1/100/100)</f>
        <v>6.1874128976415799</v>
      </c>
      <c r="C7115">
        <v>75425</v>
      </c>
      <c r="D7115" t="s">
        <v>2636</v>
      </c>
      <c r="E7115">
        <v>20703</v>
      </c>
      <c r="F7115" t="s">
        <v>417</v>
      </c>
      <c r="G7115">
        <v>207</v>
      </c>
      <c r="H7115" t="s">
        <v>45</v>
      </c>
      <c r="I7115">
        <v>2</v>
      </c>
      <c r="J7115" t="s">
        <v>40</v>
      </c>
    </row>
    <row r="7116" spans="1:10" x14ac:dyDescent="0.25">
      <c r="A7116" t="s">
        <v>145</v>
      </c>
      <c r="B7116">
        <f>117649.308964105*(1/100/100)</f>
        <v>11.764930896410501</v>
      </c>
      <c r="C7116">
        <v>75426</v>
      </c>
      <c r="D7116" t="s">
        <v>2646</v>
      </c>
      <c r="E7116">
        <v>20711</v>
      </c>
      <c r="F7116" t="s">
        <v>422</v>
      </c>
      <c r="G7116">
        <v>207</v>
      </c>
      <c r="H7116" t="s">
        <v>45</v>
      </c>
      <c r="I7116">
        <v>2</v>
      </c>
      <c r="J7116" t="s">
        <v>40</v>
      </c>
    </row>
    <row r="7117" spans="1:10" x14ac:dyDescent="0.25">
      <c r="A7117" t="s">
        <v>145</v>
      </c>
      <c r="B7117">
        <f>67957.516689057*(1/100/100)</f>
        <v>6.7957516689056998</v>
      </c>
      <c r="C7117">
        <v>75427</v>
      </c>
      <c r="D7117" t="s">
        <v>2631</v>
      </c>
      <c r="E7117">
        <v>20702</v>
      </c>
      <c r="F7117" t="s">
        <v>416</v>
      </c>
      <c r="G7117">
        <v>207</v>
      </c>
      <c r="H7117" t="s">
        <v>45</v>
      </c>
      <c r="I7117">
        <v>2</v>
      </c>
      <c r="J7117" t="s">
        <v>40</v>
      </c>
    </row>
    <row r="7118" spans="1:10" x14ac:dyDescent="0.25">
      <c r="A7118" t="s">
        <v>145</v>
      </c>
      <c r="B7118">
        <f>99012.7344057333*(1/100/100)</f>
        <v>9.9012734405733305</v>
      </c>
      <c r="C7118">
        <v>75428</v>
      </c>
      <c r="D7118" t="s">
        <v>2647</v>
      </c>
      <c r="E7118">
        <v>20711</v>
      </c>
      <c r="F7118" t="s">
        <v>422</v>
      </c>
      <c r="G7118">
        <v>207</v>
      </c>
      <c r="H7118" t="s">
        <v>45</v>
      </c>
      <c r="I7118">
        <v>2</v>
      </c>
      <c r="J7118" t="s">
        <v>40</v>
      </c>
    </row>
    <row r="7119" spans="1:10" x14ac:dyDescent="0.25">
      <c r="A7119" t="s">
        <v>145</v>
      </c>
      <c r="B7119">
        <f>111161.09655232*(1/100/100)</f>
        <v>11.116109655232</v>
      </c>
      <c r="C7119">
        <v>75429</v>
      </c>
      <c r="D7119" t="s">
        <v>2328</v>
      </c>
      <c r="E7119">
        <v>20201</v>
      </c>
      <c r="F7119" t="s">
        <v>342</v>
      </c>
      <c r="G7119">
        <v>202</v>
      </c>
      <c r="H7119" t="s">
        <v>41</v>
      </c>
      <c r="I7119">
        <v>2</v>
      </c>
      <c r="J7119" t="s">
        <v>40</v>
      </c>
    </row>
    <row r="7120" spans="1:10" x14ac:dyDescent="0.25">
      <c r="A7120" t="s">
        <v>145</v>
      </c>
      <c r="B7120">
        <f>196638.128508404*(1/100/100)</f>
        <v>19.663812850840401</v>
      </c>
      <c r="C7120">
        <v>75430</v>
      </c>
      <c r="D7120" t="s">
        <v>280</v>
      </c>
      <c r="E7120">
        <v>20727</v>
      </c>
      <c r="F7120" t="s">
        <v>432</v>
      </c>
      <c r="G7120">
        <v>207</v>
      </c>
      <c r="H7120" t="s">
        <v>45</v>
      </c>
      <c r="I7120">
        <v>2</v>
      </c>
      <c r="J7120" t="s">
        <v>40</v>
      </c>
    </row>
    <row r="7121" spans="1:10" x14ac:dyDescent="0.25">
      <c r="A7121" t="s">
        <v>145</v>
      </c>
      <c r="B7121">
        <f>36655.989846159*(1/100/100)</f>
        <v>3.6655989846159001</v>
      </c>
      <c r="C7121">
        <v>75431</v>
      </c>
      <c r="D7121" t="s">
        <v>2668</v>
      </c>
      <c r="E7121">
        <v>20724</v>
      </c>
      <c r="F7121" t="s">
        <v>429</v>
      </c>
      <c r="G7121">
        <v>207</v>
      </c>
      <c r="H7121" t="s">
        <v>45</v>
      </c>
      <c r="I7121">
        <v>2</v>
      </c>
      <c r="J7121" t="s">
        <v>40</v>
      </c>
    </row>
    <row r="7122" spans="1:10" x14ac:dyDescent="0.25">
      <c r="A7122" t="s">
        <v>145</v>
      </c>
      <c r="B7122">
        <f>276248.955831948*(1/100/100)</f>
        <v>27.624895583194803</v>
      </c>
      <c r="C7122">
        <v>75432</v>
      </c>
      <c r="D7122" t="s">
        <v>2329</v>
      </c>
      <c r="E7122">
        <v>20201</v>
      </c>
      <c r="F7122" t="s">
        <v>342</v>
      </c>
      <c r="G7122">
        <v>202</v>
      </c>
      <c r="H7122" t="s">
        <v>41</v>
      </c>
      <c r="I7122">
        <v>2</v>
      </c>
      <c r="J7122" t="s">
        <v>40</v>
      </c>
    </row>
    <row r="7123" spans="1:10" x14ac:dyDescent="0.25">
      <c r="A7123" t="s">
        <v>145</v>
      </c>
      <c r="B7123">
        <f>62282.605615197*(1/100/100)</f>
        <v>6.2282605615196998</v>
      </c>
      <c r="C7123">
        <v>75433</v>
      </c>
      <c r="D7123" t="s">
        <v>2632</v>
      </c>
      <c r="E7123">
        <v>20702</v>
      </c>
      <c r="F7123" t="s">
        <v>416</v>
      </c>
      <c r="G7123">
        <v>207</v>
      </c>
      <c r="H7123" t="s">
        <v>45</v>
      </c>
      <c r="I7123">
        <v>2</v>
      </c>
      <c r="J7123" t="s">
        <v>40</v>
      </c>
    </row>
    <row r="7124" spans="1:10" x14ac:dyDescent="0.25">
      <c r="A7124" t="s">
        <v>145</v>
      </c>
      <c r="B7124">
        <f>115483.26437286*(1/100/100)</f>
        <v>11.548326437286001</v>
      </c>
      <c r="C7124">
        <v>75434</v>
      </c>
      <c r="D7124" t="s">
        <v>2330</v>
      </c>
      <c r="E7124">
        <v>20201</v>
      </c>
      <c r="F7124" t="s">
        <v>342</v>
      </c>
      <c r="G7124">
        <v>202</v>
      </c>
      <c r="H7124" t="s">
        <v>41</v>
      </c>
      <c r="I7124">
        <v>2</v>
      </c>
      <c r="J7124" t="s">
        <v>40</v>
      </c>
    </row>
    <row r="7125" spans="1:10" x14ac:dyDescent="0.25">
      <c r="A7125" t="s">
        <v>145</v>
      </c>
      <c r="B7125">
        <f>123299.593293811*(1/100/100)</f>
        <v>12.329959329381101</v>
      </c>
      <c r="C7125">
        <v>75435</v>
      </c>
      <c r="D7125" t="s">
        <v>2639</v>
      </c>
      <c r="E7125">
        <v>20708</v>
      </c>
      <c r="F7125" t="s">
        <v>420</v>
      </c>
      <c r="G7125">
        <v>207</v>
      </c>
      <c r="H7125" t="s">
        <v>45</v>
      </c>
      <c r="I7125">
        <v>2</v>
      </c>
      <c r="J7125" t="s">
        <v>40</v>
      </c>
    </row>
    <row r="7126" spans="1:10" x14ac:dyDescent="0.25">
      <c r="A7126" t="s">
        <v>145</v>
      </c>
      <c r="B7126">
        <f>69819.7942535935*(1/100/100)</f>
        <v>6.9819794253593503</v>
      </c>
      <c r="C7126">
        <v>75436</v>
      </c>
      <c r="D7126" t="s">
        <v>2633</v>
      </c>
      <c r="E7126">
        <v>20702</v>
      </c>
      <c r="F7126" t="s">
        <v>416</v>
      </c>
      <c r="G7126">
        <v>207</v>
      </c>
      <c r="H7126" t="s">
        <v>45</v>
      </c>
      <c r="I7126">
        <v>2</v>
      </c>
      <c r="J7126" t="s">
        <v>40</v>
      </c>
    </row>
    <row r="7127" spans="1:10" x14ac:dyDescent="0.25">
      <c r="A7127" t="s">
        <v>145</v>
      </c>
      <c r="B7127">
        <f>140658.468536543*(1/100/100)</f>
        <v>14.0658468536543</v>
      </c>
      <c r="C7127">
        <v>75437</v>
      </c>
      <c r="D7127" t="s">
        <v>2652</v>
      </c>
      <c r="E7127">
        <v>20719</v>
      </c>
      <c r="F7127" t="s">
        <v>425</v>
      </c>
      <c r="G7127">
        <v>207</v>
      </c>
      <c r="H7127" t="s">
        <v>45</v>
      </c>
      <c r="I7127">
        <v>2</v>
      </c>
      <c r="J7127" t="s">
        <v>40</v>
      </c>
    </row>
    <row r="7128" spans="1:10" x14ac:dyDescent="0.25">
      <c r="A7128" t="s">
        <v>145</v>
      </c>
      <c r="B7128">
        <f>52869.6117344162*(1/100/100)</f>
        <v>5.28696117344162</v>
      </c>
      <c r="C7128">
        <v>75438</v>
      </c>
      <c r="D7128" t="s">
        <v>2684</v>
      </c>
      <c r="E7128">
        <v>20727</v>
      </c>
      <c r="F7128" t="s">
        <v>432</v>
      </c>
      <c r="G7128">
        <v>207</v>
      </c>
      <c r="H7128" t="s">
        <v>45</v>
      </c>
      <c r="I7128">
        <v>2</v>
      </c>
      <c r="J7128" t="s">
        <v>40</v>
      </c>
    </row>
    <row r="7129" spans="1:10" x14ac:dyDescent="0.25">
      <c r="A7129" t="s">
        <v>145</v>
      </c>
      <c r="B7129">
        <f>73611.106777208*(1/100/100)</f>
        <v>7.3611106777208004</v>
      </c>
      <c r="C7129">
        <v>75439</v>
      </c>
      <c r="D7129" t="s">
        <v>2122</v>
      </c>
      <c r="E7129">
        <v>20719</v>
      </c>
      <c r="F7129" t="s">
        <v>425</v>
      </c>
      <c r="G7129">
        <v>207</v>
      </c>
      <c r="H7129" t="s">
        <v>45</v>
      </c>
      <c r="I7129">
        <v>2</v>
      </c>
      <c r="J7129" t="s">
        <v>40</v>
      </c>
    </row>
    <row r="7130" spans="1:10" x14ac:dyDescent="0.25">
      <c r="A7130" t="s">
        <v>145</v>
      </c>
      <c r="B7130">
        <f>404799.722326282*(1/100/100)</f>
        <v>40.479972232628199</v>
      </c>
      <c r="C7130">
        <v>75441</v>
      </c>
      <c r="D7130" t="s">
        <v>2218</v>
      </c>
      <c r="E7130">
        <v>20201</v>
      </c>
      <c r="F7130" t="s">
        <v>342</v>
      </c>
      <c r="G7130">
        <v>202</v>
      </c>
      <c r="H7130" t="s">
        <v>41</v>
      </c>
      <c r="I7130">
        <v>2</v>
      </c>
      <c r="J7130" t="s">
        <v>40</v>
      </c>
    </row>
    <row r="7131" spans="1:10" x14ac:dyDescent="0.25">
      <c r="A7131" t="s">
        <v>145</v>
      </c>
      <c r="B7131">
        <f>89351.5554018774*(1/100/100)</f>
        <v>8.9351555401877398</v>
      </c>
      <c r="C7131">
        <v>75442</v>
      </c>
      <c r="D7131" t="s">
        <v>2331</v>
      </c>
      <c r="E7131">
        <v>20201</v>
      </c>
      <c r="F7131" t="s">
        <v>342</v>
      </c>
      <c r="G7131">
        <v>202</v>
      </c>
      <c r="H7131" t="s">
        <v>41</v>
      </c>
      <c r="I7131">
        <v>2</v>
      </c>
      <c r="J7131" t="s">
        <v>40</v>
      </c>
    </row>
    <row r="7132" spans="1:10" x14ac:dyDescent="0.25">
      <c r="A7132" t="s">
        <v>145</v>
      </c>
      <c r="B7132">
        <f>43396.6150082407*(1/100/100)</f>
        <v>4.3396615008240698</v>
      </c>
      <c r="C7132">
        <v>75443</v>
      </c>
      <c r="D7132" t="s">
        <v>2358</v>
      </c>
      <c r="E7132">
        <v>20711</v>
      </c>
      <c r="F7132" t="s">
        <v>422</v>
      </c>
      <c r="G7132">
        <v>207</v>
      </c>
      <c r="H7132" t="s">
        <v>45</v>
      </c>
      <c r="I7132">
        <v>2</v>
      </c>
      <c r="J7132" t="s">
        <v>40</v>
      </c>
    </row>
    <row r="7133" spans="1:10" x14ac:dyDescent="0.25">
      <c r="A7133" t="s">
        <v>145</v>
      </c>
      <c r="B7133">
        <f>122135.485027135*(1/100/100)</f>
        <v>12.2135485027135</v>
      </c>
      <c r="C7133">
        <v>75444</v>
      </c>
      <c r="D7133" t="s">
        <v>2669</v>
      </c>
      <c r="E7133">
        <v>20724</v>
      </c>
      <c r="F7133" t="s">
        <v>429</v>
      </c>
      <c r="G7133">
        <v>207</v>
      </c>
      <c r="H7133" t="s">
        <v>45</v>
      </c>
      <c r="I7133">
        <v>2</v>
      </c>
      <c r="J7133" t="s">
        <v>40</v>
      </c>
    </row>
    <row r="7134" spans="1:10" x14ac:dyDescent="0.25">
      <c r="A7134" t="s">
        <v>145</v>
      </c>
      <c r="B7134">
        <f>8892.81983742373*(1/100/100)</f>
        <v>0.88928198374237311</v>
      </c>
      <c r="C7134">
        <v>75445</v>
      </c>
      <c r="D7134" t="s">
        <v>2637</v>
      </c>
      <c r="E7134">
        <v>20703</v>
      </c>
      <c r="F7134" t="s">
        <v>417</v>
      </c>
      <c r="G7134">
        <v>207</v>
      </c>
      <c r="H7134" t="s">
        <v>45</v>
      </c>
      <c r="I7134">
        <v>2</v>
      </c>
      <c r="J7134" t="s">
        <v>40</v>
      </c>
    </row>
    <row r="7135" spans="1:10" x14ac:dyDescent="0.25">
      <c r="A7135" t="s">
        <v>145</v>
      </c>
      <c r="B7135">
        <f>360980.945295933*(1/100/100)</f>
        <v>36.098094529593304</v>
      </c>
      <c r="C7135">
        <v>75446</v>
      </c>
      <c r="D7135" t="s">
        <v>2332</v>
      </c>
      <c r="E7135">
        <v>20201</v>
      </c>
      <c r="F7135" t="s">
        <v>342</v>
      </c>
      <c r="G7135">
        <v>202</v>
      </c>
      <c r="H7135" t="s">
        <v>41</v>
      </c>
      <c r="I7135">
        <v>2</v>
      </c>
      <c r="J7135" t="s">
        <v>40</v>
      </c>
    </row>
    <row r="7136" spans="1:10" x14ac:dyDescent="0.25">
      <c r="A7136" t="s">
        <v>145</v>
      </c>
      <c r="B7136">
        <f>55476.5261588793*(1/100/100)</f>
        <v>5.5476526158879302</v>
      </c>
      <c r="C7136">
        <v>75447</v>
      </c>
      <c r="D7136" t="s">
        <v>2634</v>
      </c>
      <c r="E7136">
        <v>20702</v>
      </c>
      <c r="F7136" t="s">
        <v>416</v>
      </c>
      <c r="G7136">
        <v>207</v>
      </c>
      <c r="H7136" t="s">
        <v>45</v>
      </c>
      <c r="I7136">
        <v>2</v>
      </c>
      <c r="J7136" t="s">
        <v>40</v>
      </c>
    </row>
    <row r="7137" spans="1:10" x14ac:dyDescent="0.25">
      <c r="A7137" t="s">
        <v>145</v>
      </c>
      <c r="B7137">
        <f>74390.4917464672*(1/100/100)</f>
        <v>7.4390491746467209</v>
      </c>
      <c r="C7137">
        <v>75448</v>
      </c>
      <c r="D7137" t="s">
        <v>2670</v>
      </c>
      <c r="E7137">
        <v>20724</v>
      </c>
      <c r="F7137" t="s">
        <v>429</v>
      </c>
      <c r="G7137">
        <v>207</v>
      </c>
      <c r="H7137" t="s">
        <v>45</v>
      </c>
      <c r="I7137">
        <v>2</v>
      </c>
      <c r="J7137" t="s">
        <v>40</v>
      </c>
    </row>
    <row r="7138" spans="1:10" x14ac:dyDescent="0.25">
      <c r="A7138" t="s">
        <v>145</v>
      </c>
      <c r="B7138">
        <f>93365.1057709802*(1/100/100)</f>
        <v>9.3365105770980197</v>
      </c>
      <c r="C7138">
        <v>75449</v>
      </c>
      <c r="D7138" t="s">
        <v>2685</v>
      </c>
      <c r="E7138">
        <v>20727</v>
      </c>
      <c r="F7138" t="s">
        <v>432</v>
      </c>
      <c r="G7138">
        <v>207</v>
      </c>
      <c r="H7138" t="s">
        <v>45</v>
      </c>
      <c r="I7138">
        <v>2</v>
      </c>
      <c r="J7138" t="s">
        <v>40</v>
      </c>
    </row>
    <row r="7139" spans="1:10" x14ac:dyDescent="0.25">
      <c r="A7139" t="s">
        <v>145</v>
      </c>
      <c r="B7139">
        <f>117578.416955202*(1/100/100)</f>
        <v>11.757841695520201</v>
      </c>
      <c r="C7139">
        <v>75450</v>
      </c>
      <c r="D7139" t="s">
        <v>2671</v>
      </c>
      <c r="E7139">
        <v>20724</v>
      </c>
      <c r="F7139" t="s">
        <v>429</v>
      </c>
      <c r="G7139">
        <v>207</v>
      </c>
      <c r="H7139" t="s">
        <v>45</v>
      </c>
      <c r="I7139">
        <v>2</v>
      </c>
      <c r="J7139" t="s">
        <v>40</v>
      </c>
    </row>
    <row r="7140" spans="1:10" x14ac:dyDescent="0.25">
      <c r="A7140" t="s">
        <v>145</v>
      </c>
      <c r="B7140">
        <f>57077.7456768001*(1/100/100)</f>
        <v>5.7077745676800102</v>
      </c>
      <c r="C7140">
        <v>75451</v>
      </c>
      <c r="D7140" t="s">
        <v>2686</v>
      </c>
      <c r="E7140">
        <v>20727</v>
      </c>
      <c r="F7140" t="s">
        <v>432</v>
      </c>
      <c r="G7140">
        <v>207</v>
      </c>
      <c r="H7140" t="s">
        <v>45</v>
      </c>
      <c r="I7140">
        <v>2</v>
      </c>
      <c r="J7140" t="s">
        <v>40</v>
      </c>
    </row>
    <row r="7141" spans="1:10" x14ac:dyDescent="0.25">
      <c r="A7141" t="s">
        <v>145</v>
      </c>
      <c r="B7141">
        <f>110900.151926784*(1/100/100)</f>
        <v>11.090015192678401</v>
      </c>
      <c r="C7141">
        <v>75452</v>
      </c>
      <c r="D7141" t="s">
        <v>2333</v>
      </c>
      <c r="E7141">
        <v>20201</v>
      </c>
      <c r="F7141" t="s">
        <v>342</v>
      </c>
      <c r="G7141">
        <v>202</v>
      </c>
      <c r="H7141" t="s">
        <v>41</v>
      </c>
      <c r="I7141">
        <v>2</v>
      </c>
      <c r="J7141" t="s">
        <v>40</v>
      </c>
    </row>
    <row r="7142" spans="1:10" x14ac:dyDescent="0.25">
      <c r="A7142" t="s">
        <v>145</v>
      </c>
      <c r="B7142">
        <f>35189.9205527128*(1/100/100)</f>
        <v>3.5189920552712803</v>
      </c>
      <c r="C7142">
        <v>75453</v>
      </c>
      <c r="D7142" t="s">
        <v>2672</v>
      </c>
      <c r="E7142">
        <v>20724</v>
      </c>
      <c r="F7142" t="s">
        <v>429</v>
      </c>
      <c r="G7142">
        <v>207</v>
      </c>
      <c r="H7142" t="s">
        <v>45</v>
      </c>
      <c r="I7142">
        <v>2</v>
      </c>
      <c r="J7142" t="s">
        <v>40</v>
      </c>
    </row>
    <row r="7143" spans="1:10" x14ac:dyDescent="0.25">
      <c r="A7143" t="s">
        <v>145</v>
      </c>
      <c r="B7143">
        <f>924040.20867784*(1/100/100)</f>
        <v>92.404020867783998</v>
      </c>
      <c r="C7143">
        <v>75454</v>
      </c>
      <c r="D7143" t="s">
        <v>342</v>
      </c>
      <c r="E7143">
        <v>20201</v>
      </c>
      <c r="F7143" t="s">
        <v>342</v>
      </c>
      <c r="G7143">
        <v>202</v>
      </c>
      <c r="H7143" t="s">
        <v>41</v>
      </c>
      <c r="I7143">
        <v>2</v>
      </c>
      <c r="J7143" t="s">
        <v>40</v>
      </c>
    </row>
    <row r="7144" spans="1:10" x14ac:dyDescent="0.25">
      <c r="A7144" t="s">
        <v>145</v>
      </c>
      <c r="B7144">
        <f>483659.963040488*(1/100/100)</f>
        <v>48.365996304048807</v>
      </c>
      <c r="C7144">
        <v>75455</v>
      </c>
      <c r="D7144" t="s">
        <v>2334</v>
      </c>
      <c r="E7144">
        <v>20201</v>
      </c>
      <c r="F7144" t="s">
        <v>342</v>
      </c>
      <c r="G7144">
        <v>202</v>
      </c>
      <c r="H7144" t="s">
        <v>41</v>
      </c>
      <c r="I7144">
        <v>2</v>
      </c>
      <c r="J7144" t="s">
        <v>40</v>
      </c>
    </row>
    <row r="7145" spans="1:10" x14ac:dyDescent="0.25">
      <c r="A7145" t="s">
        <v>145</v>
      </c>
      <c r="B7145">
        <f>64838.3091074394*(1/100/100)</f>
        <v>6.4838309107439409</v>
      </c>
      <c r="C7145">
        <v>75456</v>
      </c>
      <c r="D7145" t="s">
        <v>2687</v>
      </c>
      <c r="E7145">
        <v>20727</v>
      </c>
      <c r="F7145" t="s">
        <v>432</v>
      </c>
      <c r="G7145">
        <v>207</v>
      </c>
      <c r="H7145" t="s">
        <v>45</v>
      </c>
      <c r="I7145">
        <v>2</v>
      </c>
      <c r="J7145" t="s">
        <v>40</v>
      </c>
    </row>
    <row r="7146" spans="1:10" x14ac:dyDescent="0.25">
      <c r="A7146" t="s">
        <v>145</v>
      </c>
      <c r="B7146">
        <f>61150.461910696*(1/100/100)</f>
        <v>6.1150461910696006</v>
      </c>
      <c r="C7146">
        <v>75457</v>
      </c>
      <c r="D7146" t="s">
        <v>2335</v>
      </c>
      <c r="E7146">
        <v>20201</v>
      </c>
      <c r="F7146" t="s">
        <v>342</v>
      </c>
      <c r="G7146">
        <v>202</v>
      </c>
      <c r="H7146" t="s">
        <v>41</v>
      </c>
      <c r="I7146">
        <v>2</v>
      </c>
      <c r="J7146" t="s">
        <v>40</v>
      </c>
    </row>
    <row r="7147" spans="1:10" x14ac:dyDescent="0.25">
      <c r="A7147" t="s">
        <v>145</v>
      </c>
      <c r="B7147">
        <f>55129.9578433659*(1/100/100)</f>
        <v>5.5129957843365895</v>
      </c>
      <c r="C7147">
        <v>75458</v>
      </c>
      <c r="D7147" t="s">
        <v>411</v>
      </c>
      <c r="E7147">
        <v>20724</v>
      </c>
      <c r="F7147" t="s">
        <v>429</v>
      </c>
      <c r="G7147">
        <v>207</v>
      </c>
      <c r="H7147" t="s">
        <v>45</v>
      </c>
      <c r="I7147">
        <v>2</v>
      </c>
      <c r="J7147" t="s">
        <v>40</v>
      </c>
    </row>
    <row r="7148" spans="1:10" x14ac:dyDescent="0.25">
      <c r="A7148" t="s">
        <v>145</v>
      </c>
      <c r="B7148">
        <f>54737.0692296564*(1/100/100)</f>
        <v>5.4737069229656408</v>
      </c>
      <c r="C7148">
        <v>75459</v>
      </c>
      <c r="D7148" t="s">
        <v>2336</v>
      </c>
      <c r="E7148">
        <v>20201</v>
      </c>
      <c r="F7148" t="s">
        <v>342</v>
      </c>
      <c r="G7148">
        <v>202</v>
      </c>
      <c r="H7148" t="s">
        <v>41</v>
      </c>
      <c r="I7148">
        <v>2</v>
      </c>
      <c r="J7148" t="s">
        <v>40</v>
      </c>
    </row>
    <row r="7149" spans="1:10" x14ac:dyDescent="0.25">
      <c r="A7149" t="s">
        <v>145</v>
      </c>
      <c r="B7149">
        <f>85982.9351393089*(1/100/100)</f>
        <v>8.5982935139308907</v>
      </c>
      <c r="C7149">
        <v>76001</v>
      </c>
      <c r="D7149" t="s">
        <v>1602</v>
      </c>
      <c r="E7149">
        <v>20801</v>
      </c>
      <c r="F7149" t="s">
        <v>433</v>
      </c>
      <c r="G7149">
        <v>208</v>
      </c>
      <c r="H7149" t="s">
        <v>46</v>
      </c>
      <c r="I7149">
        <v>2</v>
      </c>
      <c r="J7149" t="s">
        <v>40</v>
      </c>
    </row>
    <row r="7150" spans="1:10" x14ac:dyDescent="0.25">
      <c r="A7150" t="s">
        <v>145</v>
      </c>
      <c r="B7150">
        <f>8399.94214137159*(1/100/100)</f>
        <v>0.83999421413715902</v>
      </c>
      <c r="C7150">
        <v>76002</v>
      </c>
      <c r="D7150" t="s">
        <v>2732</v>
      </c>
      <c r="E7150">
        <v>20810</v>
      </c>
      <c r="F7150" t="s">
        <v>441</v>
      </c>
      <c r="G7150">
        <v>208</v>
      </c>
      <c r="H7150" t="s">
        <v>46</v>
      </c>
      <c r="I7150">
        <v>2</v>
      </c>
      <c r="J7150" t="s">
        <v>40</v>
      </c>
    </row>
    <row r="7151" spans="1:10" x14ac:dyDescent="0.25">
      <c r="A7151" t="s">
        <v>145</v>
      </c>
      <c r="B7151">
        <f>148870.389319415*(1/100/100)</f>
        <v>14.8870389319415</v>
      </c>
      <c r="C7151">
        <v>76003</v>
      </c>
      <c r="D7151" t="s">
        <v>433</v>
      </c>
      <c r="E7151">
        <v>20801</v>
      </c>
      <c r="F7151" t="s">
        <v>433</v>
      </c>
      <c r="G7151">
        <v>208</v>
      </c>
      <c r="H7151" t="s">
        <v>46</v>
      </c>
      <c r="I7151">
        <v>2</v>
      </c>
      <c r="J7151" t="s">
        <v>40</v>
      </c>
    </row>
    <row r="7152" spans="1:10" x14ac:dyDescent="0.25">
      <c r="A7152" t="s">
        <v>145</v>
      </c>
      <c r="B7152">
        <f>143930.889484578*(1/100/100)</f>
        <v>14.3930889484578</v>
      </c>
      <c r="C7152">
        <v>76004</v>
      </c>
      <c r="D7152" t="s">
        <v>2511</v>
      </c>
      <c r="E7152">
        <v>20805</v>
      </c>
      <c r="F7152" t="s">
        <v>437</v>
      </c>
      <c r="G7152">
        <v>208</v>
      </c>
      <c r="H7152" t="s">
        <v>46</v>
      </c>
      <c r="I7152">
        <v>2</v>
      </c>
      <c r="J7152" t="s">
        <v>40</v>
      </c>
    </row>
    <row r="7153" spans="1:10" x14ac:dyDescent="0.25">
      <c r="A7153" t="s">
        <v>145</v>
      </c>
      <c r="B7153">
        <f>6580.12396493982*(1/100/100)</f>
        <v>0.65801239649398202</v>
      </c>
      <c r="C7153">
        <v>76005</v>
      </c>
      <c r="D7153" t="s">
        <v>2688</v>
      </c>
      <c r="E7153">
        <v>20801</v>
      </c>
      <c r="F7153" t="s">
        <v>433</v>
      </c>
      <c r="G7153">
        <v>208</v>
      </c>
      <c r="H7153" t="s">
        <v>46</v>
      </c>
      <c r="I7153">
        <v>2</v>
      </c>
      <c r="J7153" t="s">
        <v>40</v>
      </c>
    </row>
    <row r="7154" spans="1:10" x14ac:dyDescent="0.25">
      <c r="A7154" t="s">
        <v>145</v>
      </c>
      <c r="B7154">
        <f>16022.5706333472*(1/100/100)</f>
        <v>1.6022570633347202</v>
      </c>
      <c r="C7154">
        <v>76006</v>
      </c>
      <c r="D7154" t="s">
        <v>2733</v>
      </c>
      <c r="E7154">
        <v>20810</v>
      </c>
      <c r="F7154" t="s">
        <v>441</v>
      </c>
      <c r="G7154">
        <v>208</v>
      </c>
      <c r="H7154" t="s">
        <v>46</v>
      </c>
      <c r="I7154">
        <v>2</v>
      </c>
      <c r="J7154" t="s">
        <v>40</v>
      </c>
    </row>
    <row r="7155" spans="1:10" x14ac:dyDescent="0.25">
      <c r="A7155" t="s">
        <v>145</v>
      </c>
      <c r="B7155">
        <f>3578.03041536909*(1/100/100)</f>
        <v>0.35780304153690901</v>
      </c>
      <c r="C7155">
        <v>76007</v>
      </c>
      <c r="D7155" t="s">
        <v>2734</v>
      </c>
      <c r="E7155">
        <v>20810</v>
      </c>
      <c r="F7155" t="s">
        <v>441</v>
      </c>
      <c r="G7155">
        <v>208</v>
      </c>
      <c r="H7155" t="s">
        <v>46</v>
      </c>
      <c r="I7155">
        <v>2</v>
      </c>
      <c r="J7155" t="s">
        <v>40</v>
      </c>
    </row>
    <row r="7156" spans="1:10" x14ac:dyDescent="0.25">
      <c r="A7156" t="s">
        <v>145</v>
      </c>
      <c r="B7156">
        <f>15402.8411528009*(1/100/100)</f>
        <v>1.5402841152800901</v>
      </c>
      <c r="C7156">
        <v>76008</v>
      </c>
      <c r="D7156" t="s">
        <v>2689</v>
      </c>
      <c r="E7156">
        <v>20801</v>
      </c>
      <c r="F7156" t="s">
        <v>433</v>
      </c>
      <c r="G7156">
        <v>208</v>
      </c>
      <c r="H7156" t="s">
        <v>46</v>
      </c>
      <c r="I7156">
        <v>2</v>
      </c>
      <c r="J7156" t="s">
        <v>40</v>
      </c>
    </row>
    <row r="7157" spans="1:10" x14ac:dyDescent="0.25">
      <c r="A7157" t="s">
        <v>145</v>
      </c>
      <c r="B7157">
        <f>2029.13476595999*(1/100/100)</f>
        <v>0.20291347659599901</v>
      </c>
      <c r="C7157">
        <v>76009</v>
      </c>
      <c r="D7157" t="s">
        <v>2735</v>
      </c>
      <c r="E7157">
        <v>20810</v>
      </c>
      <c r="F7157" t="s">
        <v>441</v>
      </c>
      <c r="G7157">
        <v>208</v>
      </c>
      <c r="H7157" t="s">
        <v>46</v>
      </c>
      <c r="I7157">
        <v>2</v>
      </c>
      <c r="J7157" t="s">
        <v>40</v>
      </c>
    </row>
    <row r="7158" spans="1:10" x14ac:dyDescent="0.25">
      <c r="A7158" t="s">
        <v>145</v>
      </c>
      <c r="B7158">
        <f>90245.5374490112*(1/100/100)</f>
        <v>9.0245537449011213</v>
      </c>
      <c r="C7158">
        <v>76010</v>
      </c>
      <c r="D7158" t="s">
        <v>2690</v>
      </c>
      <c r="E7158">
        <v>20801</v>
      </c>
      <c r="F7158" t="s">
        <v>433</v>
      </c>
      <c r="G7158">
        <v>208</v>
      </c>
      <c r="H7158" t="s">
        <v>46</v>
      </c>
      <c r="I7158">
        <v>2</v>
      </c>
      <c r="J7158" t="s">
        <v>40</v>
      </c>
    </row>
    <row r="7159" spans="1:10" x14ac:dyDescent="0.25">
      <c r="A7159" t="s">
        <v>145</v>
      </c>
      <c r="B7159">
        <f>35557.8112830267*(1/100/100)</f>
        <v>3.5557811283026699</v>
      </c>
      <c r="C7159">
        <v>76011</v>
      </c>
      <c r="D7159" t="s">
        <v>441</v>
      </c>
      <c r="E7159">
        <v>20810</v>
      </c>
      <c r="F7159" t="s">
        <v>441</v>
      </c>
      <c r="G7159">
        <v>208</v>
      </c>
      <c r="H7159" t="s">
        <v>46</v>
      </c>
      <c r="I7159">
        <v>2</v>
      </c>
      <c r="J7159" t="s">
        <v>40</v>
      </c>
    </row>
    <row r="7160" spans="1:10" x14ac:dyDescent="0.25">
      <c r="A7160" t="s">
        <v>145</v>
      </c>
      <c r="B7160">
        <f>33036.9606522836*(1/100/100)</f>
        <v>3.30369606522836</v>
      </c>
      <c r="C7160">
        <v>76012</v>
      </c>
      <c r="D7160" t="s">
        <v>2691</v>
      </c>
      <c r="E7160">
        <v>20801</v>
      </c>
      <c r="F7160" t="s">
        <v>433</v>
      </c>
      <c r="G7160">
        <v>208</v>
      </c>
      <c r="H7160" t="s">
        <v>46</v>
      </c>
      <c r="I7160">
        <v>2</v>
      </c>
      <c r="J7160" t="s">
        <v>40</v>
      </c>
    </row>
    <row r="7161" spans="1:10" x14ac:dyDescent="0.25">
      <c r="A7161" t="s">
        <v>145</v>
      </c>
      <c r="B7161">
        <f>40612.9161004072*(1/100/100)</f>
        <v>4.0612916100407199</v>
      </c>
      <c r="C7161">
        <v>76013</v>
      </c>
      <c r="D7161" t="s">
        <v>2625</v>
      </c>
      <c r="E7161">
        <v>20805</v>
      </c>
      <c r="F7161" t="s">
        <v>437</v>
      </c>
      <c r="G7161">
        <v>208</v>
      </c>
      <c r="H7161" t="s">
        <v>46</v>
      </c>
      <c r="I7161">
        <v>2</v>
      </c>
      <c r="J7161" t="s">
        <v>40</v>
      </c>
    </row>
    <row r="7162" spans="1:10" x14ac:dyDescent="0.25">
      <c r="A7162" t="s">
        <v>145</v>
      </c>
      <c r="B7162">
        <f>50329.0240783994*(1/100/100)</f>
        <v>5.0329024078399405</v>
      </c>
      <c r="C7162">
        <v>76014</v>
      </c>
      <c r="D7162" t="s">
        <v>2736</v>
      </c>
      <c r="E7162">
        <v>20810</v>
      </c>
      <c r="F7162" t="s">
        <v>441</v>
      </c>
      <c r="G7162">
        <v>208</v>
      </c>
      <c r="H7162" t="s">
        <v>46</v>
      </c>
      <c r="I7162">
        <v>2</v>
      </c>
      <c r="J7162" t="s">
        <v>40</v>
      </c>
    </row>
    <row r="7163" spans="1:10" x14ac:dyDescent="0.25">
      <c r="A7163" t="s">
        <v>145</v>
      </c>
      <c r="B7163">
        <f>65403.9667954818*(1/100/100)</f>
        <v>6.5403966795481807</v>
      </c>
      <c r="C7163">
        <v>76015</v>
      </c>
      <c r="D7163" t="s">
        <v>2692</v>
      </c>
      <c r="E7163">
        <v>20801</v>
      </c>
      <c r="F7163" t="s">
        <v>433</v>
      </c>
      <c r="G7163">
        <v>208</v>
      </c>
      <c r="H7163" t="s">
        <v>46</v>
      </c>
      <c r="I7163">
        <v>2</v>
      </c>
      <c r="J7163" t="s">
        <v>40</v>
      </c>
    </row>
    <row r="7164" spans="1:10" x14ac:dyDescent="0.25">
      <c r="A7164" t="s">
        <v>145</v>
      </c>
      <c r="B7164">
        <f>14796.105064443*(1/100/100)</f>
        <v>1.4796105064443001</v>
      </c>
      <c r="C7164">
        <v>76016</v>
      </c>
      <c r="D7164" t="s">
        <v>2125</v>
      </c>
      <c r="E7164">
        <v>20801</v>
      </c>
      <c r="F7164" t="s">
        <v>433</v>
      </c>
      <c r="G7164">
        <v>208</v>
      </c>
      <c r="H7164" t="s">
        <v>46</v>
      </c>
      <c r="I7164">
        <v>2</v>
      </c>
      <c r="J7164" t="s">
        <v>40</v>
      </c>
    </row>
    <row r="7165" spans="1:10" x14ac:dyDescent="0.25">
      <c r="A7165" t="s">
        <v>145</v>
      </c>
      <c r="B7165">
        <f>207413.685491681*(1/100/100)</f>
        <v>20.741368549168101</v>
      </c>
      <c r="C7165">
        <v>76017</v>
      </c>
      <c r="D7165" t="s">
        <v>2717</v>
      </c>
      <c r="E7165">
        <v>20805</v>
      </c>
      <c r="F7165" t="s">
        <v>437</v>
      </c>
      <c r="G7165">
        <v>208</v>
      </c>
      <c r="H7165" t="s">
        <v>46</v>
      </c>
      <c r="I7165">
        <v>2</v>
      </c>
      <c r="J7165" t="s">
        <v>40</v>
      </c>
    </row>
    <row r="7166" spans="1:10" x14ac:dyDescent="0.25">
      <c r="A7166" t="s">
        <v>145</v>
      </c>
      <c r="B7166">
        <f>8299.06977710551*(1/100/100)</f>
        <v>0.829906977710551</v>
      </c>
      <c r="C7166">
        <v>76018</v>
      </c>
      <c r="D7166" t="s">
        <v>2693</v>
      </c>
      <c r="E7166">
        <v>20801</v>
      </c>
      <c r="F7166" t="s">
        <v>433</v>
      </c>
      <c r="G7166">
        <v>208</v>
      </c>
      <c r="H7166" t="s">
        <v>46</v>
      </c>
      <c r="I7166">
        <v>2</v>
      </c>
      <c r="J7166" t="s">
        <v>40</v>
      </c>
    </row>
    <row r="7167" spans="1:10" x14ac:dyDescent="0.25">
      <c r="A7167" t="s">
        <v>145</v>
      </c>
      <c r="B7167">
        <f>51246.9591710107*(1/100/100)</f>
        <v>5.1246959171010698</v>
      </c>
      <c r="C7167">
        <v>76019</v>
      </c>
      <c r="D7167" t="s">
        <v>2737</v>
      </c>
      <c r="E7167">
        <v>20810</v>
      </c>
      <c r="F7167" t="s">
        <v>441</v>
      </c>
      <c r="G7167">
        <v>208</v>
      </c>
      <c r="H7167" t="s">
        <v>46</v>
      </c>
      <c r="I7167">
        <v>2</v>
      </c>
      <c r="J7167" t="s">
        <v>40</v>
      </c>
    </row>
    <row r="7168" spans="1:10" x14ac:dyDescent="0.25">
      <c r="A7168" t="s">
        <v>145</v>
      </c>
      <c r="B7168">
        <f>86902.2578266928*(1/100/100)</f>
        <v>8.6902257826692804</v>
      </c>
      <c r="C7168">
        <v>76021</v>
      </c>
      <c r="D7168" t="s">
        <v>2694</v>
      </c>
      <c r="E7168">
        <v>20801</v>
      </c>
      <c r="F7168" t="s">
        <v>433</v>
      </c>
      <c r="G7168">
        <v>208</v>
      </c>
      <c r="H7168" t="s">
        <v>46</v>
      </c>
      <c r="I7168">
        <v>2</v>
      </c>
      <c r="J7168" t="s">
        <v>40</v>
      </c>
    </row>
    <row r="7169" spans="1:10" x14ac:dyDescent="0.25">
      <c r="A7169" t="s">
        <v>145</v>
      </c>
      <c r="B7169">
        <f>27009.6458580606*(1/100/100)</f>
        <v>2.7009645858060605</v>
      </c>
      <c r="C7169">
        <v>76022</v>
      </c>
      <c r="D7169" t="s">
        <v>2718</v>
      </c>
      <c r="E7169">
        <v>20805</v>
      </c>
      <c r="F7169" t="s">
        <v>437</v>
      </c>
      <c r="G7169">
        <v>208</v>
      </c>
      <c r="H7169" t="s">
        <v>46</v>
      </c>
      <c r="I7169">
        <v>2</v>
      </c>
      <c r="J7169" t="s">
        <v>40</v>
      </c>
    </row>
    <row r="7170" spans="1:10" x14ac:dyDescent="0.25">
      <c r="A7170" t="s">
        <v>145</v>
      </c>
      <c r="B7170">
        <f>5760.20524437843*(1/100/100)</f>
        <v>0.57602052443784302</v>
      </c>
      <c r="C7170">
        <v>76023</v>
      </c>
      <c r="D7170" t="s">
        <v>431</v>
      </c>
      <c r="E7170">
        <v>20801</v>
      </c>
      <c r="F7170" t="s">
        <v>433</v>
      </c>
      <c r="G7170">
        <v>208</v>
      </c>
      <c r="H7170" t="s">
        <v>46</v>
      </c>
      <c r="I7170">
        <v>2</v>
      </c>
      <c r="J7170" t="s">
        <v>40</v>
      </c>
    </row>
    <row r="7171" spans="1:10" x14ac:dyDescent="0.25">
      <c r="A7171" t="s">
        <v>145</v>
      </c>
      <c r="B7171">
        <f>11846.5510830469*(1/100/100)</f>
        <v>1.1846551083046899</v>
      </c>
      <c r="C7171">
        <v>76024</v>
      </c>
      <c r="D7171" t="s">
        <v>2695</v>
      </c>
      <c r="E7171">
        <v>20801</v>
      </c>
      <c r="F7171" t="s">
        <v>433</v>
      </c>
      <c r="G7171">
        <v>208</v>
      </c>
      <c r="H7171" t="s">
        <v>46</v>
      </c>
      <c r="I7171">
        <v>2</v>
      </c>
      <c r="J7171" t="s">
        <v>40</v>
      </c>
    </row>
    <row r="7172" spans="1:10" x14ac:dyDescent="0.25">
      <c r="A7172" t="s">
        <v>145</v>
      </c>
      <c r="B7172">
        <f>59812.5046956744*(1/100/100)</f>
        <v>5.9812504695674402</v>
      </c>
      <c r="C7172">
        <v>76025</v>
      </c>
      <c r="D7172" t="s">
        <v>439</v>
      </c>
      <c r="E7172">
        <v>20807</v>
      </c>
      <c r="F7172" t="s">
        <v>439</v>
      </c>
      <c r="G7172">
        <v>208</v>
      </c>
      <c r="H7172" t="s">
        <v>46</v>
      </c>
      <c r="I7172">
        <v>2</v>
      </c>
      <c r="J7172" t="s">
        <v>40</v>
      </c>
    </row>
    <row r="7173" spans="1:10" x14ac:dyDescent="0.25">
      <c r="A7173" t="s">
        <v>145</v>
      </c>
      <c r="B7173">
        <f>30435.4169294903*(1/100/100)</f>
        <v>3.04354169294903</v>
      </c>
      <c r="C7173">
        <v>76026</v>
      </c>
      <c r="D7173" t="s">
        <v>2722</v>
      </c>
      <c r="E7173">
        <v>20807</v>
      </c>
      <c r="F7173" t="s">
        <v>439</v>
      </c>
      <c r="G7173">
        <v>208</v>
      </c>
      <c r="H7173" t="s">
        <v>46</v>
      </c>
      <c r="I7173">
        <v>2</v>
      </c>
      <c r="J7173" t="s">
        <v>40</v>
      </c>
    </row>
    <row r="7174" spans="1:10" x14ac:dyDescent="0.25">
      <c r="A7174" t="s">
        <v>145</v>
      </c>
      <c r="B7174">
        <f>135595.357107039*(1/100/100)</f>
        <v>13.5595357107039</v>
      </c>
      <c r="C7174">
        <v>76027</v>
      </c>
      <c r="D7174" t="s">
        <v>2358</v>
      </c>
      <c r="E7174">
        <v>20807</v>
      </c>
      <c r="F7174" t="s">
        <v>439</v>
      </c>
      <c r="G7174">
        <v>208</v>
      </c>
      <c r="H7174" t="s">
        <v>46</v>
      </c>
      <c r="I7174">
        <v>2</v>
      </c>
      <c r="J7174" t="s">
        <v>40</v>
      </c>
    </row>
    <row r="7175" spans="1:10" x14ac:dyDescent="0.25">
      <c r="A7175" t="s">
        <v>145</v>
      </c>
      <c r="B7175">
        <f>33912.8270142381*(1/100/100)</f>
        <v>3.3912827014238101</v>
      </c>
      <c r="C7175">
        <v>76028</v>
      </c>
      <c r="D7175" t="s">
        <v>2723</v>
      </c>
      <c r="E7175">
        <v>20807</v>
      </c>
      <c r="F7175" t="s">
        <v>439</v>
      </c>
      <c r="G7175">
        <v>208</v>
      </c>
      <c r="H7175" t="s">
        <v>46</v>
      </c>
      <c r="I7175">
        <v>2</v>
      </c>
      <c r="J7175" t="s">
        <v>40</v>
      </c>
    </row>
    <row r="7176" spans="1:10" x14ac:dyDescent="0.25">
      <c r="A7176" t="s">
        <v>145</v>
      </c>
      <c r="B7176">
        <f>27925.3618527546*(1/100/100)</f>
        <v>2.79253618527546</v>
      </c>
      <c r="C7176">
        <v>76101</v>
      </c>
      <c r="D7176" t="s">
        <v>2700</v>
      </c>
      <c r="E7176">
        <v>20803</v>
      </c>
      <c r="F7176" t="s">
        <v>435</v>
      </c>
      <c r="G7176">
        <v>208</v>
      </c>
      <c r="H7176" t="s">
        <v>46</v>
      </c>
      <c r="I7176">
        <v>2</v>
      </c>
      <c r="J7176" t="s">
        <v>40</v>
      </c>
    </row>
    <row r="7177" spans="1:10" x14ac:dyDescent="0.25">
      <c r="A7177" t="s">
        <v>145</v>
      </c>
      <c r="B7177">
        <f>211619.835738014*(1/100/100)</f>
        <v>21.1619835738014</v>
      </c>
      <c r="C7177">
        <v>76102</v>
      </c>
      <c r="D7177" t="s">
        <v>435</v>
      </c>
      <c r="E7177">
        <v>20803</v>
      </c>
      <c r="F7177" t="s">
        <v>435</v>
      </c>
      <c r="G7177">
        <v>208</v>
      </c>
      <c r="H7177" t="s">
        <v>46</v>
      </c>
      <c r="I7177">
        <v>2</v>
      </c>
      <c r="J7177" t="s">
        <v>40</v>
      </c>
    </row>
    <row r="7178" spans="1:10" x14ac:dyDescent="0.25">
      <c r="A7178" t="s">
        <v>145</v>
      </c>
      <c r="B7178">
        <f>107687.119786523*(1/100/100)</f>
        <v>10.768711978652302</v>
      </c>
      <c r="C7178">
        <v>76103</v>
      </c>
      <c r="D7178" t="s">
        <v>2701</v>
      </c>
      <c r="E7178">
        <v>20803</v>
      </c>
      <c r="F7178" t="s">
        <v>435</v>
      </c>
      <c r="G7178">
        <v>208</v>
      </c>
      <c r="H7178" t="s">
        <v>46</v>
      </c>
      <c r="I7178">
        <v>2</v>
      </c>
      <c r="J7178" t="s">
        <v>40</v>
      </c>
    </row>
    <row r="7179" spans="1:10" x14ac:dyDescent="0.25">
      <c r="A7179" t="s">
        <v>145</v>
      </c>
      <c r="B7179">
        <f>40769.0309879139*(1/100/100)</f>
        <v>4.0769030987913908</v>
      </c>
      <c r="C7179">
        <v>76105</v>
      </c>
      <c r="D7179" t="s">
        <v>2702</v>
      </c>
      <c r="E7179">
        <v>20803</v>
      </c>
      <c r="F7179" t="s">
        <v>435</v>
      </c>
      <c r="G7179">
        <v>208</v>
      </c>
      <c r="H7179" t="s">
        <v>46</v>
      </c>
      <c r="I7179">
        <v>2</v>
      </c>
      <c r="J7179" t="s">
        <v>40</v>
      </c>
    </row>
    <row r="7180" spans="1:10" x14ac:dyDescent="0.25">
      <c r="A7180" t="s">
        <v>145</v>
      </c>
      <c r="B7180">
        <f>67111.0933730489*(1/100/100)</f>
        <v>6.7111093373048911</v>
      </c>
      <c r="C7180">
        <v>76106</v>
      </c>
      <c r="D7180" t="s">
        <v>2740</v>
      </c>
      <c r="E7180">
        <v>20813</v>
      </c>
      <c r="F7180" t="s">
        <v>2741</v>
      </c>
      <c r="G7180">
        <v>208</v>
      </c>
      <c r="H7180" t="s">
        <v>46</v>
      </c>
      <c r="I7180">
        <v>2</v>
      </c>
      <c r="J7180" t="s">
        <v>40</v>
      </c>
    </row>
    <row r="7181" spans="1:10" x14ac:dyDescent="0.25">
      <c r="A7181" t="s">
        <v>145</v>
      </c>
      <c r="B7181">
        <f>239749.560784105*(1/100/100)</f>
        <v>23.974956078410504</v>
      </c>
      <c r="C7181">
        <v>76108</v>
      </c>
      <c r="D7181" t="s">
        <v>2703</v>
      </c>
      <c r="E7181">
        <v>20803</v>
      </c>
      <c r="F7181" t="s">
        <v>435</v>
      </c>
      <c r="G7181">
        <v>208</v>
      </c>
      <c r="H7181" t="s">
        <v>46</v>
      </c>
      <c r="I7181">
        <v>2</v>
      </c>
      <c r="J7181" t="s">
        <v>40</v>
      </c>
    </row>
    <row r="7182" spans="1:10" x14ac:dyDescent="0.25">
      <c r="A7182" t="s">
        <v>145</v>
      </c>
      <c r="B7182">
        <f>101709.512887498*(1/100/100)</f>
        <v>10.1709512887498</v>
      </c>
      <c r="C7182">
        <v>76109</v>
      </c>
      <c r="D7182" t="s">
        <v>2742</v>
      </c>
      <c r="E7182">
        <v>20813</v>
      </c>
      <c r="F7182" t="s">
        <v>2741</v>
      </c>
      <c r="G7182">
        <v>208</v>
      </c>
      <c r="H7182" t="s">
        <v>46</v>
      </c>
      <c r="I7182">
        <v>2</v>
      </c>
      <c r="J7182" t="s">
        <v>40</v>
      </c>
    </row>
    <row r="7183" spans="1:10" x14ac:dyDescent="0.25">
      <c r="A7183" t="s">
        <v>145</v>
      </c>
      <c r="B7183">
        <f>128126.763750496*(1/100/100)</f>
        <v>12.8126763750496</v>
      </c>
      <c r="C7183">
        <v>76110</v>
      </c>
      <c r="D7183" t="s">
        <v>2704</v>
      </c>
      <c r="E7183">
        <v>20803</v>
      </c>
      <c r="F7183" t="s">
        <v>435</v>
      </c>
      <c r="G7183">
        <v>208</v>
      </c>
      <c r="H7183" t="s">
        <v>46</v>
      </c>
      <c r="I7183">
        <v>2</v>
      </c>
      <c r="J7183" t="s">
        <v>40</v>
      </c>
    </row>
    <row r="7184" spans="1:10" x14ac:dyDescent="0.25">
      <c r="A7184" t="s">
        <v>145</v>
      </c>
      <c r="B7184">
        <f>24654.9616212421*(1/100/100)</f>
        <v>2.46549616212421</v>
      </c>
      <c r="C7184">
        <v>76111</v>
      </c>
      <c r="D7184" t="s">
        <v>2705</v>
      </c>
      <c r="E7184">
        <v>20803</v>
      </c>
      <c r="F7184" t="s">
        <v>435</v>
      </c>
      <c r="G7184">
        <v>208</v>
      </c>
      <c r="H7184" t="s">
        <v>46</v>
      </c>
      <c r="I7184">
        <v>2</v>
      </c>
      <c r="J7184" t="s">
        <v>40</v>
      </c>
    </row>
    <row r="7185" spans="1:10" x14ac:dyDescent="0.25">
      <c r="A7185" t="s">
        <v>145</v>
      </c>
      <c r="B7185">
        <f>46231.9111852941*(1/100/100)</f>
        <v>4.6231911185294097</v>
      </c>
      <c r="C7185">
        <v>76112</v>
      </c>
      <c r="D7185" t="s">
        <v>2706</v>
      </c>
      <c r="E7185">
        <v>20803</v>
      </c>
      <c r="F7185" t="s">
        <v>435</v>
      </c>
      <c r="G7185">
        <v>208</v>
      </c>
      <c r="H7185" t="s">
        <v>46</v>
      </c>
      <c r="I7185">
        <v>2</v>
      </c>
      <c r="J7185" t="s">
        <v>40</v>
      </c>
    </row>
    <row r="7186" spans="1:10" x14ac:dyDescent="0.25">
      <c r="A7186" t="s">
        <v>145</v>
      </c>
      <c r="B7186">
        <f>188650.169880187*(1/100/100)</f>
        <v>18.865016988018699</v>
      </c>
      <c r="C7186">
        <v>76113</v>
      </c>
      <c r="D7186" t="s">
        <v>2743</v>
      </c>
      <c r="E7186">
        <v>20813</v>
      </c>
      <c r="F7186" t="s">
        <v>2741</v>
      </c>
      <c r="G7186">
        <v>208</v>
      </c>
      <c r="H7186" t="s">
        <v>46</v>
      </c>
      <c r="I7186">
        <v>2</v>
      </c>
      <c r="J7186" t="s">
        <v>40</v>
      </c>
    </row>
    <row r="7187" spans="1:10" x14ac:dyDescent="0.25">
      <c r="A7187" t="s">
        <v>145</v>
      </c>
      <c r="B7187">
        <f>69512.3208679814*(1/100/100)</f>
        <v>6.9512320867981403</v>
      </c>
      <c r="C7187">
        <v>76114</v>
      </c>
      <c r="D7187" t="s">
        <v>2744</v>
      </c>
      <c r="E7187">
        <v>20813</v>
      </c>
      <c r="F7187" t="s">
        <v>2741</v>
      </c>
      <c r="G7187">
        <v>208</v>
      </c>
      <c r="H7187" t="s">
        <v>46</v>
      </c>
      <c r="I7187">
        <v>2</v>
      </c>
      <c r="J7187" t="s">
        <v>40</v>
      </c>
    </row>
    <row r="7188" spans="1:10" x14ac:dyDescent="0.25">
      <c r="A7188" t="s">
        <v>145</v>
      </c>
      <c r="B7188">
        <f>29399.3216454014*(1/100/100)</f>
        <v>2.9399321645401399</v>
      </c>
      <c r="C7188">
        <v>76116</v>
      </c>
      <c r="D7188" t="s">
        <v>2745</v>
      </c>
      <c r="E7188">
        <v>20813</v>
      </c>
      <c r="F7188" t="s">
        <v>2741</v>
      </c>
      <c r="G7188">
        <v>208</v>
      </c>
      <c r="H7188" t="s">
        <v>46</v>
      </c>
      <c r="I7188">
        <v>2</v>
      </c>
      <c r="J7188" t="s">
        <v>40</v>
      </c>
    </row>
    <row r="7189" spans="1:10" x14ac:dyDescent="0.25">
      <c r="A7189" t="s">
        <v>145</v>
      </c>
      <c r="B7189">
        <f>108882.628898334*(1/100/100)</f>
        <v>10.888262889833401</v>
      </c>
      <c r="C7189">
        <v>76117</v>
      </c>
      <c r="D7189" t="s">
        <v>2746</v>
      </c>
      <c r="E7189">
        <v>20813</v>
      </c>
      <c r="F7189" t="s">
        <v>2741</v>
      </c>
      <c r="G7189">
        <v>208</v>
      </c>
      <c r="H7189" t="s">
        <v>46</v>
      </c>
      <c r="I7189">
        <v>2</v>
      </c>
      <c r="J7189" t="s">
        <v>40</v>
      </c>
    </row>
    <row r="7190" spans="1:10" x14ac:dyDescent="0.25">
      <c r="A7190" t="s">
        <v>145</v>
      </c>
      <c r="B7190">
        <f>87563.677167862*(1/100/100)</f>
        <v>8.7563677167862011</v>
      </c>
      <c r="C7190">
        <v>76118</v>
      </c>
      <c r="D7190" t="s">
        <v>2316</v>
      </c>
      <c r="E7190">
        <v>20813</v>
      </c>
      <c r="F7190" t="s">
        <v>2741</v>
      </c>
      <c r="G7190">
        <v>208</v>
      </c>
      <c r="H7190" t="s">
        <v>46</v>
      </c>
      <c r="I7190">
        <v>2</v>
      </c>
      <c r="J7190" t="s">
        <v>40</v>
      </c>
    </row>
    <row r="7191" spans="1:10" x14ac:dyDescent="0.25">
      <c r="A7191" t="s">
        <v>145</v>
      </c>
      <c r="B7191">
        <f>28508.8779600378*(1/100/100)</f>
        <v>2.85088779600378</v>
      </c>
      <c r="C7191">
        <v>76201</v>
      </c>
      <c r="D7191" t="s">
        <v>2719</v>
      </c>
      <c r="E7191">
        <v>20806</v>
      </c>
      <c r="F7191" t="s">
        <v>438</v>
      </c>
      <c r="G7191">
        <v>208</v>
      </c>
      <c r="H7191" t="s">
        <v>46</v>
      </c>
      <c r="I7191">
        <v>2</v>
      </c>
      <c r="J7191" t="s">
        <v>40</v>
      </c>
    </row>
    <row r="7192" spans="1:10" x14ac:dyDescent="0.25">
      <c r="A7192" t="s">
        <v>145</v>
      </c>
      <c r="B7192">
        <f>36482.3279843727*(1/100/100)</f>
        <v>3.6482327984372702</v>
      </c>
      <c r="C7192">
        <v>76202</v>
      </c>
      <c r="D7192" t="s">
        <v>797</v>
      </c>
      <c r="E7192">
        <v>20815</v>
      </c>
      <c r="F7192" t="s">
        <v>443</v>
      </c>
      <c r="G7192">
        <v>208</v>
      </c>
      <c r="H7192" t="s">
        <v>46</v>
      </c>
      <c r="I7192">
        <v>2</v>
      </c>
      <c r="J7192" t="s">
        <v>40</v>
      </c>
    </row>
    <row r="7193" spans="1:10" x14ac:dyDescent="0.25">
      <c r="A7193" t="s">
        <v>145</v>
      </c>
      <c r="B7193">
        <f>46791.2003488766*(1/100/100)</f>
        <v>4.67912003488766</v>
      </c>
      <c r="C7193">
        <v>76203</v>
      </c>
      <c r="D7193" t="s">
        <v>2707</v>
      </c>
      <c r="E7193">
        <v>20804</v>
      </c>
      <c r="F7193" t="s">
        <v>436</v>
      </c>
      <c r="G7193">
        <v>208</v>
      </c>
      <c r="H7193" t="s">
        <v>46</v>
      </c>
      <c r="I7193">
        <v>2</v>
      </c>
      <c r="J7193" t="s">
        <v>40</v>
      </c>
    </row>
    <row r="7194" spans="1:10" x14ac:dyDescent="0.25">
      <c r="A7194" t="s">
        <v>145</v>
      </c>
      <c r="B7194">
        <f>17874.2829687754*(1/100/100)</f>
        <v>1.7874282968775399</v>
      </c>
      <c r="C7194">
        <v>76204</v>
      </c>
      <c r="D7194" t="s">
        <v>2708</v>
      </c>
      <c r="E7194">
        <v>20804</v>
      </c>
      <c r="F7194" t="s">
        <v>436</v>
      </c>
      <c r="G7194">
        <v>208</v>
      </c>
      <c r="H7194" t="s">
        <v>46</v>
      </c>
      <c r="I7194">
        <v>2</v>
      </c>
      <c r="J7194" t="s">
        <v>40</v>
      </c>
    </row>
    <row r="7195" spans="1:10" x14ac:dyDescent="0.25">
      <c r="A7195" t="s">
        <v>145</v>
      </c>
      <c r="B7195">
        <f>50144.7188492075*(1/100/100)</f>
        <v>5.0144718849207504</v>
      </c>
      <c r="C7195">
        <v>76205</v>
      </c>
      <c r="D7195" t="s">
        <v>2709</v>
      </c>
      <c r="E7195">
        <v>20804</v>
      </c>
      <c r="F7195" t="s">
        <v>436</v>
      </c>
      <c r="G7195">
        <v>208</v>
      </c>
      <c r="H7195" t="s">
        <v>46</v>
      </c>
      <c r="I7195">
        <v>2</v>
      </c>
      <c r="J7195" t="s">
        <v>40</v>
      </c>
    </row>
    <row r="7196" spans="1:10" x14ac:dyDescent="0.25">
      <c r="A7196" t="s">
        <v>145</v>
      </c>
      <c r="B7196">
        <f>76961.4881258016*(1/100/100)</f>
        <v>7.6961488125801596</v>
      </c>
      <c r="C7196">
        <v>76206</v>
      </c>
      <c r="D7196" t="s">
        <v>2710</v>
      </c>
      <c r="E7196">
        <v>20804</v>
      </c>
      <c r="F7196" t="s">
        <v>436</v>
      </c>
      <c r="G7196">
        <v>208</v>
      </c>
      <c r="H7196" t="s">
        <v>46</v>
      </c>
      <c r="I7196">
        <v>2</v>
      </c>
      <c r="J7196" t="s">
        <v>40</v>
      </c>
    </row>
    <row r="7197" spans="1:10" x14ac:dyDescent="0.25">
      <c r="A7197" t="s">
        <v>145</v>
      </c>
      <c r="B7197">
        <f>56131.2452193494*(1/100/100)</f>
        <v>5.6131245219349406</v>
      </c>
      <c r="C7197">
        <v>76207</v>
      </c>
      <c r="D7197" t="s">
        <v>2720</v>
      </c>
      <c r="E7197">
        <v>20806</v>
      </c>
      <c r="F7197" t="s">
        <v>438</v>
      </c>
      <c r="G7197">
        <v>208</v>
      </c>
      <c r="H7197" t="s">
        <v>46</v>
      </c>
      <c r="I7197">
        <v>2</v>
      </c>
      <c r="J7197" t="s">
        <v>40</v>
      </c>
    </row>
    <row r="7198" spans="1:10" x14ac:dyDescent="0.25">
      <c r="A7198" t="s">
        <v>145</v>
      </c>
      <c r="B7198">
        <f>72284.6619424364*(1/100/100)</f>
        <v>7.2284661942436408</v>
      </c>
      <c r="C7198">
        <v>76208</v>
      </c>
      <c r="D7198" t="s">
        <v>438</v>
      </c>
      <c r="E7198">
        <v>20806</v>
      </c>
      <c r="F7198" t="s">
        <v>438</v>
      </c>
      <c r="G7198">
        <v>208</v>
      </c>
      <c r="H7198" t="s">
        <v>46</v>
      </c>
      <c r="I7198">
        <v>2</v>
      </c>
      <c r="J7198" t="s">
        <v>40</v>
      </c>
    </row>
    <row r="7199" spans="1:10" x14ac:dyDescent="0.25">
      <c r="A7199" t="s">
        <v>145</v>
      </c>
      <c r="B7199">
        <f>31061.1719261907*(1/100/100)</f>
        <v>3.1061171926190698</v>
      </c>
      <c r="C7199">
        <v>76209</v>
      </c>
      <c r="D7199" t="s">
        <v>2504</v>
      </c>
      <c r="E7199">
        <v>20806</v>
      </c>
      <c r="F7199" t="s">
        <v>438</v>
      </c>
      <c r="G7199">
        <v>208</v>
      </c>
      <c r="H7199" t="s">
        <v>46</v>
      </c>
      <c r="I7199">
        <v>2</v>
      </c>
      <c r="J7199" t="s">
        <v>40</v>
      </c>
    </row>
    <row r="7200" spans="1:10" x14ac:dyDescent="0.25">
      <c r="A7200" t="s">
        <v>145</v>
      </c>
      <c r="B7200">
        <f>36141.7697948677*(1/100/100)</f>
        <v>3.6141769794867704</v>
      </c>
      <c r="C7200">
        <v>76210</v>
      </c>
      <c r="D7200" t="s">
        <v>2747</v>
      </c>
      <c r="E7200">
        <v>20815</v>
      </c>
      <c r="F7200" t="s">
        <v>443</v>
      </c>
      <c r="G7200">
        <v>208</v>
      </c>
      <c r="H7200" t="s">
        <v>46</v>
      </c>
      <c r="I7200">
        <v>2</v>
      </c>
      <c r="J7200" t="s">
        <v>40</v>
      </c>
    </row>
    <row r="7201" spans="1:10" x14ac:dyDescent="0.25">
      <c r="A7201" t="s">
        <v>145</v>
      </c>
      <c r="B7201">
        <f>719.1683772375*(1/100/100)</f>
        <v>7.1916837723750002E-2</v>
      </c>
      <c r="C7201">
        <v>76211</v>
      </c>
      <c r="D7201" t="s">
        <v>2711</v>
      </c>
      <c r="E7201">
        <v>20804</v>
      </c>
      <c r="F7201" t="s">
        <v>436</v>
      </c>
      <c r="G7201">
        <v>208</v>
      </c>
      <c r="H7201" t="s">
        <v>46</v>
      </c>
      <c r="I7201">
        <v>2</v>
      </c>
      <c r="J7201" t="s">
        <v>40</v>
      </c>
    </row>
    <row r="7202" spans="1:10" x14ac:dyDescent="0.25">
      <c r="A7202" t="s">
        <v>145</v>
      </c>
      <c r="B7202">
        <f>12203.0899024078*(1/100/100)</f>
        <v>1.2203089902407802</v>
      </c>
      <c r="C7202">
        <v>76212</v>
      </c>
      <c r="D7202" t="s">
        <v>2712</v>
      </c>
      <c r="E7202">
        <v>20804</v>
      </c>
      <c r="F7202" t="s">
        <v>436</v>
      </c>
      <c r="G7202">
        <v>208</v>
      </c>
      <c r="H7202" t="s">
        <v>46</v>
      </c>
      <c r="I7202">
        <v>2</v>
      </c>
      <c r="J7202" t="s">
        <v>40</v>
      </c>
    </row>
    <row r="7203" spans="1:10" x14ac:dyDescent="0.25">
      <c r="A7203" t="s">
        <v>145</v>
      </c>
      <c r="B7203">
        <f>23483.2068509461*(1/100/100)</f>
        <v>2.3483206850946101</v>
      </c>
      <c r="C7203">
        <v>76213</v>
      </c>
      <c r="D7203" t="s">
        <v>2713</v>
      </c>
      <c r="E7203">
        <v>20804</v>
      </c>
      <c r="F7203" t="s">
        <v>436</v>
      </c>
      <c r="G7203">
        <v>208</v>
      </c>
      <c r="H7203" t="s">
        <v>46</v>
      </c>
      <c r="I7203">
        <v>2</v>
      </c>
      <c r="J7203" t="s">
        <v>40</v>
      </c>
    </row>
    <row r="7204" spans="1:10" x14ac:dyDescent="0.25">
      <c r="A7204" t="s">
        <v>145</v>
      </c>
      <c r="B7204">
        <f>21746.9330359031*(1/100/100)</f>
        <v>2.1746933035903102</v>
      </c>
      <c r="C7204">
        <v>76214</v>
      </c>
      <c r="D7204" t="s">
        <v>2714</v>
      </c>
      <c r="E7204">
        <v>20804</v>
      </c>
      <c r="F7204" t="s">
        <v>436</v>
      </c>
      <c r="G7204">
        <v>208</v>
      </c>
      <c r="H7204" t="s">
        <v>46</v>
      </c>
      <c r="I7204">
        <v>2</v>
      </c>
      <c r="J7204" t="s">
        <v>40</v>
      </c>
    </row>
    <row r="7205" spans="1:10" x14ac:dyDescent="0.25">
      <c r="A7205" t="s">
        <v>145</v>
      </c>
      <c r="B7205">
        <f>30471.6655073756*(1/100/100)</f>
        <v>3.0471665507375603</v>
      </c>
      <c r="C7205">
        <v>76215</v>
      </c>
      <c r="D7205" t="s">
        <v>2721</v>
      </c>
      <c r="E7205">
        <v>20806</v>
      </c>
      <c r="F7205" t="s">
        <v>438</v>
      </c>
      <c r="G7205">
        <v>208</v>
      </c>
      <c r="H7205" t="s">
        <v>46</v>
      </c>
      <c r="I7205">
        <v>2</v>
      </c>
      <c r="J7205" t="s">
        <v>40</v>
      </c>
    </row>
    <row r="7206" spans="1:10" x14ac:dyDescent="0.25">
      <c r="A7206" t="s">
        <v>145</v>
      </c>
      <c r="B7206">
        <f>26301.6241526514*(1/100/100)</f>
        <v>2.6301624152651399</v>
      </c>
      <c r="C7206">
        <v>76216</v>
      </c>
      <c r="D7206" t="s">
        <v>2748</v>
      </c>
      <c r="E7206">
        <v>20815</v>
      </c>
      <c r="F7206" t="s">
        <v>443</v>
      </c>
      <c r="G7206">
        <v>208</v>
      </c>
      <c r="H7206" t="s">
        <v>46</v>
      </c>
      <c r="I7206">
        <v>2</v>
      </c>
      <c r="J7206" t="s">
        <v>40</v>
      </c>
    </row>
    <row r="7207" spans="1:10" x14ac:dyDescent="0.25">
      <c r="A7207" t="s">
        <v>145</v>
      </c>
      <c r="B7207">
        <f>39526.5632491931*(1/100/100)</f>
        <v>3.9526563249193103</v>
      </c>
      <c r="C7207">
        <v>76217</v>
      </c>
      <c r="D7207" t="s">
        <v>1169</v>
      </c>
      <c r="E7207">
        <v>20804</v>
      </c>
      <c r="F7207" t="s">
        <v>436</v>
      </c>
      <c r="G7207">
        <v>208</v>
      </c>
      <c r="H7207" t="s">
        <v>46</v>
      </c>
      <c r="I7207">
        <v>2</v>
      </c>
      <c r="J7207" t="s">
        <v>40</v>
      </c>
    </row>
    <row r="7208" spans="1:10" x14ac:dyDescent="0.25">
      <c r="A7208" t="s">
        <v>145</v>
      </c>
      <c r="B7208">
        <f>12832.675079294*(1/100/100)</f>
        <v>1.2832675079294</v>
      </c>
      <c r="C7208">
        <v>76218</v>
      </c>
      <c r="D7208" t="s">
        <v>2715</v>
      </c>
      <c r="E7208">
        <v>20804</v>
      </c>
      <c r="F7208" t="s">
        <v>436</v>
      </c>
      <c r="G7208">
        <v>208</v>
      </c>
      <c r="H7208" t="s">
        <v>46</v>
      </c>
      <c r="I7208">
        <v>2</v>
      </c>
      <c r="J7208" t="s">
        <v>40</v>
      </c>
    </row>
    <row r="7209" spans="1:10" x14ac:dyDescent="0.25">
      <c r="A7209" t="s">
        <v>145</v>
      </c>
      <c r="B7209">
        <f>77679.5716461429*(1/100/100)</f>
        <v>7.7679571646142902</v>
      </c>
      <c r="C7209">
        <v>76219</v>
      </c>
      <c r="D7209" t="s">
        <v>2749</v>
      </c>
      <c r="E7209">
        <v>20815</v>
      </c>
      <c r="F7209" t="s">
        <v>443</v>
      </c>
      <c r="G7209">
        <v>208</v>
      </c>
      <c r="H7209" t="s">
        <v>46</v>
      </c>
      <c r="I7209">
        <v>2</v>
      </c>
      <c r="J7209" t="s">
        <v>40</v>
      </c>
    </row>
    <row r="7210" spans="1:10" x14ac:dyDescent="0.25">
      <c r="A7210" t="s">
        <v>145</v>
      </c>
      <c r="B7210">
        <f>91259.3514511469*(1/100/100)</f>
        <v>9.1259351451146902</v>
      </c>
      <c r="C7210">
        <v>76220</v>
      </c>
      <c r="D7210" t="s">
        <v>443</v>
      </c>
      <c r="E7210">
        <v>20815</v>
      </c>
      <c r="F7210" t="s">
        <v>443</v>
      </c>
      <c r="G7210">
        <v>208</v>
      </c>
      <c r="H7210" t="s">
        <v>46</v>
      </c>
      <c r="I7210">
        <v>2</v>
      </c>
      <c r="J7210" t="s">
        <v>40</v>
      </c>
    </row>
    <row r="7211" spans="1:10" x14ac:dyDescent="0.25">
      <c r="A7211" t="s">
        <v>145</v>
      </c>
      <c r="B7211">
        <f>64625.0994399002*(1/100/100)</f>
        <v>6.4625099439900202</v>
      </c>
      <c r="C7211">
        <v>76221</v>
      </c>
      <c r="D7211" t="s">
        <v>2750</v>
      </c>
      <c r="E7211">
        <v>20815</v>
      </c>
      <c r="F7211" t="s">
        <v>443</v>
      </c>
      <c r="G7211">
        <v>208</v>
      </c>
      <c r="H7211" t="s">
        <v>46</v>
      </c>
      <c r="I7211">
        <v>2</v>
      </c>
      <c r="J7211" t="s">
        <v>40</v>
      </c>
    </row>
    <row r="7212" spans="1:10" x14ac:dyDescent="0.25">
      <c r="A7212" t="s">
        <v>145</v>
      </c>
      <c r="B7212">
        <f>7879.21773082422*(1/100/100)</f>
        <v>0.78792177308242206</v>
      </c>
      <c r="C7212">
        <v>76222</v>
      </c>
      <c r="D7212" t="s">
        <v>2716</v>
      </c>
      <c r="E7212">
        <v>20804</v>
      </c>
      <c r="F7212" t="s">
        <v>436</v>
      </c>
      <c r="G7212">
        <v>208</v>
      </c>
      <c r="H7212" t="s">
        <v>46</v>
      </c>
      <c r="I7212">
        <v>2</v>
      </c>
      <c r="J7212" t="s">
        <v>40</v>
      </c>
    </row>
    <row r="7213" spans="1:10" x14ac:dyDescent="0.25">
      <c r="A7213" t="s">
        <v>145</v>
      </c>
      <c r="B7213">
        <f>36427.4280654019*(1/100/100)</f>
        <v>3.6427428065401903</v>
      </c>
      <c r="C7213">
        <v>76223</v>
      </c>
      <c r="D7213" t="s">
        <v>2346</v>
      </c>
      <c r="E7213">
        <v>20806</v>
      </c>
      <c r="F7213" t="s">
        <v>438</v>
      </c>
      <c r="G7213">
        <v>208</v>
      </c>
      <c r="H7213" t="s">
        <v>46</v>
      </c>
      <c r="I7213">
        <v>2</v>
      </c>
      <c r="J7213" t="s">
        <v>40</v>
      </c>
    </row>
    <row r="7214" spans="1:10" x14ac:dyDescent="0.25">
      <c r="A7214" t="s">
        <v>145</v>
      </c>
      <c r="B7214">
        <f>22912.2648683606*(1/100/100)</f>
        <v>2.2912264868360599</v>
      </c>
      <c r="C7214">
        <v>76301</v>
      </c>
      <c r="D7214" t="s">
        <v>2751</v>
      </c>
      <c r="E7214">
        <v>20817</v>
      </c>
      <c r="F7214" t="s">
        <v>46</v>
      </c>
      <c r="G7214">
        <v>208</v>
      </c>
      <c r="H7214" t="s">
        <v>46</v>
      </c>
      <c r="I7214">
        <v>2</v>
      </c>
      <c r="J7214" t="s">
        <v>40</v>
      </c>
    </row>
    <row r="7215" spans="1:10" x14ac:dyDescent="0.25">
      <c r="A7215" t="s">
        <v>145</v>
      </c>
      <c r="B7215">
        <f>16748.0222430006*(1/100/100)</f>
        <v>1.67480222430006</v>
      </c>
      <c r="C7215">
        <v>76302</v>
      </c>
      <c r="D7215" t="s">
        <v>2752</v>
      </c>
      <c r="E7215">
        <v>20817</v>
      </c>
      <c r="F7215" t="s">
        <v>46</v>
      </c>
      <c r="G7215">
        <v>208</v>
      </c>
      <c r="H7215" t="s">
        <v>46</v>
      </c>
      <c r="I7215">
        <v>2</v>
      </c>
      <c r="J7215" t="s">
        <v>40</v>
      </c>
    </row>
    <row r="7216" spans="1:10" x14ac:dyDescent="0.25">
      <c r="A7216" t="s">
        <v>145</v>
      </c>
      <c r="B7216">
        <f>80470.741404442*(1/100/100)</f>
        <v>8.0470741404442006</v>
      </c>
      <c r="C7216">
        <v>76303</v>
      </c>
      <c r="D7216" t="s">
        <v>2696</v>
      </c>
      <c r="E7216">
        <v>20802</v>
      </c>
      <c r="F7216" t="s">
        <v>434</v>
      </c>
      <c r="G7216">
        <v>208</v>
      </c>
      <c r="H7216" t="s">
        <v>46</v>
      </c>
      <c r="I7216">
        <v>2</v>
      </c>
      <c r="J7216" t="s">
        <v>40</v>
      </c>
    </row>
    <row r="7217" spans="1:10" x14ac:dyDescent="0.25">
      <c r="A7217" t="s">
        <v>145</v>
      </c>
      <c r="B7217">
        <f>81484.6172489349*(1/100/100)</f>
        <v>8.1484617248934903</v>
      </c>
      <c r="C7217">
        <v>76304</v>
      </c>
      <c r="D7217" t="s">
        <v>2738</v>
      </c>
      <c r="E7217">
        <v>20812</v>
      </c>
      <c r="F7217" t="s">
        <v>442</v>
      </c>
      <c r="G7217">
        <v>208</v>
      </c>
      <c r="H7217" t="s">
        <v>46</v>
      </c>
      <c r="I7217">
        <v>2</v>
      </c>
      <c r="J7217" t="s">
        <v>40</v>
      </c>
    </row>
    <row r="7218" spans="1:10" x14ac:dyDescent="0.25">
      <c r="A7218" t="s">
        <v>145</v>
      </c>
      <c r="B7218">
        <f>26922.1591639404*(1/100/100)</f>
        <v>2.6922159163940402</v>
      </c>
      <c r="C7218">
        <v>76305</v>
      </c>
      <c r="D7218" t="s">
        <v>2697</v>
      </c>
      <c r="E7218">
        <v>20802</v>
      </c>
      <c r="F7218" t="s">
        <v>434</v>
      </c>
      <c r="G7218">
        <v>208</v>
      </c>
      <c r="H7218" t="s">
        <v>46</v>
      </c>
      <c r="I7218">
        <v>2</v>
      </c>
      <c r="J7218" t="s">
        <v>40</v>
      </c>
    </row>
    <row r="7219" spans="1:10" x14ac:dyDescent="0.25">
      <c r="A7219" t="s">
        <v>145</v>
      </c>
      <c r="B7219">
        <f>57190.1842290356*(1/100/100)</f>
        <v>5.7190184229035603</v>
      </c>
      <c r="C7219">
        <v>76306</v>
      </c>
      <c r="D7219" t="s">
        <v>2644</v>
      </c>
      <c r="E7219">
        <v>20817</v>
      </c>
      <c r="F7219" t="s">
        <v>46</v>
      </c>
      <c r="G7219">
        <v>208</v>
      </c>
      <c r="H7219" t="s">
        <v>46</v>
      </c>
      <c r="I7219">
        <v>2</v>
      </c>
      <c r="J7219" t="s">
        <v>40</v>
      </c>
    </row>
    <row r="7220" spans="1:10" x14ac:dyDescent="0.25">
      <c r="A7220" t="s">
        <v>145</v>
      </c>
      <c r="B7220">
        <f>242207.907126679*(1/100/100)</f>
        <v>24.220790712667903</v>
      </c>
      <c r="C7220">
        <v>76307</v>
      </c>
      <c r="D7220" t="s">
        <v>2724</v>
      </c>
      <c r="E7220">
        <v>20808</v>
      </c>
      <c r="F7220" t="s">
        <v>440</v>
      </c>
      <c r="G7220">
        <v>208</v>
      </c>
      <c r="H7220" t="s">
        <v>46</v>
      </c>
      <c r="I7220">
        <v>2</v>
      </c>
      <c r="J7220" t="s">
        <v>40</v>
      </c>
    </row>
    <row r="7221" spans="1:10" x14ac:dyDescent="0.25">
      <c r="A7221" t="s">
        <v>145</v>
      </c>
      <c r="B7221">
        <f>37854.1317281487*(1/100/100)</f>
        <v>3.7854131728148701</v>
      </c>
      <c r="C7221">
        <v>76308</v>
      </c>
      <c r="D7221" t="s">
        <v>2725</v>
      </c>
      <c r="E7221">
        <v>20808</v>
      </c>
      <c r="F7221" t="s">
        <v>440</v>
      </c>
      <c r="G7221">
        <v>208</v>
      </c>
      <c r="H7221" t="s">
        <v>46</v>
      </c>
      <c r="I7221">
        <v>2</v>
      </c>
      <c r="J7221" t="s">
        <v>40</v>
      </c>
    </row>
    <row r="7222" spans="1:10" x14ac:dyDescent="0.25">
      <c r="A7222" t="s">
        <v>145</v>
      </c>
      <c r="B7222">
        <f>63893.8457930546*(1/100/100)</f>
        <v>6.3893845793054602</v>
      </c>
      <c r="C7222">
        <v>76309</v>
      </c>
      <c r="D7222" t="s">
        <v>2753</v>
      </c>
      <c r="E7222">
        <v>20817</v>
      </c>
      <c r="F7222" t="s">
        <v>46</v>
      </c>
      <c r="G7222">
        <v>208</v>
      </c>
      <c r="H7222" t="s">
        <v>46</v>
      </c>
      <c r="I7222">
        <v>2</v>
      </c>
      <c r="J7222" t="s">
        <v>40</v>
      </c>
    </row>
    <row r="7223" spans="1:10" x14ac:dyDescent="0.25">
      <c r="A7223" t="s">
        <v>145</v>
      </c>
      <c r="B7223">
        <f>37238.2068340087*(1/100/100)</f>
        <v>3.72382068340087</v>
      </c>
      <c r="C7223">
        <v>76310</v>
      </c>
      <c r="D7223" t="s">
        <v>2726</v>
      </c>
      <c r="E7223">
        <v>20808</v>
      </c>
      <c r="F7223" t="s">
        <v>440</v>
      </c>
      <c r="G7223">
        <v>208</v>
      </c>
      <c r="H7223" t="s">
        <v>46</v>
      </c>
      <c r="I7223">
        <v>2</v>
      </c>
      <c r="J7223" t="s">
        <v>40</v>
      </c>
    </row>
    <row r="7224" spans="1:10" x14ac:dyDescent="0.25">
      <c r="A7224" t="s">
        <v>145</v>
      </c>
      <c r="B7224">
        <f>161742.912609773*(1/100/100)</f>
        <v>16.174291260977299</v>
      </c>
      <c r="C7224">
        <v>76311</v>
      </c>
      <c r="D7224" t="s">
        <v>2754</v>
      </c>
      <c r="E7224">
        <v>20817</v>
      </c>
      <c r="F7224" t="s">
        <v>46</v>
      </c>
      <c r="G7224">
        <v>208</v>
      </c>
      <c r="H7224" t="s">
        <v>46</v>
      </c>
      <c r="I7224">
        <v>2</v>
      </c>
      <c r="J7224" t="s">
        <v>40</v>
      </c>
    </row>
    <row r="7225" spans="1:10" x14ac:dyDescent="0.25">
      <c r="A7225" t="s">
        <v>145</v>
      </c>
      <c r="B7225">
        <f>34241.887305273*(1/100/100)</f>
        <v>3.4241887305273</v>
      </c>
      <c r="C7225">
        <v>76312</v>
      </c>
      <c r="D7225" t="s">
        <v>2698</v>
      </c>
      <c r="E7225">
        <v>20802</v>
      </c>
      <c r="F7225" t="s">
        <v>434</v>
      </c>
      <c r="G7225">
        <v>208</v>
      </c>
      <c r="H7225" t="s">
        <v>46</v>
      </c>
      <c r="I7225">
        <v>2</v>
      </c>
      <c r="J7225" t="s">
        <v>40</v>
      </c>
    </row>
    <row r="7226" spans="1:10" x14ac:dyDescent="0.25">
      <c r="A7226" t="s">
        <v>145</v>
      </c>
      <c r="B7226">
        <f>19192.3985951049*(1/100/100)</f>
        <v>1.91923985951049</v>
      </c>
      <c r="C7226">
        <v>76313</v>
      </c>
      <c r="D7226" t="s">
        <v>2755</v>
      </c>
      <c r="E7226">
        <v>20817</v>
      </c>
      <c r="F7226" t="s">
        <v>46</v>
      </c>
      <c r="G7226">
        <v>208</v>
      </c>
      <c r="H7226" t="s">
        <v>46</v>
      </c>
      <c r="I7226">
        <v>2</v>
      </c>
      <c r="J7226" t="s">
        <v>40</v>
      </c>
    </row>
    <row r="7227" spans="1:10" x14ac:dyDescent="0.25">
      <c r="A7227" t="s">
        <v>145</v>
      </c>
      <c r="B7227">
        <f>46368.3925377405*(1/100/100)</f>
        <v>4.6368392537740508</v>
      </c>
      <c r="C7227">
        <v>76314</v>
      </c>
      <c r="D7227" t="s">
        <v>2756</v>
      </c>
      <c r="E7227">
        <v>20817</v>
      </c>
      <c r="F7227" t="s">
        <v>46</v>
      </c>
      <c r="G7227">
        <v>208</v>
      </c>
      <c r="H7227" t="s">
        <v>46</v>
      </c>
      <c r="I7227">
        <v>2</v>
      </c>
      <c r="J7227" t="s">
        <v>40</v>
      </c>
    </row>
    <row r="7228" spans="1:10" x14ac:dyDescent="0.25">
      <c r="A7228" t="s">
        <v>145</v>
      </c>
      <c r="B7228">
        <f>38563.6123849967*(1/100/100)</f>
        <v>3.8563612384996699</v>
      </c>
      <c r="C7228">
        <v>76315</v>
      </c>
      <c r="D7228" t="s">
        <v>2727</v>
      </c>
      <c r="E7228">
        <v>20808</v>
      </c>
      <c r="F7228" t="s">
        <v>440</v>
      </c>
      <c r="G7228">
        <v>208</v>
      </c>
      <c r="H7228" t="s">
        <v>46</v>
      </c>
      <c r="I7228">
        <v>2</v>
      </c>
      <c r="J7228" t="s">
        <v>40</v>
      </c>
    </row>
    <row r="7229" spans="1:10" x14ac:dyDescent="0.25">
      <c r="A7229" t="s">
        <v>145</v>
      </c>
      <c r="B7229">
        <f>24041.9950984908*(1/100/100)</f>
        <v>2.40419950984908</v>
      </c>
      <c r="C7229">
        <v>76316</v>
      </c>
      <c r="D7229" t="s">
        <v>2728</v>
      </c>
      <c r="E7229">
        <v>20808</v>
      </c>
      <c r="F7229" t="s">
        <v>440</v>
      </c>
      <c r="G7229">
        <v>208</v>
      </c>
      <c r="H7229" t="s">
        <v>46</v>
      </c>
      <c r="I7229">
        <v>2</v>
      </c>
      <c r="J7229" t="s">
        <v>40</v>
      </c>
    </row>
    <row r="7230" spans="1:10" x14ac:dyDescent="0.25">
      <c r="A7230" t="s">
        <v>145</v>
      </c>
      <c r="B7230">
        <f>57719.8193717913*(1/100/100)</f>
        <v>5.7719819371791301</v>
      </c>
      <c r="C7230">
        <v>76317</v>
      </c>
      <c r="D7230" t="s">
        <v>2757</v>
      </c>
      <c r="E7230">
        <v>20817</v>
      </c>
      <c r="F7230" t="s">
        <v>46</v>
      </c>
      <c r="G7230">
        <v>208</v>
      </c>
      <c r="H7230" t="s">
        <v>46</v>
      </c>
      <c r="I7230">
        <v>2</v>
      </c>
      <c r="J7230" t="s">
        <v>40</v>
      </c>
    </row>
    <row r="7231" spans="1:10" x14ac:dyDescent="0.25">
      <c r="A7231" t="s">
        <v>145</v>
      </c>
      <c r="B7231">
        <f>46912.4963810536*(1/100/100)</f>
        <v>4.6912496381053606</v>
      </c>
      <c r="C7231">
        <v>76318</v>
      </c>
      <c r="D7231" t="s">
        <v>2758</v>
      </c>
      <c r="E7231">
        <v>20817</v>
      </c>
      <c r="F7231" t="s">
        <v>46</v>
      </c>
      <c r="G7231">
        <v>208</v>
      </c>
      <c r="H7231" t="s">
        <v>46</v>
      </c>
      <c r="I7231">
        <v>2</v>
      </c>
      <c r="J7231" t="s">
        <v>40</v>
      </c>
    </row>
    <row r="7232" spans="1:10" x14ac:dyDescent="0.25">
      <c r="A7232" t="s">
        <v>145</v>
      </c>
      <c r="B7232">
        <f>68892.2167813362*(1/100/100)</f>
        <v>6.8892216781336204</v>
      </c>
      <c r="C7232">
        <v>76319</v>
      </c>
      <c r="D7232" t="s">
        <v>2739</v>
      </c>
      <c r="E7232">
        <v>20812</v>
      </c>
      <c r="F7232" t="s">
        <v>442</v>
      </c>
      <c r="G7232">
        <v>208</v>
      </c>
      <c r="H7232" t="s">
        <v>46</v>
      </c>
      <c r="I7232">
        <v>2</v>
      </c>
      <c r="J7232" t="s">
        <v>40</v>
      </c>
    </row>
    <row r="7233" spans="1:10" x14ac:dyDescent="0.25">
      <c r="A7233" t="s">
        <v>145</v>
      </c>
      <c r="B7233">
        <f>37671.5014477395*(1/100/100)</f>
        <v>3.7671501447739502</v>
      </c>
      <c r="C7233">
        <v>76321</v>
      </c>
      <c r="D7233" t="s">
        <v>2759</v>
      </c>
      <c r="E7233">
        <v>20817</v>
      </c>
      <c r="F7233" t="s">
        <v>46</v>
      </c>
      <c r="G7233">
        <v>208</v>
      </c>
      <c r="H7233" t="s">
        <v>46</v>
      </c>
      <c r="I7233">
        <v>2</v>
      </c>
      <c r="J7233" t="s">
        <v>40</v>
      </c>
    </row>
    <row r="7234" spans="1:10" x14ac:dyDescent="0.25">
      <c r="A7234" t="s">
        <v>145</v>
      </c>
      <c r="B7234">
        <f>48429.7622415843*(1/100/100)</f>
        <v>4.8429762241584298</v>
      </c>
      <c r="C7234">
        <v>76322</v>
      </c>
      <c r="D7234" t="s">
        <v>238</v>
      </c>
      <c r="E7234">
        <v>20817</v>
      </c>
      <c r="F7234" t="s">
        <v>46</v>
      </c>
      <c r="G7234">
        <v>208</v>
      </c>
      <c r="H7234" t="s">
        <v>46</v>
      </c>
      <c r="I7234">
        <v>2</v>
      </c>
      <c r="J7234" t="s">
        <v>40</v>
      </c>
    </row>
    <row r="7235" spans="1:10" x14ac:dyDescent="0.25">
      <c r="A7235" t="s">
        <v>145</v>
      </c>
      <c r="B7235">
        <f>9566.21884572098*(1/100/100)</f>
        <v>0.95662188457209796</v>
      </c>
      <c r="C7235">
        <v>76323</v>
      </c>
      <c r="D7235" t="s">
        <v>2760</v>
      </c>
      <c r="E7235">
        <v>20817</v>
      </c>
      <c r="F7235" t="s">
        <v>46</v>
      </c>
      <c r="G7235">
        <v>208</v>
      </c>
      <c r="H7235" t="s">
        <v>46</v>
      </c>
      <c r="I7235">
        <v>2</v>
      </c>
      <c r="J7235" t="s">
        <v>40</v>
      </c>
    </row>
    <row r="7236" spans="1:10" x14ac:dyDescent="0.25">
      <c r="A7236" t="s">
        <v>145</v>
      </c>
      <c r="B7236">
        <f>52722.8350320531*(1/100/100)</f>
        <v>5.2722835032053101</v>
      </c>
      <c r="C7236">
        <v>76324</v>
      </c>
      <c r="D7236" t="s">
        <v>2761</v>
      </c>
      <c r="E7236">
        <v>20817</v>
      </c>
      <c r="F7236" t="s">
        <v>46</v>
      </c>
      <c r="G7236">
        <v>208</v>
      </c>
      <c r="H7236" t="s">
        <v>46</v>
      </c>
      <c r="I7236">
        <v>2</v>
      </c>
      <c r="J7236" t="s">
        <v>40</v>
      </c>
    </row>
    <row r="7237" spans="1:10" x14ac:dyDescent="0.25">
      <c r="A7237" t="s">
        <v>145</v>
      </c>
      <c r="B7237">
        <f>4722.70101073166*(1/100/100)</f>
        <v>0.47227010107316603</v>
      </c>
      <c r="C7237">
        <v>76325</v>
      </c>
      <c r="D7237" t="s">
        <v>2762</v>
      </c>
      <c r="E7237">
        <v>20817</v>
      </c>
      <c r="F7237" t="s">
        <v>46</v>
      </c>
      <c r="G7237">
        <v>208</v>
      </c>
      <c r="H7237" t="s">
        <v>46</v>
      </c>
      <c r="I7237">
        <v>2</v>
      </c>
      <c r="J7237" t="s">
        <v>40</v>
      </c>
    </row>
    <row r="7238" spans="1:10" x14ac:dyDescent="0.25">
      <c r="A7238" t="s">
        <v>145</v>
      </c>
      <c r="B7238">
        <f>16314.9212201382*(1/100/100)</f>
        <v>1.6314921220138201</v>
      </c>
      <c r="C7238">
        <v>76326</v>
      </c>
      <c r="D7238" t="s">
        <v>2699</v>
      </c>
      <c r="E7238">
        <v>20802</v>
      </c>
      <c r="F7238" t="s">
        <v>434</v>
      </c>
      <c r="G7238">
        <v>208</v>
      </c>
      <c r="H7238" t="s">
        <v>46</v>
      </c>
      <c r="I7238">
        <v>2</v>
      </c>
      <c r="J7238" t="s">
        <v>40</v>
      </c>
    </row>
    <row r="7239" spans="1:10" x14ac:dyDescent="0.25">
      <c r="A7239" t="s">
        <v>145</v>
      </c>
      <c r="B7239">
        <f>30069.580665091*(1/100/100)</f>
        <v>3.0069580665091005</v>
      </c>
      <c r="C7239">
        <v>76327</v>
      </c>
      <c r="D7239" t="s">
        <v>2729</v>
      </c>
      <c r="E7239">
        <v>20808</v>
      </c>
      <c r="F7239" t="s">
        <v>440</v>
      </c>
      <c r="G7239">
        <v>208</v>
      </c>
      <c r="H7239" t="s">
        <v>46</v>
      </c>
      <c r="I7239">
        <v>2</v>
      </c>
      <c r="J7239" t="s">
        <v>40</v>
      </c>
    </row>
    <row r="7240" spans="1:10" x14ac:dyDescent="0.25">
      <c r="A7240" t="s">
        <v>145</v>
      </c>
      <c r="B7240">
        <f>19029.5647404609*(1/100/100)</f>
        <v>1.9029564740460903</v>
      </c>
      <c r="C7240">
        <v>76328</v>
      </c>
      <c r="D7240" t="s">
        <v>2763</v>
      </c>
      <c r="E7240">
        <v>20817</v>
      </c>
      <c r="F7240" t="s">
        <v>46</v>
      </c>
      <c r="G7240">
        <v>208</v>
      </c>
      <c r="H7240" t="s">
        <v>46</v>
      </c>
      <c r="I7240">
        <v>2</v>
      </c>
      <c r="J7240" t="s">
        <v>40</v>
      </c>
    </row>
    <row r="7241" spans="1:10" x14ac:dyDescent="0.25">
      <c r="A7241" t="s">
        <v>145</v>
      </c>
      <c r="B7241">
        <f>49119.2532336858*(1/100/100)</f>
        <v>4.91192532336858</v>
      </c>
      <c r="C7241">
        <v>76329</v>
      </c>
      <c r="D7241" t="s">
        <v>301</v>
      </c>
      <c r="E7241">
        <v>20817</v>
      </c>
      <c r="F7241" t="s">
        <v>46</v>
      </c>
      <c r="G7241">
        <v>208</v>
      </c>
      <c r="H7241" t="s">
        <v>46</v>
      </c>
      <c r="I7241">
        <v>2</v>
      </c>
      <c r="J7241" t="s">
        <v>40</v>
      </c>
    </row>
    <row r="7242" spans="1:10" x14ac:dyDescent="0.25">
      <c r="A7242" t="s">
        <v>145</v>
      </c>
      <c r="B7242">
        <f>60480.79177528*(1/100/100)</f>
        <v>6.0480791775279998</v>
      </c>
      <c r="C7242">
        <v>76330</v>
      </c>
      <c r="D7242" t="s">
        <v>442</v>
      </c>
      <c r="E7242">
        <v>20812</v>
      </c>
      <c r="F7242" t="s">
        <v>442</v>
      </c>
      <c r="G7242">
        <v>208</v>
      </c>
      <c r="H7242" t="s">
        <v>46</v>
      </c>
      <c r="I7242">
        <v>2</v>
      </c>
      <c r="J7242" t="s">
        <v>40</v>
      </c>
    </row>
    <row r="7243" spans="1:10" x14ac:dyDescent="0.25">
      <c r="A7243" t="s">
        <v>145</v>
      </c>
      <c r="B7243">
        <f>21382.3666576484*(1/100/100)</f>
        <v>2.1382366657648402</v>
      </c>
      <c r="C7243">
        <v>76331</v>
      </c>
      <c r="D7243" t="s">
        <v>2764</v>
      </c>
      <c r="E7243">
        <v>20817</v>
      </c>
      <c r="F7243" t="s">
        <v>46</v>
      </c>
      <c r="G7243">
        <v>208</v>
      </c>
      <c r="H7243" t="s">
        <v>46</v>
      </c>
      <c r="I7243">
        <v>2</v>
      </c>
      <c r="J7243" t="s">
        <v>40</v>
      </c>
    </row>
    <row r="7244" spans="1:10" x14ac:dyDescent="0.25">
      <c r="A7244" t="s">
        <v>145</v>
      </c>
      <c r="B7244">
        <f>80545.9306813798*(1/100/100)</f>
        <v>8.0545930681379811</v>
      </c>
      <c r="C7244">
        <v>76332</v>
      </c>
      <c r="D7244" t="s">
        <v>2765</v>
      </c>
      <c r="E7244">
        <v>20817</v>
      </c>
      <c r="F7244" t="s">
        <v>46</v>
      </c>
      <c r="G7244">
        <v>208</v>
      </c>
      <c r="H7244" t="s">
        <v>46</v>
      </c>
      <c r="I7244">
        <v>2</v>
      </c>
      <c r="J7244" t="s">
        <v>40</v>
      </c>
    </row>
    <row r="7245" spans="1:10" x14ac:dyDescent="0.25">
      <c r="A7245" t="s">
        <v>145</v>
      </c>
      <c r="B7245">
        <f>50393.2497778128*(1/100/100)</f>
        <v>5.0393249777812805</v>
      </c>
      <c r="C7245">
        <v>76333</v>
      </c>
      <c r="D7245" t="s">
        <v>2730</v>
      </c>
      <c r="E7245">
        <v>20808</v>
      </c>
      <c r="F7245" t="s">
        <v>440</v>
      </c>
      <c r="G7245">
        <v>208</v>
      </c>
      <c r="H7245" t="s">
        <v>46</v>
      </c>
      <c r="I7245">
        <v>2</v>
      </c>
      <c r="J7245" t="s">
        <v>40</v>
      </c>
    </row>
    <row r="7246" spans="1:10" x14ac:dyDescent="0.25">
      <c r="A7246" t="s">
        <v>145</v>
      </c>
      <c r="B7246">
        <f>110418.211068125*(1/100/100)</f>
        <v>11.041821106812501</v>
      </c>
      <c r="C7246">
        <v>76334</v>
      </c>
      <c r="D7246" t="s">
        <v>2766</v>
      </c>
      <c r="E7246">
        <v>20817</v>
      </c>
      <c r="F7246" t="s">
        <v>46</v>
      </c>
      <c r="G7246">
        <v>208</v>
      </c>
      <c r="H7246" t="s">
        <v>46</v>
      </c>
      <c r="I7246">
        <v>2</v>
      </c>
      <c r="J7246" t="s">
        <v>40</v>
      </c>
    </row>
    <row r="7247" spans="1:10" x14ac:dyDescent="0.25">
      <c r="A7247" t="s">
        <v>145</v>
      </c>
      <c r="B7247">
        <f>51917.5010785126*(1/100/100)</f>
        <v>5.1917501078512602</v>
      </c>
      <c r="C7247">
        <v>76335</v>
      </c>
      <c r="D7247" t="s">
        <v>2331</v>
      </c>
      <c r="E7247">
        <v>20817</v>
      </c>
      <c r="F7247" t="s">
        <v>46</v>
      </c>
      <c r="G7247">
        <v>208</v>
      </c>
      <c r="H7247" t="s">
        <v>46</v>
      </c>
      <c r="I7247">
        <v>2</v>
      </c>
      <c r="J7247" t="s">
        <v>40</v>
      </c>
    </row>
    <row r="7248" spans="1:10" x14ac:dyDescent="0.25">
      <c r="A7248" t="s">
        <v>145</v>
      </c>
      <c r="B7248">
        <f>92510.8134306291*(1/100/100)</f>
        <v>9.2510813430629106</v>
      </c>
      <c r="C7248">
        <v>76336</v>
      </c>
      <c r="D7248" t="s">
        <v>2767</v>
      </c>
      <c r="E7248">
        <v>20817</v>
      </c>
      <c r="F7248" t="s">
        <v>46</v>
      </c>
      <c r="G7248">
        <v>208</v>
      </c>
      <c r="H7248" t="s">
        <v>46</v>
      </c>
      <c r="I7248">
        <v>2</v>
      </c>
      <c r="J7248" t="s">
        <v>40</v>
      </c>
    </row>
    <row r="7249" spans="1:10" x14ac:dyDescent="0.25">
      <c r="A7249" t="s">
        <v>145</v>
      </c>
      <c r="B7249">
        <f>22445.7848273035*(1/100/100)</f>
        <v>2.2445784827303501</v>
      </c>
      <c r="C7249">
        <v>76337</v>
      </c>
      <c r="D7249" t="s">
        <v>2768</v>
      </c>
      <c r="E7249">
        <v>20817</v>
      </c>
      <c r="F7249" t="s">
        <v>46</v>
      </c>
      <c r="G7249">
        <v>208</v>
      </c>
      <c r="H7249" t="s">
        <v>46</v>
      </c>
      <c r="I7249">
        <v>2</v>
      </c>
      <c r="J7249" t="s">
        <v>40</v>
      </c>
    </row>
    <row r="7250" spans="1:10" x14ac:dyDescent="0.25">
      <c r="A7250" t="s">
        <v>145</v>
      </c>
      <c r="B7250">
        <f>40626.1117058823*(1/100/100)</f>
        <v>4.0626111705882302</v>
      </c>
      <c r="C7250">
        <v>76338</v>
      </c>
      <c r="D7250" t="s">
        <v>1464</v>
      </c>
      <c r="E7250">
        <v>20812</v>
      </c>
      <c r="F7250" t="s">
        <v>442</v>
      </c>
      <c r="G7250">
        <v>208</v>
      </c>
      <c r="H7250" t="s">
        <v>46</v>
      </c>
      <c r="I7250">
        <v>2</v>
      </c>
      <c r="J7250" t="s">
        <v>40</v>
      </c>
    </row>
    <row r="7251" spans="1:10" x14ac:dyDescent="0.25">
      <c r="A7251" t="s">
        <v>145</v>
      </c>
      <c r="B7251">
        <f>260745.018654594*(1/100/100)</f>
        <v>26.0745018654594</v>
      </c>
      <c r="C7251">
        <v>76339</v>
      </c>
      <c r="D7251" t="s">
        <v>46</v>
      </c>
      <c r="E7251">
        <v>20817</v>
      </c>
      <c r="F7251" t="s">
        <v>46</v>
      </c>
      <c r="G7251">
        <v>208</v>
      </c>
      <c r="H7251" t="s">
        <v>46</v>
      </c>
      <c r="I7251">
        <v>2</v>
      </c>
      <c r="J7251" t="s">
        <v>40</v>
      </c>
    </row>
    <row r="7252" spans="1:10" x14ac:dyDescent="0.25">
      <c r="A7252" t="s">
        <v>145</v>
      </c>
      <c r="B7252">
        <f>55039.5774945826*(1/100/100)</f>
        <v>5.5039577494582597</v>
      </c>
      <c r="C7252">
        <v>76340</v>
      </c>
      <c r="D7252" t="s">
        <v>2769</v>
      </c>
      <c r="E7252">
        <v>20817</v>
      </c>
      <c r="F7252" t="s">
        <v>46</v>
      </c>
      <c r="G7252">
        <v>208</v>
      </c>
      <c r="H7252" t="s">
        <v>46</v>
      </c>
      <c r="I7252">
        <v>2</v>
      </c>
      <c r="J7252" t="s">
        <v>40</v>
      </c>
    </row>
    <row r="7253" spans="1:10" x14ac:dyDescent="0.25">
      <c r="A7253" t="s">
        <v>145</v>
      </c>
      <c r="B7253">
        <f>22550.3561061388*(1/100/100)</f>
        <v>2.2550356106138798</v>
      </c>
      <c r="C7253">
        <v>76341</v>
      </c>
      <c r="D7253" t="s">
        <v>2770</v>
      </c>
      <c r="E7253">
        <v>20817</v>
      </c>
      <c r="F7253" t="s">
        <v>46</v>
      </c>
      <c r="G7253">
        <v>208</v>
      </c>
      <c r="H7253" t="s">
        <v>46</v>
      </c>
      <c r="I7253">
        <v>2</v>
      </c>
      <c r="J7253" t="s">
        <v>40</v>
      </c>
    </row>
    <row r="7254" spans="1:10" x14ac:dyDescent="0.25">
      <c r="A7254" t="s">
        <v>145</v>
      </c>
      <c r="B7254">
        <f>17999.0557376909*(1/100/100)</f>
        <v>1.7999055737690899</v>
      </c>
      <c r="C7254">
        <v>76342</v>
      </c>
      <c r="D7254" t="s">
        <v>2771</v>
      </c>
      <c r="E7254">
        <v>20817</v>
      </c>
      <c r="F7254" t="s">
        <v>46</v>
      </c>
      <c r="G7254">
        <v>208</v>
      </c>
      <c r="H7254" t="s">
        <v>46</v>
      </c>
      <c r="I7254">
        <v>2</v>
      </c>
      <c r="J7254" t="s">
        <v>40</v>
      </c>
    </row>
    <row r="7255" spans="1:10" x14ac:dyDescent="0.25">
      <c r="A7255" t="s">
        <v>145</v>
      </c>
      <c r="B7255">
        <f>22058.0922880694*(1/100/100)</f>
        <v>2.2058092288069404</v>
      </c>
      <c r="C7255">
        <v>76343</v>
      </c>
      <c r="D7255" t="s">
        <v>2394</v>
      </c>
      <c r="E7255">
        <v>20808</v>
      </c>
      <c r="F7255" t="s">
        <v>440</v>
      </c>
      <c r="G7255">
        <v>208</v>
      </c>
      <c r="H7255" t="s">
        <v>46</v>
      </c>
      <c r="I7255">
        <v>2</v>
      </c>
      <c r="J7255" t="s">
        <v>40</v>
      </c>
    </row>
    <row r="7256" spans="1:10" x14ac:dyDescent="0.25">
      <c r="A7256" t="s">
        <v>145</v>
      </c>
      <c r="B7256">
        <f>27002.6610757559*(1/100/100)</f>
        <v>2.7002661075755903</v>
      </c>
      <c r="C7256">
        <v>76344</v>
      </c>
      <c r="D7256" t="s">
        <v>2731</v>
      </c>
      <c r="E7256">
        <v>20808</v>
      </c>
      <c r="F7256" t="s">
        <v>440</v>
      </c>
      <c r="G7256">
        <v>208</v>
      </c>
      <c r="H7256" t="s">
        <v>46</v>
      </c>
      <c r="I7256">
        <v>2</v>
      </c>
      <c r="J7256" t="s">
        <v>40</v>
      </c>
    </row>
    <row r="7257" spans="1:10" x14ac:dyDescent="0.25">
      <c r="A7257" t="s">
        <v>145</v>
      </c>
      <c r="B7257">
        <f>26773.7521905101*(1/100/100)</f>
        <v>2.6773752190510098</v>
      </c>
      <c r="C7257">
        <v>77001</v>
      </c>
      <c r="D7257" t="s">
        <v>2772</v>
      </c>
      <c r="E7257">
        <v>20901</v>
      </c>
      <c r="F7257" t="s">
        <v>2773</v>
      </c>
      <c r="G7257">
        <v>209</v>
      </c>
      <c r="H7257" t="s">
        <v>47</v>
      </c>
      <c r="I7257">
        <v>2</v>
      </c>
      <c r="J7257" t="s">
        <v>40</v>
      </c>
    </row>
    <row r="7258" spans="1:10" x14ac:dyDescent="0.25">
      <c r="A7258" t="s">
        <v>145</v>
      </c>
      <c r="B7258">
        <f>25856.1004615304*(1/100/100)</f>
        <v>2.58561004615304</v>
      </c>
      <c r="C7258">
        <v>77002</v>
      </c>
      <c r="D7258" t="s">
        <v>2774</v>
      </c>
      <c r="E7258">
        <v>20901</v>
      </c>
      <c r="F7258" t="s">
        <v>2773</v>
      </c>
      <c r="G7258">
        <v>209</v>
      </c>
      <c r="H7258" t="s">
        <v>47</v>
      </c>
      <c r="I7258">
        <v>2</v>
      </c>
      <c r="J7258" t="s">
        <v>40</v>
      </c>
    </row>
    <row r="7259" spans="1:10" x14ac:dyDescent="0.25">
      <c r="A7259" t="s">
        <v>145</v>
      </c>
      <c r="B7259">
        <f>10113.9335039438*(1/100/100)</f>
        <v>1.0113933503943799</v>
      </c>
      <c r="C7259">
        <v>77005</v>
      </c>
      <c r="D7259" t="s">
        <v>2798</v>
      </c>
      <c r="E7259">
        <v>20911</v>
      </c>
      <c r="F7259" t="s">
        <v>445</v>
      </c>
      <c r="G7259">
        <v>209</v>
      </c>
      <c r="H7259" t="s">
        <v>47</v>
      </c>
      <c r="I7259">
        <v>2</v>
      </c>
      <c r="J7259" t="s">
        <v>40</v>
      </c>
    </row>
    <row r="7260" spans="1:10" x14ac:dyDescent="0.25">
      <c r="A7260" t="s">
        <v>145</v>
      </c>
      <c r="B7260">
        <f>89674.0686108561*(1/100/100)</f>
        <v>8.9674068610856104</v>
      </c>
      <c r="C7260">
        <v>77006</v>
      </c>
      <c r="D7260" t="s">
        <v>2775</v>
      </c>
      <c r="E7260">
        <v>20901</v>
      </c>
      <c r="F7260" t="s">
        <v>2773</v>
      </c>
      <c r="G7260">
        <v>209</v>
      </c>
      <c r="H7260" t="s">
        <v>47</v>
      </c>
      <c r="I7260">
        <v>2</v>
      </c>
      <c r="J7260" t="s">
        <v>40</v>
      </c>
    </row>
    <row r="7261" spans="1:10" x14ac:dyDescent="0.25">
      <c r="A7261" t="s">
        <v>145</v>
      </c>
      <c r="B7261">
        <f>19279.0655572272*(1/100/100)</f>
        <v>1.9279065557227202</v>
      </c>
      <c r="C7261">
        <v>77007</v>
      </c>
      <c r="D7261" t="s">
        <v>2799</v>
      </c>
      <c r="E7261">
        <v>20911</v>
      </c>
      <c r="F7261" t="s">
        <v>445</v>
      </c>
      <c r="G7261">
        <v>209</v>
      </c>
      <c r="H7261" t="s">
        <v>47</v>
      </c>
      <c r="I7261">
        <v>2</v>
      </c>
      <c r="J7261" t="s">
        <v>40</v>
      </c>
    </row>
    <row r="7262" spans="1:10" x14ac:dyDescent="0.25">
      <c r="A7262" t="s">
        <v>145</v>
      </c>
      <c r="B7262">
        <f>39979.4744289686*(1/100/100)</f>
        <v>3.99794744289686</v>
      </c>
      <c r="C7262">
        <v>77008</v>
      </c>
      <c r="D7262" t="s">
        <v>2800</v>
      </c>
      <c r="E7262">
        <v>20911</v>
      </c>
      <c r="F7262" t="s">
        <v>445</v>
      </c>
      <c r="G7262">
        <v>209</v>
      </c>
      <c r="H7262" t="s">
        <v>47</v>
      </c>
      <c r="I7262">
        <v>2</v>
      </c>
      <c r="J7262" t="s">
        <v>40</v>
      </c>
    </row>
    <row r="7263" spans="1:10" x14ac:dyDescent="0.25">
      <c r="A7263" t="s">
        <v>145</v>
      </c>
      <c r="B7263">
        <f>29023.0555555968*(1/100/100)</f>
        <v>2.9023055555596802</v>
      </c>
      <c r="C7263">
        <v>77009</v>
      </c>
      <c r="D7263" t="s">
        <v>2801</v>
      </c>
      <c r="E7263">
        <v>20911</v>
      </c>
      <c r="F7263" t="s">
        <v>445</v>
      </c>
      <c r="G7263">
        <v>209</v>
      </c>
      <c r="H7263" t="s">
        <v>47</v>
      </c>
      <c r="I7263">
        <v>2</v>
      </c>
      <c r="J7263" t="s">
        <v>40</v>
      </c>
    </row>
    <row r="7264" spans="1:10" x14ac:dyDescent="0.25">
      <c r="A7264" t="s">
        <v>145</v>
      </c>
      <c r="B7264">
        <f>101731.800931033*(1/100/100)</f>
        <v>10.1731800931033</v>
      </c>
      <c r="C7264">
        <v>77010</v>
      </c>
      <c r="D7264" t="s">
        <v>446</v>
      </c>
      <c r="E7264">
        <v>20912</v>
      </c>
      <c r="F7264" t="s">
        <v>446</v>
      </c>
      <c r="G7264">
        <v>209</v>
      </c>
      <c r="H7264" t="s">
        <v>47</v>
      </c>
      <c r="I7264">
        <v>2</v>
      </c>
      <c r="J7264" t="s">
        <v>40</v>
      </c>
    </row>
    <row r="7265" spans="1:10" x14ac:dyDescent="0.25">
      <c r="A7265" t="s">
        <v>145</v>
      </c>
      <c r="B7265">
        <f>226887.306186381*(1/100/100)</f>
        <v>22.6887306186381</v>
      </c>
      <c r="C7265">
        <v>77011</v>
      </c>
      <c r="D7265" t="s">
        <v>2776</v>
      </c>
      <c r="E7265">
        <v>20901</v>
      </c>
      <c r="F7265" t="s">
        <v>2773</v>
      </c>
      <c r="G7265">
        <v>209</v>
      </c>
      <c r="H7265" t="s">
        <v>47</v>
      </c>
      <c r="I7265">
        <v>2</v>
      </c>
      <c r="J7265" t="s">
        <v>40</v>
      </c>
    </row>
    <row r="7266" spans="1:10" x14ac:dyDescent="0.25">
      <c r="A7266" t="s">
        <v>145</v>
      </c>
      <c r="B7266">
        <f>59084.8703823531*(1/100/100)</f>
        <v>5.908487038235311</v>
      </c>
      <c r="C7266">
        <v>77012</v>
      </c>
      <c r="D7266" t="s">
        <v>2595</v>
      </c>
      <c r="E7266">
        <v>20912</v>
      </c>
      <c r="F7266" t="s">
        <v>446</v>
      </c>
      <c r="G7266">
        <v>209</v>
      </c>
      <c r="H7266" t="s">
        <v>47</v>
      </c>
      <c r="I7266">
        <v>2</v>
      </c>
      <c r="J7266" t="s">
        <v>40</v>
      </c>
    </row>
    <row r="7267" spans="1:10" x14ac:dyDescent="0.25">
      <c r="A7267" t="s">
        <v>145</v>
      </c>
      <c r="B7267">
        <f>23634.1746498344*(1/100/100)</f>
        <v>2.3634174649834403</v>
      </c>
      <c r="C7267">
        <v>77013</v>
      </c>
      <c r="D7267" t="s">
        <v>2777</v>
      </c>
      <c r="E7267">
        <v>20901</v>
      </c>
      <c r="F7267" t="s">
        <v>2773</v>
      </c>
      <c r="G7267">
        <v>209</v>
      </c>
      <c r="H7267" t="s">
        <v>47</v>
      </c>
      <c r="I7267">
        <v>2</v>
      </c>
      <c r="J7267" t="s">
        <v>40</v>
      </c>
    </row>
    <row r="7268" spans="1:10" x14ac:dyDescent="0.25">
      <c r="A7268" t="s">
        <v>145</v>
      </c>
      <c r="B7268">
        <f>44456.9470325889*(1/100/100)</f>
        <v>4.4456947032588898</v>
      </c>
      <c r="C7268">
        <v>77014</v>
      </c>
      <c r="D7268" t="s">
        <v>2778</v>
      </c>
      <c r="E7268">
        <v>20901</v>
      </c>
      <c r="F7268" t="s">
        <v>2773</v>
      </c>
      <c r="G7268">
        <v>209</v>
      </c>
      <c r="H7268" t="s">
        <v>47</v>
      </c>
      <c r="I7268">
        <v>2</v>
      </c>
      <c r="J7268" t="s">
        <v>40</v>
      </c>
    </row>
    <row r="7269" spans="1:10" x14ac:dyDescent="0.25">
      <c r="A7269" t="s">
        <v>145</v>
      </c>
      <c r="B7269">
        <f>33923.2020671325*(1/100/100)</f>
        <v>3.3923202067132503</v>
      </c>
      <c r="C7269">
        <v>77015</v>
      </c>
      <c r="D7269" t="s">
        <v>2804</v>
      </c>
      <c r="E7269">
        <v>20912</v>
      </c>
      <c r="F7269" t="s">
        <v>446</v>
      </c>
      <c r="G7269">
        <v>209</v>
      </c>
      <c r="H7269" t="s">
        <v>47</v>
      </c>
      <c r="I7269">
        <v>2</v>
      </c>
      <c r="J7269" t="s">
        <v>40</v>
      </c>
    </row>
    <row r="7270" spans="1:10" x14ac:dyDescent="0.25">
      <c r="A7270" t="s">
        <v>145</v>
      </c>
      <c r="B7270">
        <f>107404.742447838*(1/100/100)</f>
        <v>10.740474244783801</v>
      </c>
      <c r="C7270">
        <v>77016</v>
      </c>
      <c r="D7270" t="s">
        <v>2779</v>
      </c>
      <c r="E7270">
        <v>20901</v>
      </c>
      <c r="F7270" t="s">
        <v>2773</v>
      </c>
      <c r="G7270">
        <v>209</v>
      </c>
      <c r="H7270" t="s">
        <v>47</v>
      </c>
      <c r="I7270">
        <v>2</v>
      </c>
      <c r="J7270" t="s">
        <v>40</v>
      </c>
    </row>
    <row r="7271" spans="1:10" x14ac:dyDescent="0.25">
      <c r="A7271" t="s">
        <v>145</v>
      </c>
      <c r="B7271">
        <f>123563.893773075*(1/100/100)</f>
        <v>12.356389377307501</v>
      </c>
      <c r="C7271">
        <v>77017</v>
      </c>
      <c r="D7271" t="s">
        <v>2780</v>
      </c>
      <c r="E7271">
        <v>20901</v>
      </c>
      <c r="F7271" t="s">
        <v>2773</v>
      </c>
      <c r="G7271">
        <v>209</v>
      </c>
      <c r="H7271" t="s">
        <v>47</v>
      </c>
      <c r="I7271">
        <v>2</v>
      </c>
      <c r="J7271" t="s">
        <v>40</v>
      </c>
    </row>
    <row r="7272" spans="1:10" x14ac:dyDescent="0.25">
      <c r="A7272" t="s">
        <v>145</v>
      </c>
      <c r="B7272">
        <f>5724.67724606796*(1/100/100)</f>
        <v>0.57246772460679607</v>
      </c>
      <c r="C7272">
        <v>77018</v>
      </c>
      <c r="D7272" t="s">
        <v>2802</v>
      </c>
      <c r="E7272">
        <v>20911</v>
      </c>
      <c r="F7272" t="s">
        <v>445</v>
      </c>
      <c r="G7272">
        <v>209</v>
      </c>
      <c r="H7272" t="s">
        <v>47</v>
      </c>
      <c r="I7272">
        <v>2</v>
      </c>
      <c r="J7272" t="s">
        <v>40</v>
      </c>
    </row>
    <row r="7273" spans="1:10" x14ac:dyDescent="0.25">
      <c r="A7273" t="s">
        <v>145</v>
      </c>
      <c r="B7273">
        <f>71267.9151633296*(1/100/100)</f>
        <v>7.1267915163329603</v>
      </c>
      <c r="C7273">
        <v>77019</v>
      </c>
      <c r="D7273" t="s">
        <v>2803</v>
      </c>
      <c r="E7273">
        <v>20911</v>
      </c>
      <c r="F7273" t="s">
        <v>445</v>
      </c>
      <c r="G7273">
        <v>209</v>
      </c>
      <c r="H7273" t="s">
        <v>47</v>
      </c>
      <c r="I7273">
        <v>2</v>
      </c>
      <c r="J7273" t="s">
        <v>40</v>
      </c>
    </row>
    <row r="7274" spans="1:10" x14ac:dyDescent="0.25">
      <c r="A7274" t="s">
        <v>145</v>
      </c>
      <c r="B7274">
        <f>54022.2493307867*(1/100/100)</f>
        <v>5.4022249330786698</v>
      </c>
      <c r="C7274">
        <v>77022</v>
      </c>
      <c r="D7274" t="s">
        <v>2805</v>
      </c>
      <c r="E7274">
        <v>20912</v>
      </c>
      <c r="F7274" t="s">
        <v>446</v>
      </c>
      <c r="G7274">
        <v>209</v>
      </c>
      <c r="H7274" t="s">
        <v>47</v>
      </c>
      <c r="I7274">
        <v>2</v>
      </c>
      <c r="J7274" t="s">
        <v>40</v>
      </c>
    </row>
    <row r="7275" spans="1:10" x14ac:dyDescent="0.25">
      <c r="A7275" t="s">
        <v>145</v>
      </c>
      <c r="B7275">
        <f>52137.1287941967*(1/100/100)</f>
        <v>5.2137128794196705</v>
      </c>
      <c r="C7275">
        <v>77101</v>
      </c>
      <c r="D7275" t="s">
        <v>2826</v>
      </c>
      <c r="E7275">
        <v>20914</v>
      </c>
      <c r="F7275" t="s">
        <v>2827</v>
      </c>
      <c r="G7275">
        <v>209</v>
      </c>
      <c r="H7275" t="s">
        <v>47</v>
      </c>
      <c r="I7275">
        <v>2</v>
      </c>
      <c r="J7275" t="s">
        <v>40</v>
      </c>
    </row>
    <row r="7276" spans="1:10" x14ac:dyDescent="0.25">
      <c r="A7276" t="s">
        <v>145</v>
      </c>
      <c r="B7276">
        <f>72102.0163141635*(1/100/100)</f>
        <v>7.21020163141635</v>
      </c>
      <c r="C7276">
        <v>77104</v>
      </c>
      <c r="D7276" t="s">
        <v>2792</v>
      </c>
      <c r="E7276">
        <v>20909</v>
      </c>
      <c r="F7276" t="s">
        <v>444</v>
      </c>
      <c r="G7276">
        <v>209</v>
      </c>
      <c r="H7276" t="s">
        <v>47</v>
      </c>
      <c r="I7276">
        <v>2</v>
      </c>
      <c r="J7276" t="s">
        <v>40</v>
      </c>
    </row>
    <row r="7277" spans="1:10" x14ac:dyDescent="0.25">
      <c r="A7277" t="s">
        <v>145</v>
      </c>
      <c r="B7277">
        <f>61464.9436515882*(1/100/100)</f>
        <v>6.1464943651588202</v>
      </c>
      <c r="C7277">
        <v>77106</v>
      </c>
      <c r="D7277" t="s">
        <v>2833</v>
      </c>
      <c r="E7277">
        <v>20918</v>
      </c>
      <c r="F7277" t="s">
        <v>2834</v>
      </c>
      <c r="G7277">
        <v>209</v>
      </c>
      <c r="H7277" t="s">
        <v>47</v>
      </c>
      <c r="I7277">
        <v>2</v>
      </c>
      <c r="J7277" t="s">
        <v>40</v>
      </c>
    </row>
    <row r="7278" spans="1:10" x14ac:dyDescent="0.25">
      <c r="A7278" t="s">
        <v>145</v>
      </c>
      <c r="B7278">
        <f>95918.9687906124*(1/100/100)</f>
        <v>9.59189687906124</v>
      </c>
      <c r="C7278">
        <v>77107</v>
      </c>
      <c r="D7278" t="s">
        <v>2835</v>
      </c>
      <c r="E7278">
        <v>20918</v>
      </c>
      <c r="F7278" t="s">
        <v>2834</v>
      </c>
      <c r="G7278">
        <v>209</v>
      </c>
      <c r="H7278" t="s">
        <v>47</v>
      </c>
      <c r="I7278">
        <v>2</v>
      </c>
      <c r="J7278" t="s">
        <v>40</v>
      </c>
    </row>
    <row r="7279" spans="1:10" x14ac:dyDescent="0.25">
      <c r="A7279" t="s">
        <v>145</v>
      </c>
      <c r="B7279">
        <f>6296.39117646169*(1/100/100)</f>
        <v>0.62963911764616898</v>
      </c>
      <c r="C7279">
        <v>77108</v>
      </c>
      <c r="D7279" t="s">
        <v>2793</v>
      </c>
      <c r="E7279">
        <v>20909</v>
      </c>
      <c r="F7279" t="s">
        <v>444</v>
      </c>
      <c r="G7279">
        <v>209</v>
      </c>
      <c r="H7279" t="s">
        <v>47</v>
      </c>
      <c r="I7279">
        <v>2</v>
      </c>
      <c r="J7279" t="s">
        <v>40</v>
      </c>
    </row>
    <row r="7280" spans="1:10" x14ac:dyDescent="0.25">
      <c r="A7280" t="s">
        <v>145</v>
      </c>
      <c r="B7280">
        <f>21744.5286006145*(1/100/100)</f>
        <v>2.1744528600614501</v>
      </c>
      <c r="C7280">
        <v>77109</v>
      </c>
      <c r="D7280" t="s">
        <v>2828</v>
      </c>
      <c r="E7280">
        <v>20914</v>
      </c>
      <c r="F7280" t="s">
        <v>2827</v>
      </c>
      <c r="G7280">
        <v>209</v>
      </c>
      <c r="H7280" t="s">
        <v>47</v>
      </c>
      <c r="I7280">
        <v>2</v>
      </c>
      <c r="J7280" t="s">
        <v>40</v>
      </c>
    </row>
    <row r="7281" spans="1:10" x14ac:dyDescent="0.25">
      <c r="A7281" t="s">
        <v>145</v>
      </c>
      <c r="B7281">
        <f>61919.9465460007*(1/100/100)</f>
        <v>6.1919946546000704</v>
      </c>
      <c r="C7281">
        <v>77110</v>
      </c>
      <c r="D7281" t="s">
        <v>2630</v>
      </c>
      <c r="E7281">
        <v>20909</v>
      </c>
      <c r="F7281" t="s">
        <v>444</v>
      </c>
      <c r="G7281">
        <v>209</v>
      </c>
      <c r="H7281" t="s">
        <v>47</v>
      </c>
      <c r="I7281">
        <v>2</v>
      </c>
      <c r="J7281" t="s">
        <v>40</v>
      </c>
    </row>
    <row r="7282" spans="1:10" x14ac:dyDescent="0.25">
      <c r="A7282" t="s">
        <v>145</v>
      </c>
      <c r="B7282">
        <f>41278.9634293192*(1/100/100)</f>
        <v>4.12789634293192</v>
      </c>
      <c r="C7282">
        <v>77111</v>
      </c>
      <c r="D7282" t="s">
        <v>2829</v>
      </c>
      <c r="E7282">
        <v>20914</v>
      </c>
      <c r="F7282" t="s">
        <v>2827</v>
      </c>
      <c r="G7282">
        <v>209</v>
      </c>
      <c r="H7282" t="s">
        <v>47</v>
      </c>
      <c r="I7282">
        <v>2</v>
      </c>
      <c r="J7282" t="s">
        <v>40</v>
      </c>
    </row>
    <row r="7283" spans="1:10" x14ac:dyDescent="0.25">
      <c r="A7283" t="s">
        <v>145</v>
      </c>
      <c r="B7283">
        <f>79879.0844140473*(1/100/100)</f>
        <v>7.9879084414047306</v>
      </c>
      <c r="C7283">
        <v>77112</v>
      </c>
      <c r="D7283" t="s">
        <v>2836</v>
      </c>
      <c r="E7283">
        <v>20918</v>
      </c>
      <c r="F7283" t="s">
        <v>2834</v>
      </c>
      <c r="G7283">
        <v>209</v>
      </c>
      <c r="H7283" t="s">
        <v>47</v>
      </c>
      <c r="I7283">
        <v>2</v>
      </c>
      <c r="J7283" t="s">
        <v>40</v>
      </c>
    </row>
    <row r="7284" spans="1:10" x14ac:dyDescent="0.25">
      <c r="A7284" t="s">
        <v>145</v>
      </c>
      <c r="B7284">
        <f>15131.9904683319*(1/100/100)</f>
        <v>1.5131990468331902</v>
      </c>
      <c r="C7284">
        <v>77113</v>
      </c>
      <c r="D7284" t="s">
        <v>2830</v>
      </c>
      <c r="E7284">
        <v>20914</v>
      </c>
      <c r="F7284" t="s">
        <v>2827</v>
      </c>
      <c r="G7284">
        <v>209</v>
      </c>
      <c r="H7284" t="s">
        <v>47</v>
      </c>
      <c r="I7284">
        <v>2</v>
      </c>
      <c r="J7284" t="s">
        <v>40</v>
      </c>
    </row>
    <row r="7285" spans="1:10" x14ac:dyDescent="0.25">
      <c r="A7285" t="s">
        <v>145</v>
      </c>
      <c r="B7285">
        <f>34954.1797757106*(1/100/100)</f>
        <v>3.4954179775710603</v>
      </c>
      <c r="C7285">
        <v>77115</v>
      </c>
      <c r="D7285" t="s">
        <v>2794</v>
      </c>
      <c r="E7285">
        <v>20909</v>
      </c>
      <c r="F7285" t="s">
        <v>444</v>
      </c>
      <c r="G7285">
        <v>209</v>
      </c>
      <c r="H7285" t="s">
        <v>47</v>
      </c>
      <c r="I7285">
        <v>2</v>
      </c>
      <c r="J7285" t="s">
        <v>40</v>
      </c>
    </row>
    <row r="7286" spans="1:10" x14ac:dyDescent="0.25">
      <c r="A7286" t="s">
        <v>145</v>
      </c>
      <c r="B7286">
        <f>65633.0104032069*(1/100/100)</f>
        <v>6.5633010403206908</v>
      </c>
      <c r="C7286">
        <v>77117</v>
      </c>
      <c r="D7286" t="s">
        <v>444</v>
      </c>
      <c r="E7286">
        <v>20909</v>
      </c>
      <c r="F7286" t="s">
        <v>444</v>
      </c>
      <c r="G7286">
        <v>209</v>
      </c>
      <c r="H7286" t="s">
        <v>47</v>
      </c>
      <c r="I7286">
        <v>2</v>
      </c>
      <c r="J7286" t="s">
        <v>40</v>
      </c>
    </row>
    <row r="7287" spans="1:10" x14ac:dyDescent="0.25">
      <c r="A7287" t="s">
        <v>145</v>
      </c>
      <c r="B7287">
        <f>13440.7394082566*(1/100/100)</f>
        <v>1.3440739408256601</v>
      </c>
      <c r="C7287">
        <v>77118</v>
      </c>
      <c r="D7287" t="s">
        <v>2837</v>
      </c>
      <c r="E7287">
        <v>20918</v>
      </c>
      <c r="F7287" t="s">
        <v>2834</v>
      </c>
      <c r="G7287">
        <v>209</v>
      </c>
      <c r="H7287" t="s">
        <v>47</v>
      </c>
      <c r="I7287">
        <v>2</v>
      </c>
      <c r="J7287" t="s">
        <v>40</v>
      </c>
    </row>
    <row r="7288" spans="1:10" x14ac:dyDescent="0.25">
      <c r="A7288" t="s">
        <v>145</v>
      </c>
      <c r="B7288">
        <f>18839.2634468582*(1/100/100)</f>
        <v>1.8839263446858201</v>
      </c>
      <c r="C7288">
        <v>77120</v>
      </c>
      <c r="D7288" t="s">
        <v>2838</v>
      </c>
      <c r="E7288">
        <v>20918</v>
      </c>
      <c r="F7288" t="s">
        <v>2834</v>
      </c>
      <c r="G7288">
        <v>209</v>
      </c>
      <c r="H7288" t="s">
        <v>47</v>
      </c>
      <c r="I7288">
        <v>2</v>
      </c>
      <c r="J7288" t="s">
        <v>40</v>
      </c>
    </row>
    <row r="7289" spans="1:10" x14ac:dyDescent="0.25">
      <c r="A7289" t="s">
        <v>145</v>
      </c>
      <c r="B7289">
        <f>16542.4473005171*(1/100/100)</f>
        <v>1.65424473005171</v>
      </c>
      <c r="C7289">
        <v>77121</v>
      </c>
      <c r="D7289" t="s">
        <v>2515</v>
      </c>
      <c r="E7289">
        <v>20909</v>
      </c>
      <c r="F7289" t="s">
        <v>444</v>
      </c>
      <c r="G7289">
        <v>209</v>
      </c>
      <c r="H7289" t="s">
        <v>47</v>
      </c>
      <c r="I7289">
        <v>2</v>
      </c>
      <c r="J7289" t="s">
        <v>40</v>
      </c>
    </row>
    <row r="7290" spans="1:10" x14ac:dyDescent="0.25">
      <c r="A7290" t="s">
        <v>145</v>
      </c>
      <c r="B7290">
        <f>62155.0259443722*(1/100/100)</f>
        <v>6.2155025944372202</v>
      </c>
      <c r="C7290">
        <v>77122</v>
      </c>
      <c r="D7290" t="s">
        <v>365</v>
      </c>
      <c r="E7290">
        <v>20909</v>
      </c>
      <c r="F7290" t="s">
        <v>444</v>
      </c>
      <c r="G7290">
        <v>209</v>
      </c>
      <c r="H7290" t="s">
        <v>47</v>
      </c>
      <c r="I7290">
        <v>2</v>
      </c>
      <c r="J7290" t="s">
        <v>40</v>
      </c>
    </row>
    <row r="7291" spans="1:10" x14ac:dyDescent="0.25">
      <c r="A7291" t="s">
        <v>145</v>
      </c>
      <c r="B7291">
        <f>8941.99972945607*(1/100/100)</f>
        <v>0.89419997294560716</v>
      </c>
      <c r="C7291">
        <v>77124</v>
      </c>
      <c r="D7291" t="s">
        <v>2839</v>
      </c>
      <c r="E7291">
        <v>20918</v>
      </c>
      <c r="F7291" t="s">
        <v>2834</v>
      </c>
      <c r="G7291">
        <v>209</v>
      </c>
      <c r="H7291" t="s">
        <v>47</v>
      </c>
      <c r="I7291">
        <v>2</v>
      </c>
      <c r="J7291" t="s">
        <v>40</v>
      </c>
    </row>
    <row r="7292" spans="1:10" x14ac:dyDescent="0.25">
      <c r="A7292" t="s">
        <v>145</v>
      </c>
      <c r="B7292">
        <f>11404.1831975148*(1/100/100)</f>
        <v>1.1404183197514801</v>
      </c>
      <c r="C7292">
        <v>77125</v>
      </c>
      <c r="D7292" t="s">
        <v>2795</v>
      </c>
      <c r="E7292">
        <v>20909</v>
      </c>
      <c r="F7292" t="s">
        <v>444</v>
      </c>
      <c r="G7292">
        <v>209</v>
      </c>
      <c r="H7292" t="s">
        <v>47</v>
      </c>
      <c r="I7292">
        <v>2</v>
      </c>
      <c r="J7292" t="s">
        <v>40</v>
      </c>
    </row>
    <row r="7293" spans="1:10" x14ac:dyDescent="0.25">
      <c r="A7293" t="s">
        <v>145</v>
      </c>
      <c r="B7293">
        <f>32973.4436826974*(1/100/100)</f>
        <v>3.2973443682697399</v>
      </c>
      <c r="C7293">
        <v>77126</v>
      </c>
      <c r="D7293" t="s">
        <v>2831</v>
      </c>
      <c r="E7293">
        <v>20914</v>
      </c>
      <c r="F7293" t="s">
        <v>2827</v>
      </c>
      <c r="G7293">
        <v>209</v>
      </c>
      <c r="H7293" t="s">
        <v>47</v>
      </c>
      <c r="I7293">
        <v>2</v>
      </c>
      <c r="J7293" t="s">
        <v>40</v>
      </c>
    </row>
    <row r="7294" spans="1:10" x14ac:dyDescent="0.25">
      <c r="A7294" t="s">
        <v>145</v>
      </c>
      <c r="B7294">
        <f>61019.8481346697*(1/100/100)</f>
        <v>6.1019848134669701</v>
      </c>
      <c r="C7294">
        <v>77127</v>
      </c>
      <c r="D7294" t="s">
        <v>2832</v>
      </c>
      <c r="E7294">
        <v>20914</v>
      </c>
      <c r="F7294" t="s">
        <v>2827</v>
      </c>
      <c r="G7294">
        <v>209</v>
      </c>
      <c r="H7294" t="s">
        <v>47</v>
      </c>
      <c r="I7294">
        <v>2</v>
      </c>
      <c r="J7294" t="s">
        <v>40</v>
      </c>
    </row>
    <row r="7295" spans="1:10" x14ac:dyDescent="0.25">
      <c r="A7295" t="s">
        <v>145</v>
      </c>
      <c r="B7295">
        <f>178952.807967844*(1/100/100)</f>
        <v>17.895280796784402</v>
      </c>
      <c r="C7295">
        <v>77129</v>
      </c>
      <c r="D7295" t="s">
        <v>2357</v>
      </c>
      <c r="E7295">
        <v>20918</v>
      </c>
      <c r="F7295" t="s">
        <v>2834</v>
      </c>
      <c r="G7295">
        <v>209</v>
      </c>
      <c r="H7295" t="s">
        <v>47</v>
      </c>
      <c r="I7295">
        <v>2</v>
      </c>
      <c r="J7295" t="s">
        <v>40</v>
      </c>
    </row>
    <row r="7296" spans="1:10" x14ac:dyDescent="0.25">
      <c r="A7296" t="s">
        <v>145</v>
      </c>
      <c r="B7296">
        <f>53055.5818129539*(1/100/100)</f>
        <v>5.3055581812953898</v>
      </c>
      <c r="C7296">
        <v>77130</v>
      </c>
      <c r="D7296" t="s">
        <v>2230</v>
      </c>
      <c r="E7296">
        <v>20914</v>
      </c>
      <c r="F7296" t="s">
        <v>2827</v>
      </c>
      <c r="G7296">
        <v>209</v>
      </c>
      <c r="H7296" t="s">
        <v>47</v>
      </c>
      <c r="I7296">
        <v>2</v>
      </c>
      <c r="J7296" t="s">
        <v>40</v>
      </c>
    </row>
    <row r="7297" spans="1:10" x14ac:dyDescent="0.25">
      <c r="A7297" t="s">
        <v>145</v>
      </c>
      <c r="B7297">
        <f>12265.6752665545*(1/100/100)</f>
        <v>1.2265675266554499</v>
      </c>
      <c r="C7297">
        <v>77131</v>
      </c>
      <c r="D7297" t="s">
        <v>2771</v>
      </c>
      <c r="E7297">
        <v>20918</v>
      </c>
      <c r="F7297" t="s">
        <v>2834</v>
      </c>
      <c r="G7297">
        <v>209</v>
      </c>
      <c r="H7297" t="s">
        <v>47</v>
      </c>
      <c r="I7297">
        <v>2</v>
      </c>
      <c r="J7297" t="s">
        <v>40</v>
      </c>
    </row>
    <row r="7298" spans="1:10" x14ac:dyDescent="0.25">
      <c r="A7298" t="s">
        <v>145</v>
      </c>
      <c r="B7298">
        <f>41826.6970649821*(1/100/100)</f>
        <v>4.1826697064982099</v>
      </c>
      <c r="C7298">
        <v>77132</v>
      </c>
      <c r="D7298" t="s">
        <v>2796</v>
      </c>
      <c r="E7298">
        <v>20909</v>
      </c>
      <c r="F7298" t="s">
        <v>444</v>
      </c>
      <c r="G7298">
        <v>209</v>
      </c>
      <c r="H7298" t="s">
        <v>47</v>
      </c>
      <c r="I7298">
        <v>2</v>
      </c>
      <c r="J7298" t="s">
        <v>40</v>
      </c>
    </row>
    <row r="7299" spans="1:10" x14ac:dyDescent="0.25">
      <c r="A7299" t="s">
        <v>145</v>
      </c>
      <c r="B7299">
        <f>43327.4464456006*(1/100/100)</f>
        <v>4.3327446445600604</v>
      </c>
      <c r="C7299">
        <v>77134</v>
      </c>
      <c r="D7299" t="s">
        <v>2797</v>
      </c>
      <c r="E7299">
        <v>20909</v>
      </c>
      <c r="F7299" t="s">
        <v>444</v>
      </c>
      <c r="G7299">
        <v>209</v>
      </c>
      <c r="H7299" t="s">
        <v>47</v>
      </c>
      <c r="I7299">
        <v>2</v>
      </c>
      <c r="J7299" t="s">
        <v>40</v>
      </c>
    </row>
    <row r="7300" spans="1:10" x14ac:dyDescent="0.25">
      <c r="A7300" t="s">
        <v>145</v>
      </c>
      <c r="B7300">
        <f>37944.9861722979*(1/100/100)</f>
        <v>3.7944986172297899</v>
      </c>
      <c r="C7300">
        <v>77201</v>
      </c>
      <c r="D7300" t="s">
        <v>2840</v>
      </c>
      <c r="E7300">
        <v>20923</v>
      </c>
      <c r="F7300" t="s">
        <v>47</v>
      </c>
      <c r="G7300">
        <v>209</v>
      </c>
      <c r="H7300" t="s">
        <v>47</v>
      </c>
      <c r="I7300">
        <v>2</v>
      </c>
      <c r="J7300" t="s">
        <v>40</v>
      </c>
    </row>
    <row r="7301" spans="1:10" x14ac:dyDescent="0.25">
      <c r="A7301" t="s">
        <v>145</v>
      </c>
      <c r="B7301">
        <f>71777.6386420683*(1/100/100)</f>
        <v>7.1777638642068302</v>
      </c>
      <c r="C7301">
        <v>77202</v>
      </c>
      <c r="D7301" t="s">
        <v>2841</v>
      </c>
      <c r="E7301">
        <v>20923</v>
      </c>
      <c r="F7301" t="s">
        <v>47</v>
      </c>
      <c r="G7301">
        <v>209</v>
      </c>
      <c r="H7301" t="s">
        <v>47</v>
      </c>
      <c r="I7301">
        <v>2</v>
      </c>
      <c r="J7301" t="s">
        <v>40</v>
      </c>
    </row>
    <row r="7302" spans="1:10" x14ac:dyDescent="0.25">
      <c r="A7302" t="s">
        <v>145</v>
      </c>
      <c r="B7302">
        <f>141002.615755175*(1/100/100)</f>
        <v>14.100261575517502</v>
      </c>
      <c r="C7302">
        <v>77203</v>
      </c>
      <c r="D7302" t="s">
        <v>2806</v>
      </c>
      <c r="E7302">
        <v>20913</v>
      </c>
      <c r="F7302" t="s">
        <v>2193</v>
      </c>
      <c r="G7302">
        <v>209</v>
      </c>
      <c r="H7302" t="s">
        <v>47</v>
      </c>
      <c r="I7302">
        <v>2</v>
      </c>
      <c r="J7302" t="s">
        <v>40</v>
      </c>
    </row>
    <row r="7303" spans="1:10" x14ac:dyDescent="0.25">
      <c r="A7303" t="s">
        <v>145</v>
      </c>
      <c r="B7303">
        <f>18303.3009016589*(1/100/100)</f>
        <v>1.8303300901658899</v>
      </c>
      <c r="C7303">
        <v>77204</v>
      </c>
      <c r="D7303" t="s">
        <v>2807</v>
      </c>
      <c r="E7303">
        <v>20913</v>
      </c>
      <c r="F7303" t="s">
        <v>2193</v>
      </c>
      <c r="G7303">
        <v>209</v>
      </c>
      <c r="H7303" t="s">
        <v>47</v>
      </c>
      <c r="I7303">
        <v>2</v>
      </c>
      <c r="J7303" t="s">
        <v>40</v>
      </c>
    </row>
    <row r="7304" spans="1:10" x14ac:dyDescent="0.25">
      <c r="A7304" t="s">
        <v>145</v>
      </c>
      <c r="B7304">
        <f>73983.0767112409*(1/100/100)</f>
        <v>7.3983076711240896</v>
      </c>
      <c r="C7304">
        <v>77205</v>
      </c>
      <c r="D7304" t="s">
        <v>2842</v>
      </c>
      <c r="E7304">
        <v>20923</v>
      </c>
      <c r="F7304" t="s">
        <v>47</v>
      </c>
      <c r="G7304">
        <v>209</v>
      </c>
      <c r="H7304" t="s">
        <v>47</v>
      </c>
      <c r="I7304">
        <v>2</v>
      </c>
      <c r="J7304" t="s">
        <v>40</v>
      </c>
    </row>
    <row r="7305" spans="1:10" x14ac:dyDescent="0.25">
      <c r="A7305" t="s">
        <v>145</v>
      </c>
      <c r="B7305">
        <f>98751.900895042*(1/100/100)</f>
        <v>9.8751900895041995</v>
      </c>
      <c r="C7305">
        <v>77206</v>
      </c>
      <c r="D7305" t="s">
        <v>2808</v>
      </c>
      <c r="E7305">
        <v>20913</v>
      </c>
      <c r="F7305" t="s">
        <v>2193</v>
      </c>
      <c r="G7305">
        <v>209</v>
      </c>
      <c r="H7305" t="s">
        <v>47</v>
      </c>
      <c r="I7305">
        <v>2</v>
      </c>
      <c r="J7305" t="s">
        <v>40</v>
      </c>
    </row>
    <row r="7306" spans="1:10" x14ac:dyDescent="0.25">
      <c r="A7306" t="s">
        <v>145</v>
      </c>
      <c r="B7306">
        <f>26522.2320625126*(1/100/100)</f>
        <v>2.6522232062512603</v>
      </c>
      <c r="C7306">
        <v>77207</v>
      </c>
      <c r="D7306" t="s">
        <v>2809</v>
      </c>
      <c r="E7306">
        <v>20913</v>
      </c>
      <c r="F7306" t="s">
        <v>2193</v>
      </c>
      <c r="G7306">
        <v>209</v>
      </c>
      <c r="H7306" t="s">
        <v>47</v>
      </c>
      <c r="I7306">
        <v>2</v>
      </c>
      <c r="J7306" t="s">
        <v>40</v>
      </c>
    </row>
    <row r="7307" spans="1:10" x14ac:dyDescent="0.25">
      <c r="A7307" t="s">
        <v>145</v>
      </c>
      <c r="B7307">
        <f>91370.0080742404*(1/100/100)</f>
        <v>9.1370008074240392</v>
      </c>
      <c r="C7307">
        <v>77208</v>
      </c>
      <c r="D7307" t="s">
        <v>2843</v>
      </c>
      <c r="E7307">
        <v>20923</v>
      </c>
      <c r="F7307" t="s">
        <v>47</v>
      </c>
      <c r="G7307">
        <v>209</v>
      </c>
      <c r="H7307" t="s">
        <v>47</v>
      </c>
      <c r="I7307">
        <v>2</v>
      </c>
      <c r="J7307" t="s">
        <v>40</v>
      </c>
    </row>
    <row r="7308" spans="1:10" x14ac:dyDescent="0.25">
      <c r="A7308" t="s">
        <v>145</v>
      </c>
      <c r="B7308">
        <f>38725.8967501045*(1/100/100)</f>
        <v>3.8725896750104498</v>
      </c>
      <c r="C7308">
        <v>77209</v>
      </c>
      <c r="D7308" t="s">
        <v>2844</v>
      </c>
      <c r="E7308">
        <v>20923</v>
      </c>
      <c r="F7308" t="s">
        <v>47</v>
      </c>
      <c r="G7308">
        <v>209</v>
      </c>
      <c r="H7308" t="s">
        <v>47</v>
      </c>
      <c r="I7308">
        <v>2</v>
      </c>
      <c r="J7308" t="s">
        <v>40</v>
      </c>
    </row>
    <row r="7309" spans="1:10" x14ac:dyDescent="0.25">
      <c r="A7309" t="s">
        <v>145</v>
      </c>
      <c r="B7309">
        <f>67215.7942723659*(1/100/100)</f>
        <v>6.7215794272365912</v>
      </c>
      <c r="C7309">
        <v>77210</v>
      </c>
      <c r="D7309" t="s">
        <v>2845</v>
      </c>
      <c r="E7309">
        <v>20923</v>
      </c>
      <c r="F7309" t="s">
        <v>47</v>
      </c>
      <c r="G7309">
        <v>209</v>
      </c>
      <c r="H7309" t="s">
        <v>47</v>
      </c>
      <c r="I7309">
        <v>2</v>
      </c>
      <c r="J7309" t="s">
        <v>40</v>
      </c>
    </row>
    <row r="7310" spans="1:10" x14ac:dyDescent="0.25">
      <c r="A7310" t="s">
        <v>145</v>
      </c>
      <c r="B7310">
        <f>83136.9316893427*(1/100/100)</f>
        <v>8.3136931689342699</v>
      </c>
      <c r="C7310">
        <v>77211</v>
      </c>
      <c r="D7310" t="s">
        <v>2781</v>
      </c>
      <c r="E7310">
        <v>20905</v>
      </c>
      <c r="F7310" t="s">
        <v>2782</v>
      </c>
      <c r="G7310">
        <v>209</v>
      </c>
      <c r="H7310" t="s">
        <v>47</v>
      </c>
      <c r="I7310">
        <v>2</v>
      </c>
      <c r="J7310" t="s">
        <v>40</v>
      </c>
    </row>
    <row r="7311" spans="1:10" x14ac:dyDescent="0.25">
      <c r="A7311" t="s">
        <v>145</v>
      </c>
      <c r="B7311">
        <f>11121.130845317*(1/100/100)</f>
        <v>1.1121130845317</v>
      </c>
      <c r="C7311">
        <v>77212</v>
      </c>
      <c r="D7311" t="s">
        <v>2783</v>
      </c>
      <c r="E7311">
        <v>20905</v>
      </c>
      <c r="F7311" t="s">
        <v>2782</v>
      </c>
      <c r="G7311">
        <v>209</v>
      </c>
      <c r="H7311" t="s">
        <v>47</v>
      </c>
      <c r="I7311">
        <v>2</v>
      </c>
      <c r="J7311" t="s">
        <v>40</v>
      </c>
    </row>
    <row r="7312" spans="1:10" x14ac:dyDescent="0.25">
      <c r="A7312" t="s">
        <v>145</v>
      </c>
      <c r="B7312">
        <f>89318.9231484709*(1/100/100)</f>
        <v>8.9318923148470901</v>
      </c>
      <c r="C7312">
        <v>77213</v>
      </c>
      <c r="D7312" t="s">
        <v>2810</v>
      </c>
      <c r="E7312">
        <v>20913</v>
      </c>
      <c r="F7312" t="s">
        <v>2193</v>
      </c>
      <c r="G7312">
        <v>209</v>
      </c>
      <c r="H7312" t="s">
        <v>47</v>
      </c>
      <c r="I7312">
        <v>2</v>
      </c>
      <c r="J7312" t="s">
        <v>40</v>
      </c>
    </row>
    <row r="7313" spans="1:10" x14ac:dyDescent="0.25">
      <c r="A7313" t="s">
        <v>145</v>
      </c>
      <c r="B7313">
        <f>40307.1148108431*(1/100/100)</f>
        <v>4.0307114810843103</v>
      </c>
      <c r="C7313">
        <v>77214</v>
      </c>
      <c r="D7313" t="s">
        <v>2784</v>
      </c>
      <c r="E7313">
        <v>20905</v>
      </c>
      <c r="F7313" t="s">
        <v>2782</v>
      </c>
      <c r="G7313">
        <v>209</v>
      </c>
      <c r="H7313" t="s">
        <v>47</v>
      </c>
      <c r="I7313">
        <v>2</v>
      </c>
      <c r="J7313" t="s">
        <v>40</v>
      </c>
    </row>
    <row r="7314" spans="1:10" x14ac:dyDescent="0.25">
      <c r="A7314" t="s">
        <v>145</v>
      </c>
      <c r="B7314">
        <f>17273.9863865275*(1/100/100)</f>
        <v>1.72739863865275</v>
      </c>
      <c r="C7314">
        <v>77215</v>
      </c>
      <c r="D7314" t="s">
        <v>2785</v>
      </c>
      <c r="E7314">
        <v>20905</v>
      </c>
      <c r="F7314" t="s">
        <v>2782</v>
      </c>
      <c r="G7314">
        <v>209</v>
      </c>
      <c r="H7314" t="s">
        <v>47</v>
      </c>
      <c r="I7314">
        <v>2</v>
      </c>
      <c r="J7314" t="s">
        <v>40</v>
      </c>
    </row>
    <row r="7315" spans="1:10" x14ac:dyDescent="0.25">
      <c r="A7315" t="s">
        <v>145</v>
      </c>
      <c r="B7315">
        <f>201193.11106391*(1/100/100)</f>
        <v>20.119311106391002</v>
      </c>
      <c r="C7315">
        <v>77216</v>
      </c>
      <c r="D7315" t="s">
        <v>2846</v>
      </c>
      <c r="E7315">
        <v>20923</v>
      </c>
      <c r="F7315" t="s">
        <v>47</v>
      </c>
      <c r="G7315">
        <v>209</v>
      </c>
      <c r="H7315" t="s">
        <v>47</v>
      </c>
      <c r="I7315">
        <v>2</v>
      </c>
      <c r="J7315" t="s">
        <v>40</v>
      </c>
    </row>
    <row r="7316" spans="1:10" x14ac:dyDescent="0.25">
      <c r="A7316" t="s">
        <v>145</v>
      </c>
      <c r="B7316">
        <f>101977.09058955*(1/100/100)</f>
        <v>10.197709058955001</v>
      </c>
      <c r="C7316">
        <v>77217</v>
      </c>
      <c r="D7316" t="s">
        <v>2811</v>
      </c>
      <c r="E7316">
        <v>20913</v>
      </c>
      <c r="F7316" t="s">
        <v>2193</v>
      </c>
      <c r="G7316">
        <v>209</v>
      </c>
      <c r="H7316" t="s">
        <v>47</v>
      </c>
      <c r="I7316">
        <v>2</v>
      </c>
      <c r="J7316" t="s">
        <v>40</v>
      </c>
    </row>
    <row r="7317" spans="1:10" x14ac:dyDescent="0.25">
      <c r="A7317" t="s">
        <v>145</v>
      </c>
      <c r="B7317">
        <f>9411.0638402292*(1/100/100)</f>
        <v>0.94110638402292013</v>
      </c>
      <c r="C7317">
        <v>77218</v>
      </c>
      <c r="D7317" t="s">
        <v>2847</v>
      </c>
      <c r="E7317">
        <v>20923</v>
      </c>
      <c r="F7317" t="s">
        <v>47</v>
      </c>
      <c r="G7317">
        <v>209</v>
      </c>
      <c r="H7317" t="s">
        <v>47</v>
      </c>
      <c r="I7317">
        <v>2</v>
      </c>
      <c r="J7317" t="s">
        <v>40</v>
      </c>
    </row>
    <row r="7318" spans="1:10" x14ac:dyDescent="0.25">
      <c r="A7318" t="s">
        <v>145</v>
      </c>
      <c r="B7318">
        <f>34536.0857783923*(1/100/100)</f>
        <v>3.4536085778392298</v>
      </c>
      <c r="C7318">
        <v>77219</v>
      </c>
      <c r="D7318" t="s">
        <v>2812</v>
      </c>
      <c r="E7318">
        <v>20913</v>
      </c>
      <c r="F7318" t="s">
        <v>2193</v>
      </c>
      <c r="G7318">
        <v>209</v>
      </c>
      <c r="H7318" t="s">
        <v>47</v>
      </c>
      <c r="I7318">
        <v>2</v>
      </c>
      <c r="J7318" t="s">
        <v>40</v>
      </c>
    </row>
    <row r="7319" spans="1:10" x14ac:dyDescent="0.25">
      <c r="A7319" t="s">
        <v>145</v>
      </c>
      <c r="B7319">
        <f>61526.1007927218*(1/100/100)</f>
        <v>6.1526100792721801</v>
      </c>
      <c r="C7319">
        <v>77220</v>
      </c>
      <c r="D7319" t="s">
        <v>2848</v>
      </c>
      <c r="E7319">
        <v>20923</v>
      </c>
      <c r="F7319" t="s">
        <v>47</v>
      </c>
      <c r="G7319">
        <v>209</v>
      </c>
      <c r="H7319" t="s">
        <v>47</v>
      </c>
      <c r="I7319">
        <v>2</v>
      </c>
      <c r="J7319" t="s">
        <v>40</v>
      </c>
    </row>
    <row r="7320" spans="1:10" x14ac:dyDescent="0.25">
      <c r="A7320" t="s">
        <v>145</v>
      </c>
      <c r="B7320">
        <f>3985.91812682022*(1/100/100)</f>
        <v>0.39859181268202204</v>
      </c>
      <c r="C7320">
        <v>77221</v>
      </c>
      <c r="D7320" t="s">
        <v>2849</v>
      </c>
      <c r="E7320">
        <v>20923</v>
      </c>
      <c r="F7320" t="s">
        <v>47</v>
      </c>
      <c r="G7320">
        <v>209</v>
      </c>
      <c r="H7320" t="s">
        <v>47</v>
      </c>
      <c r="I7320">
        <v>2</v>
      </c>
      <c r="J7320" t="s">
        <v>40</v>
      </c>
    </row>
    <row r="7321" spans="1:10" x14ac:dyDescent="0.25">
      <c r="A7321" t="s">
        <v>145</v>
      </c>
      <c r="B7321">
        <f>24318.5606588001*(1/100/100)</f>
        <v>2.4318560658800101</v>
      </c>
      <c r="C7321">
        <v>77222</v>
      </c>
      <c r="D7321" t="s">
        <v>2786</v>
      </c>
      <c r="E7321">
        <v>20905</v>
      </c>
      <c r="F7321" t="s">
        <v>2782</v>
      </c>
      <c r="G7321">
        <v>209</v>
      </c>
      <c r="H7321" t="s">
        <v>47</v>
      </c>
      <c r="I7321">
        <v>2</v>
      </c>
      <c r="J7321" t="s">
        <v>40</v>
      </c>
    </row>
    <row r="7322" spans="1:10" x14ac:dyDescent="0.25">
      <c r="A7322" t="s">
        <v>145</v>
      </c>
      <c r="B7322">
        <f>42380.5406294756*(1/100/100)</f>
        <v>4.2380540629475609</v>
      </c>
      <c r="C7322">
        <v>77223</v>
      </c>
      <c r="D7322" t="s">
        <v>2850</v>
      </c>
      <c r="E7322">
        <v>20923</v>
      </c>
      <c r="F7322" t="s">
        <v>47</v>
      </c>
      <c r="G7322">
        <v>209</v>
      </c>
      <c r="H7322" t="s">
        <v>47</v>
      </c>
      <c r="I7322">
        <v>2</v>
      </c>
      <c r="J7322" t="s">
        <v>40</v>
      </c>
    </row>
    <row r="7323" spans="1:10" x14ac:dyDescent="0.25">
      <c r="A7323" t="s">
        <v>145</v>
      </c>
      <c r="B7323">
        <f>4139.12861944333*(1/100/100)</f>
        <v>0.41391286194433297</v>
      </c>
      <c r="C7323">
        <v>77224</v>
      </c>
      <c r="D7323" t="s">
        <v>2813</v>
      </c>
      <c r="E7323">
        <v>20913</v>
      </c>
      <c r="F7323" t="s">
        <v>2193</v>
      </c>
      <c r="G7323">
        <v>209</v>
      </c>
      <c r="H7323" t="s">
        <v>47</v>
      </c>
      <c r="I7323">
        <v>2</v>
      </c>
      <c r="J7323" t="s">
        <v>40</v>
      </c>
    </row>
    <row r="7324" spans="1:10" x14ac:dyDescent="0.25">
      <c r="A7324" t="s">
        <v>145</v>
      </c>
      <c r="B7324">
        <f>48606.9922023305*(1/100/100)</f>
        <v>4.8606992202330499</v>
      </c>
      <c r="C7324">
        <v>77225</v>
      </c>
      <c r="D7324" t="s">
        <v>2814</v>
      </c>
      <c r="E7324">
        <v>20913</v>
      </c>
      <c r="F7324" t="s">
        <v>2193</v>
      </c>
      <c r="G7324">
        <v>209</v>
      </c>
      <c r="H7324" t="s">
        <v>47</v>
      </c>
      <c r="I7324">
        <v>2</v>
      </c>
      <c r="J7324" t="s">
        <v>40</v>
      </c>
    </row>
    <row r="7325" spans="1:10" x14ac:dyDescent="0.25">
      <c r="A7325" t="s">
        <v>145</v>
      </c>
      <c r="B7325">
        <f>28403.8929971482*(1/100/100)</f>
        <v>2.8403892997148201</v>
      </c>
      <c r="C7325">
        <v>77226</v>
      </c>
      <c r="D7325" t="s">
        <v>2787</v>
      </c>
      <c r="E7325">
        <v>20905</v>
      </c>
      <c r="F7325" t="s">
        <v>2782</v>
      </c>
      <c r="G7325">
        <v>209</v>
      </c>
      <c r="H7325" t="s">
        <v>47</v>
      </c>
      <c r="I7325">
        <v>2</v>
      </c>
      <c r="J7325" t="s">
        <v>40</v>
      </c>
    </row>
    <row r="7326" spans="1:10" x14ac:dyDescent="0.25">
      <c r="A7326" t="s">
        <v>145</v>
      </c>
      <c r="B7326">
        <f>76747.3380828389*(1/100/100)</f>
        <v>7.6747338082838912</v>
      </c>
      <c r="C7326">
        <v>77227</v>
      </c>
      <c r="D7326" t="s">
        <v>2851</v>
      </c>
      <c r="E7326">
        <v>20923</v>
      </c>
      <c r="F7326" t="s">
        <v>47</v>
      </c>
      <c r="G7326">
        <v>209</v>
      </c>
      <c r="H7326" t="s">
        <v>47</v>
      </c>
      <c r="I7326">
        <v>2</v>
      </c>
      <c r="J7326" t="s">
        <v>40</v>
      </c>
    </row>
    <row r="7327" spans="1:10" x14ac:dyDescent="0.25">
      <c r="A7327" t="s">
        <v>145</v>
      </c>
      <c r="B7327">
        <f>29617.4337245618*(1/100/100)</f>
        <v>2.9617433724561804</v>
      </c>
      <c r="C7327">
        <v>77228</v>
      </c>
      <c r="D7327" t="s">
        <v>2852</v>
      </c>
      <c r="E7327">
        <v>20923</v>
      </c>
      <c r="F7327" t="s">
        <v>47</v>
      </c>
      <c r="G7327">
        <v>209</v>
      </c>
      <c r="H7327" t="s">
        <v>47</v>
      </c>
      <c r="I7327">
        <v>2</v>
      </c>
      <c r="J7327" t="s">
        <v>40</v>
      </c>
    </row>
    <row r="7328" spans="1:10" x14ac:dyDescent="0.25">
      <c r="A7328" t="s">
        <v>145</v>
      </c>
      <c r="B7328">
        <f>24478.9360036616*(1/100/100)</f>
        <v>2.4478936003661604</v>
      </c>
      <c r="C7328">
        <v>77229</v>
      </c>
      <c r="D7328" t="s">
        <v>2853</v>
      </c>
      <c r="E7328">
        <v>20923</v>
      </c>
      <c r="F7328" t="s">
        <v>47</v>
      </c>
      <c r="G7328">
        <v>209</v>
      </c>
      <c r="H7328" t="s">
        <v>47</v>
      </c>
      <c r="I7328">
        <v>2</v>
      </c>
      <c r="J7328" t="s">
        <v>40</v>
      </c>
    </row>
    <row r="7329" spans="1:10" x14ac:dyDescent="0.25">
      <c r="A7329" t="s">
        <v>145</v>
      </c>
      <c r="B7329">
        <f>53126.5492457945*(1/100/100)</f>
        <v>5.3126549245794505</v>
      </c>
      <c r="C7329">
        <v>77230</v>
      </c>
      <c r="D7329" t="s">
        <v>2815</v>
      </c>
      <c r="E7329">
        <v>20913</v>
      </c>
      <c r="F7329" t="s">
        <v>2193</v>
      </c>
      <c r="G7329">
        <v>209</v>
      </c>
      <c r="H7329" t="s">
        <v>47</v>
      </c>
      <c r="I7329">
        <v>2</v>
      </c>
      <c r="J7329" t="s">
        <v>40</v>
      </c>
    </row>
    <row r="7330" spans="1:10" x14ac:dyDescent="0.25">
      <c r="A7330" t="s">
        <v>145</v>
      </c>
      <c r="B7330">
        <f>57185.9396117162*(1/100/100)</f>
        <v>5.7185939611716208</v>
      </c>
      <c r="C7330">
        <v>77231</v>
      </c>
      <c r="D7330" t="s">
        <v>2854</v>
      </c>
      <c r="E7330">
        <v>20923</v>
      </c>
      <c r="F7330" t="s">
        <v>47</v>
      </c>
      <c r="G7330">
        <v>209</v>
      </c>
      <c r="H7330" t="s">
        <v>47</v>
      </c>
      <c r="I7330">
        <v>2</v>
      </c>
      <c r="J7330" t="s">
        <v>40</v>
      </c>
    </row>
    <row r="7331" spans="1:10" x14ac:dyDescent="0.25">
      <c r="A7331" t="s">
        <v>145</v>
      </c>
      <c r="B7331">
        <f>299975.032069305*(1/100/100)</f>
        <v>29.997503206930503</v>
      </c>
      <c r="C7331">
        <v>77232</v>
      </c>
      <c r="D7331" t="s">
        <v>2855</v>
      </c>
      <c r="E7331">
        <v>20923</v>
      </c>
      <c r="F7331" t="s">
        <v>47</v>
      </c>
      <c r="G7331">
        <v>209</v>
      </c>
      <c r="H7331" t="s">
        <v>47</v>
      </c>
      <c r="I7331">
        <v>2</v>
      </c>
      <c r="J7331" t="s">
        <v>40</v>
      </c>
    </row>
    <row r="7332" spans="1:10" x14ac:dyDescent="0.25">
      <c r="A7332" t="s">
        <v>145</v>
      </c>
      <c r="B7332">
        <f>205870.771477985*(1/100/100)</f>
        <v>20.5870771477985</v>
      </c>
      <c r="C7332">
        <v>77233</v>
      </c>
      <c r="D7332" t="s">
        <v>2856</v>
      </c>
      <c r="E7332">
        <v>20923</v>
      </c>
      <c r="F7332" t="s">
        <v>47</v>
      </c>
      <c r="G7332">
        <v>209</v>
      </c>
      <c r="H7332" t="s">
        <v>47</v>
      </c>
      <c r="I7332">
        <v>2</v>
      </c>
      <c r="J7332" t="s">
        <v>40</v>
      </c>
    </row>
    <row r="7333" spans="1:10" x14ac:dyDescent="0.25">
      <c r="A7333" t="s">
        <v>145</v>
      </c>
      <c r="B7333">
        <f>10453.8797941366*(1/100/100)</f>
        <v>1.04538797941366</v>
      </c>
      <c r="C7333">
        <v>77234</v>
      </c>
      <c r="D7333" t="s">
        <v>2857</v>
      </c>
      <c r="E7333">
        <v>20923</v>
      </c>
      <c r="F7333" t="s">
        <v>47</v>
      </c>
      <c r="G7333">
        <v>209</v>
      </c>
      <c r="H7333" t="s">
        <v>47</v>
      </c>
      <c r="I7333">
        <v>2</v>
      </c>
      <c r="J7333" t="s">
        <v>40</v>
      </c>
    </row>
    <row r="7334" spans="1:10" x14ac:dyDescent="0.25">
      <c r="A7334" t="s">
        <v>145</v>
      </c>
      <c r="B7334">
        <f>25107.267817839*(1/100/100)</f>
        <v>2.5107267817839003</v>
      </c>
      <c r="C7334">
        <v>77235</v>
      </c>
      <c r="D7334" t="s">
        <v>2858</v>
      </c>
      <c r="E7334">
        <v>20923</v>
      </c>
      <c r="F7334" t="s">
        <v>47</v>
      </c>
      <c r="G7334">
        <v>209</v>
      </c>
      <c r="H7334" t="s">
        <v>47</v>
      </c>
      <c r="I7334">
        <v>2</v>
      </c>
      <c r="J7334" t="s">
        <v>40</v>
      </c>
    </row>
    <row r="7335" spans="1:10" x14ac:dyDescent="0.25">
      <c r="A7335" t="s">
        <v>145</v>
      </c>
      <c r="B7335">
        <f>59731.7251883242*(1/100/100)</f>
        <v>5.9731725188324205</v>
      </c>
      <c r="C7335">
        <v>77236</v>
      </c>
      <c r="D7335" t="s">
        <v>2859</v>
      </c>
      <c r="E7335">
        <v>20923</v>
      </c>
      <c r="F7335" t="s">
        <v>47</v>
      </c>
      <c r="G7335">
        <v>209</v>
      </c>
      <c r="H7335" t="s">
        <v>47</v>
      </c>
      <c r="I7335">
        <v>2</v>
      </c>
      <c r="J7335" t="s">
        <v>40</v>
      </c>
    </row>
    <row r="7336" spans="1:10" x14ac:dyDescent="0.25">
      <c r="A7336" t="s">
        <v>145</v>
      </c>
      <c r="B7336">
        <f>141649.967910808*(1/100/100)</f>
        <v>14.164996791080799</v>
      </c>
      <c r="C7336">
        <v>77237</v>
      </c>
      <c r="D7336" t="s">
        <v>301</v>
      </c>
      <c r="E7336">
        <v>20923</v>
      </c>
      <c r="F7336" t="s">
        <v>47</v>
      </c>
      <c r="G7336">
        <v>209</v>
      </c>
      <c r="H7336" t="s">
        <v>47</v>
      </c>
      <c r="I7336">
        <v>2</v>
      </c>
      <c r="J7336" t="s">
        <v>40</v>
      </c>
    </row>
    <row r="7337" spans="1:10" x14ac:dyDescent="0.25">
      <c r="A7337" t="s">
        <v>145</v>
      </c>
      <c r="B7337">
        <f>57498.2002544205*(1/100/100)</f>
        <v>5.7498200254420508</v>
      </c>
      <c r="C7337">
        <v>77238</v>
      </c>
      <c r="D7337" t="s">
        <v>2816</v>
      </c>
      <c r="E7337">
        <v>20913</v>
      </c>
      <c r="F7337" t="s">
        <v>2193</v>
      </c>
      <c r="G7337">
        <v>209</v>
      </c>
      <c r="H7337" t="s">
        <v>47</v>
      </c>
      <c r="I7337">
        <v>2</v>
      </c>
      <c r="J7337" t="s">
        <v>40</v>
      </c>
    </row>
    <row r="7338" spans="1:10" x14ac:dyDescent="0.25">
      <c r="A7338" t="s">
        <v>145</v>
      </c>
      <c r="B7338">
        <f>13839.432881433*(1/100/100)</f>
        <v>1.3839432881433</v>
      </c>
      <c r="C7338">
        <v>77239</v>
      </c>
      <c r="D7338" t="s">
        <v>2860</v>
      </c>
      <c r="E7338">
        <v>20923</v>
      </c>
      <c r="F7338" t="s">
        <v>47</v>
      </c>
      <c r="G7338">
        <v>209</v>
      </c>
      <c r="H7338" t="s">
        <v>47</v>
      </c>
      <c r="I7338">
        <v>2</v>
      </c>
      <c r="J7338" t="s">
        <v>40</v>
      </c>
    </row>
    <row r="7339" spans="1:10" x14ac:dyDescent="0.25">
      <c r="A7339" t="s">
        <v>145</v>
      </c>
      <c r="B7339">
        <f>30502.9072785377*(1/100/100)</f>
        <v>3.0502907278537701</v>
      </c>
      <c r="C7339">
        <v>77240</v>
      </c>
      <c r="D7339" t="s">
        <v>2861</v>
      </c>
      <c r="E7339">
        <v>20923</v>
      </c>
      <c r="F7339" t="s">
        <v>47</v>
      </c>
      <c r="G7339">
        <v>209</v>
      </c>
      <c r="H7339" t="s">
        <v>47</v>
      </c>
      <c r="I7339">
        <v>2</v>
      </c>
      <c r="J7339" t="s">
        <v>40</v>
      </c>
    </row>
    <row r="7340" spans="1:10" x14ac:dyDescent="0.25">
      <c r="A7340" t="s">
        <v>145</v>
      </c>
      <c r="B7340">
        <f>246044.690990411*(1/100/100)</f>
        <v>24.604469099041101</v>
      </c>
      <c r="C7340">
        <v>77241</v>
      </c>
      <c r="D7340" t="s">
        <v>2193</v>
      </c>
      <c r="E7340">
        <v>20913</v>
      </c>
      <c r="F7340" t="s">
        <v>2193</v>
      </c>
      <c r="G7340">
        <v>209</v>
      </c>
      <c r="H7340" t="s">
        <v>47</v>
      </c>
      <c r="I7340">
        <v>2</v>
      </c>
      <c r="J7340" t="s">
        <v>40</v>
      </c>
    </row>
    <row r="7341" spans="1:10" x14ac:dyDescent="0.25">
      <c r="A7341" t="s">
        <v>145</v>
      </c>
      <c r="B7341">
        <f>81652.3302064273*(1/100/100)</f>
        <v>8.1652330206427308</v>
      </c>
      <c r="C7341">
        <v>77242</v>
      </c>
      <c r="D7341" t="s">
        <v>2765</v>
      </c>
      <c r="E7341">
        <v>20923</v>
      </c>
      <c r="F7341" t="s">
        <v>47</v>
      </c>
      <c r="G7341">
        <v>209</v>
      </c>
      <c r="H7341" t="s">
        <v>47</v>
      </c>
      <c r="I7341">
        <v>2</v>
      </c>
      <c r="J7341" t="s">
        <v>40</v>
      </c>
    </row>
    <row r="7342" spans="1:10" x14ac:dyDescent="0.25">
      <c r="A7342" t="s">
        <v>145</v>
      </c>
      <c r="B7342">
        <f>88025.8786892293*(1/100/100)</f>
        <v>8.8025878689229309</v>
      </c>
      <c r="C7342">
        <v>77243</v>
      </c>
      <c r="D7342" t="s">
        <v>2862</v>
      </c>
      <c r="E7342">
        <v>20923</v>
      </c>
      <c r="F7342" t="s">
        <v>47</v>
      </c>
      <c r="G7342">
        <v>209</v>
      </c>
      <c r="H7342" t="s">
        <v>47</v>
      </c>
      <c r="I7342">
        <v>2</v>
      </c>
      <c r="J7342" t="s">
        <v>40</v>
      </c>
    </row>
    <row r="7343" spans="1:10" x14ac:dyDescent="0.25">
      <c r="A7343" t="s">
        <v>145</v>
      </c>
      <c r="B7343">
        <f>52411.1822318089*(1/100/100)</f>
        <v>5.2411182231808908</v>
      </c>
      <c r="C7343">
        <v>77244</v>
      </c>
      <c r="D7343" t="s">
        <v>2863</v>
      </c>
      <c r="E7343">
        <v>20923</v>
      </c>
      <c r="F7343" t="s">
        <v>47</v>
      </c>
      <c r="G7343">
        <v>209</v>
      </c>
      <c r="H7343" t="s">
        <v>47</v>
      </c>
      <c r="I7343">
        <v>2</v>
      </c>
      <c r="J7343" t="s">
        <v>40</v>
      </c>
    </row>
    <row r="7344" spans="1:10" x14ac:dyDescent="0.25">
      <c r="A7344" t="s">
        <v>145</v>
      </c>
      <c r="B7344">
        <f>85212.8175460641*(1/100/100)</f>
        <v>8.5212817546064112</v>
      </c>
      <c r="C7344">
        <v>77245</v>
      </c>
      <c r="D7344" t="s">
        <v>2125</v>
      </c>
      <c r="E7344">
        <v>20923</v>
      </c>
      <c r="F7344" t="s">
        <v>47</v>
      </c>
      <c r="G7344">
        <v>209</v>
      </c>
      <c r="H7344" t="s">
        <v>47</v>
      </c>
      <c r="I7344">
        <v>2</v>
      </c>
      <c r="J7344" t="s">
        <v>40</v>
      </c>
    </row>
    <row r="7345" spans="1:10" x14ac:dyDescent="0.25">
      <c r="A7345" t="s">
        <v>145</v>
      </c>
      <c r="B7345">
        <f>99218.2137793727*(1/100/100)</f>
        <v>9.9218213779372704</v>
      </c>
      <c r="C7345">
        <v>77246</v>
      </c>
      <c r="D7345" t="s">
        <v>2717</v>
      </c>
      <c r="E7345">
        <v>20923</v>
      </c>
      <c r="F7345" t="s">
        <v>47</v>
      </c>
      <c r="G7345">
        <v>209</v>
      </c>
      <c r="H7345" t="s">
        <v>47</v>
      </c>
      <c r="I7345">
        <v>2</v>
      </c>
      <c r="J7345" t="s">
        <v>40</v>
      </c>
    </row>
    <row r="7346" spans="1:10" x14ac:dyDescent="0.25">
      <c r="A7346" t="s">
        <v>145</v>
      </c>
      <c r="B7346">
        <f>294460.773316204*(1/100/100)</f>
        <v>29.446077331620405</v>
      </c>
      <c r="C7346">
        <v>77247</v>
      </c>
      <c r="D7346" t="s">
        <v>2358</v>
      </c>
      <c r="E7346">
        <v>20923</v>
      </c>
      <c r="F7346" t="s">
        <v>47</v>
      </c>
      <c r="G7346">
        <v>209</v>
      </c>
      <c r="H7346" t="s">
        <v>47</v>
      </c>
      <c r="I7346">
        <v>2</v>
      </c>
      <c r="J7346" t="s">
        <v>40</v>
      </c>
    </row>
    <row r="7347" spans="1:10" x14ac:dyDescent="0.25">
      <c r="A7347" t="s">
        <v>145</v>
      </c>
      <c r="B7347">
        <f>6432.69294889344*(1/100/100)</f>
        <v>0.64326929488934403</v>
      </c>
      <c r="C7347">
        <v>77248</v>
      </c>
      <c r="D7347" t="s">
        <v>2817</v>
      </c>
      <c r="E7347">
        <v>20913</v>
      </c>
      <c r="F7347" t="s">
        <v>2193</v>
      </c>
      <c r="G7347">
        <v>209</v>
      </c>
      <c r="H7347" t="s">
        <v>47</v>
      </c>
      <c r="I7347">
        <v>2</v>
      </c>
      <c r="J7347" t="s">
        <v>40</v>
      </c>
    </row>
    <row r="7348" spans="1:10" x14ac:dyDescent="0.25">
      <c r="A7348" t="s">
        <v>145</v>
      </c>
      <c r="B7348">
        <f>65882.643445572*(1/100/100)</f>
        <v>6.5882643445572002</v>
      </c>
      <c r="C7348">
        <v>77249</v>
      </c>
      <c r="D7348" t="s">
        <v>2864</v>
      </c>
      <c r="E7348">
        <v>20923</v>
      </c>
      <c r="F7348" t="s">
        <v>47</v>
      </c>
      <c r="G7348">
        <v>209</v>
      </c>
      <c r="H7348" t="s">
        <v>47</v>
      </c>
      <c r="I7348">
        <v>2</v>
      </c>
      <c r="J7348" t="s">
        <v>40</v>
      </c>
    </row>
    <row r="7349" spans="1:10" x14ac:dyDescent="0.25">
      <c r="A7349" t="s">
        <v>145</v>
      </c>
      <c r="B7349">
        <f>9957.83781420163*(1/100/100)</f>
        <v>0.99578378142016299</v>
      </c>
      <c r="C7349">
        <v>77250</v>
      </c>
      <c r="D7349" t="s">
        <v>2788</v>
      </c>
      <c r="E7349">
        <v>20905</v>
      </c>
      <c r="F7349" t="s">
        <v>2782</v>
      </c>
      <c r="G7349">
        <v>209</v>
      </c>
      <c r="H7349" t="s">
        <v>47</v>
      </c>
      <c r="I7349">
        <v>2</v>
      </c>
      <c r="J7349" t="s">
        <v>40</v>
      </c>
    </row>
    <row r="7350" spans="1:10" x14ac:dyDescent="0.25">
      <c r="A7350" t="s">
        <v>145</v>
      </c>
      <c r="B7350">
        <f>64409.2898551325*(1/100/100)</f>
        <v>6.4409289855132501</v>
      </c>
      <c r="C7350">
        <v>77252</v>
      </c>
      <c r="D7350" t="s">
        <v>2789</v>
      </c>
      <c r="E7350">
        <v>20905</v>
      </c>
      <c r="F7350" t="s">
        <v>2782</v>
      </c>
      <c r="G7350">
        <v>209</v>
      </c>
      <c r="H7350" t="s">
        <v>47</v>
      </c>
      <c r="I7350">
        <v>2</v>
      </c>
      <c r="J7350" t="s">
        <v>40</v>
      </c>
    </row>
    <row r="7351" spans="1:10" x14ac:dyDescent="0.25">
      <c r="A7351" t="s">
        <v>145</v>
      </c>
      <c r="B7351">
        <f>47269.9415303569*(1/100/100)</f>
        <v>4.7269941530356903</v>
      </c>
      <c r="C7351">
        <v>77253</v>
      </c>
      <c r="D7351" t="s">
        <v>2865</v>
      </c>
      <c r="E7351">
        <v>20923</v>
      </c>
      <c r="F7351" t="s">
        <v>47</v>
      </c>
      <c r="G7351">
        <v>209</v>
      </c>
      <c r="H7351" t="s">
        <v>47</v>
      </c>
      <c r="I7351">
        <v>2</v>
      </c>
      <c r="J7351" t="s">
        <v>40</v>
      </c>
    </row>
    <row r="7352" spans="1:10" x14ac:dyDescent="0.25">
      <c r="A7352" t="s">
        <v>145</v>
      </c>
      <c r="B7352">
        <f>27905.2580915242*(1/100/100)</f>
        <v>2.7905258091524203</v>
      </c>
      <c r="C7352">
        <v>77254</v>
      </c>
      <c r="D7352" t="s">
        <v>2866</v>
      </c>
      <c r="E7352">
        <v>20923</v>
      </c>
      <c r="F7352" t="s">
        <v>47</v>
      </c>
      <c r="G7352">
        <v>209</v>
      </c>
      <c r="H7352" t="s">
        <v>47</v>
      </c>
      <c r="I7352">
        <v>2</v>
      </c>
      <c r="J7352" t="s">
        <v>40</v>
      </c>
    </row>
    <row r="7353" spans="1:10" x14ac:dyDescent="0.25">
      <c r="A7353" t="s">
        <v>145</v>
      </c>
      <c r="B7353">
        <f>25719.9719337371*(1/100/100)</f>
        <v>2.57199719337371</v>
      </c>
      <c r="C7353">
        <v>77255</v>
      </c>
      <c r="D7353" t="s">
        <v>2790</v>
      </c>
      <c r="E7353">
        <v>20905</v>
      </c>
      <c r="F7353" t="s">
        <v>2782</v>
      </c>
      <c r="G7353">
        <v>209</v>
      </c>
      <c r="H7353" t="s">
        <v>47</v>
      </c>
      <c r="I7353">
        <v>2</v>
      </c>
      <c r="J7353" t="s">
        <v>40</v>
      </c>
    </row>
    <row r="7354" spans="1:10" x14ac:dyDescent="0.25">
      <c r="A7354" t="s">
        <v>145</v>
      </c>
      <c r="B7354">
        <f>9793.53972677783*(1/100/100)</f>
        <v>0.97935397267778301</v>
      </c>
      <c r="C7354">
        <v>77256</v>
      </c>
      <c r="D7354" t="s">
        <v>2867</v>
      </c>
      <c r="E7354">
        <v>20923</v>
      </c>
      <c r="F7354" t="s">
        <v>47</v>
      </c>
      <c r="G7354">
        <v>209</v>
      </c>
      <c r="H7354" t="s">
        <v>47</v>
      </c>
      <c r="I7354">
        <v>2</v>
      </c>
      <c r="J7354" t="s">
        <v>40</v>
      </c>
    </row>
    <row r="7355" spans="1:10" x14ac:dyDescent="0.25">
      <c r="A7355" t="s">
        <v>145</v>
      </c>
      <c r="B7355">
        <f>24628.4485779019*(1/100/100)</f>
        <v>2.4628448577901905</v>
      </c>
      <c r="C7355">
        <v>77257</v>
      </c>
      <c r="D7355" t="s">
        <v>2868</v>
      </c>
      <c r="E7355">
        <v>20923</v>
      </c>
      <c r="F7355" t="s">
        <v>47</v>
      </c>
      <c r="G7355">
        <v>209</v>
      </c>
      <c r="H7355" t="s">
        <v>47</v>
      </c>
      <c r="I7355">
        <v>2</v>
      </c>
      <c r="J7355" t="s">
        <v>40</v>
      </c>
    </row>
    <row r="7356" spans="1:10" x14ac:dyDescent="0.25">
      <c r="A7356" t="s">
        <v>145</v>
      </c>
      <c r="B7356">
        <f>41194.4664654342*(1/100/100)</f>
        <v>4.1194466465434196</v>
      </c>
      <c r="C7356">
        <v>77258</v>
      </c>
      <c r="D7356" t="s">
        <v>2869</v>
      </c>
      <c r="E7356">
        <v>20923</v>
      </c>
      <c r="F7356" t="s">
        <v>47</v>
      </c>
      <c r="G7356">
        <v>209</v>
      </c>
      <c r="H7356" t="s">
        <v>47</v>
      </c>
      <c r="I7356">
        <v>2</v>
      </c>
      <c r="J7356" t="s">
        <v>40</v>
      </c>
    </row>
    <row r="7357" spans="1:10" x14ac:dyDescent="0.25">
      <c r="A7357" t="s">
        <v>145</v>
      </c>
      <c r="B7357">
        <f>48704.6869015617*(1/100/100)</f>
        <v>4.8704686901561702</v>
      </c>
      <c r="C7357">
        <v>77259</v>
      </c>
      <c r="D7357" t="s">
        <v>2870</v>
      </c>
      <c r="E7357">
        <v>20923</v>
      </c>
      <c r="F7357" t="s">
        <v>47</v>
      </c>
      <c r="G7357">
        <v>209</v>
      </c>
      <c r="H7357" t="s">
        <v>47</v>
      </c>
      <c r="I7357">
        <v>2</v>
      </c>
      <c r="J7357" t="s">
        <v>40</v>
      </c>
    </row>
    <row r="7358" spans="1:10" x14ac:dyDescent="0.25">
      <c r="A7358" t="s">
        <v>145</v>
      </c>
      <c r="B7358">
        <f>73260.9220988588*(1/100/100)</f>
        <v>7.3260922098858812</v>
      </c>
      <c r="C7358">
        <v>77260</v>
      </c>
      <c r="D7358" t="s">
        <v>2791</v>
      </c>
      <c r="E7358">
        <v>20905</v>
      </c>
      <c r="F7358" t="s">
        <v>2782</v>
      </c>
      <c r="G7358">
        <v>209</v>
      </c>
      <c r="H7358" t="s">
        <v>47</v>
      </c>
      <c r="I7358">
        <v>2</v>
      </c>
      <c r="J7358" t="s">
        <v>40</v>
      </c>
    </row>
    <row r="7359" spans="1:10" x14ac:dyDescent="0.25">
      <c r="A7359" t="s">
        <v>145</v>
      </c>
      <c r="B7359">
        <f>68436.5871525354*(1/100/100)</f>
        <v>6.8436587152535404</v>
      </c>
      <c r="C7359">
        <v>77261</v>
      </c>
      <c r="D7359" t="s">
        <v>2818</v>
      </c>
      <c r="E7359">
        <v>20913</v>
      </c>
      <c r="F7359" t="s">
        <v>2193</v>
      </c>
      <c r="G7359">
        <v>209</v>
      </c>
      <c r="H7359" t="s">
        <v>47</v>
      </c>
      <c r="I7359">
        <v>2</v>
      </c>
      <c r="J7359" t="s">
        <v>40</v>
      </c>
    </row>
    <row r="7360" spans="1:10" x14ac:dyDescent="0.25">
      <c r="A7360" t="s">
        <v>145</v>
      </c>
      <c r="B7360">
        <f>36337.9897794831*(1/100/100)</f>
        <v>3.63379897794831</v>
      </c>
      <c r="C7360">
        <v>77262</v>
      </c>
      <c r="D7360" t="s">
        <v>2819</v>
      </c>
      <c r="E7360">
        <v>20913</v>
      </c>
      <c r="F7360" t="s">
        <v>2193</v>
      </c>
      <c r="G7360">
        <v>209</v>
      </c>
      <c r="H7360" t="s">
        <v>47</v>
      </c>
      <c r="I7360">
        <v>2</v>
      </c>
      <c r="J7360" t="s">
        <v>40</v>
      </c>
    </row>
    <row r="7361" spans="1:10" x14ac:dyDescent="0.25">
      <c r="A7361" t="s">
        <v>145</v>
      </c>
      <c r="B7361">
        <f>82520.0078544925*(1/100/100)</f>
        <v>8.2520007854492512</v>
      </c>
      <c r="C7361">
        <v>77263</v>
      </c>
      <c r="D7361" t="s">
        <v>2820</v>
      </c>
      <c r="E7361">
        <v>20913</v>
      </c>
      <c r="F7361" t="s">
        <v>2193</v>
      </c>
      <c r="G7361">
        <v>209</v>
      </c>
      <c r="H7361" t="s">
        <v>47</v>
      </c>
      <c r="I7361">
        <v>2</v>
      </c>
      <c r="J7361" t="s">
        <v>40</v>
      </c>
    </row>
    <row r="7362" spans="1:10" x14ac:dyDescent="0.25">
      <c r="A7362" t="s">
        <v>145</v>
      </c>
      <c r="B7362">
        <f>82761.4185002507*(1/100/100)</f>
        <v>8.2761418500250699</v>
      </c>
      <c r="C7362">
        <v>77264</v>
      </c>
      <c r="D7362" t="s">
        <v>2871</v>
      </c>
      <c r="E7362">
        <v>20923</v>
      </c>
      <c r="F7362" t="s">
        <v>47</v>
      </c>
      <c r="G7362">
        <v>209</v>
      </c>
      <c r="H7362" t="s">
        <v>47</v>
      </c>
      <c r="I7362">
        <v>2</v>
      </c>
      <c r="J7362" t="s">
        <v>40</v>
      </c>
    </row>
    <row r="7363" spans="1:10" x14ac:dyDescent="0.25">
      <c r="A7363" t="s">
        <v>145</v>
      </c>
      <c r="B7363">
        <f>13433.8352554457*(1/100/100)</f>
        <v>1.3433835255445701</v>
      </c>
      <c r="C7363">
        <v>77265</v>
      </c>
      <c r="D7363" t="s">
        <v>2872</v>
      </c>
      <c r="E7363">
        <v>20923</v>
      </c>
      <c r="F7363" t="s">
        <v>47</v>
      </c>
      <c r="G7363">
        <v>209</v>
      </c>
      <c r="H7363" t="s">
        <v>47</v>
      </c>
      <c r="I7363">
        <v>2</v>
      </c>
      <c r="J7363" t="s">
        <v>40</v>
      </c>
    </row>
    <row r="7364" spans="1:10" x14ac:dyDescent="0.25">
      <c r="A7364" t="s">
        <v>145</v>
      </c>
      <c r="B7364">
        <f>27811.0919981878*(1/100/100)</f>
        <v>2.78110919981878</v>
      </c>
      <c r="C7364">
        <v>77266</v>
      </c>
      <c r="D7364" t="s">
        <v>2821</v>
      </c>
      <c r="E7364">
        <v>20913</v>
      </c>
      <c r="F7364" t="s">
        <v>2193</v>
      </c>
      <c r="G7364">
        <v>209</v>
      </c>
      <c r="H7364" t="s">
        <v>47</v>
      </c>
      <c r="I7364">
        <v>2</v>
      </c>
      <c r="J7364" t="s">
        <v>40</v>
      </c>
    </row>
    <row r="7365" spans="1:10" x14ac:dyDescent="0.25">
      <c r="A7365" t="s">
        <v>145</v>
      </c>
      <c r="B7365">
        <f>77292.7424494345*(1/100/100)</f>
        <v>7.7292742449434506</v>
      </c>
      <c r="C7365">
        <v>77267</v>
      </c>
      <c r="D7365" t="s">
        <v>2822</v>
      </c>
      <c r="E7365">
        <v>20913</v>
      </c>
      <c r="F7365" t="s">
        <v>2193</v>
      </c>
      <c r="G7365">
        <v>209</v>
      </c>
      <c r="H7365" t="s">
        <v>47</v>
      </c>
      <c r="I7365">
        <v>2</v>
      </c>
      <c r="J7365" t="s">
        <v>40</v>
      </c>
    </row>
    <row r="7366" spans="1:10" x14ac:dyDescent="0.25">
      <c r="A7366" t="s">
        <v>145</v>
      </c>
      <c r="B7366">
        <f>46379.267661259*(1/100/100)</f>
        <v>4.6379267661258998</v>
      </c>
      <c r="C7366">
        <v>77268</v>
      </c>
      <c r="D7366" t="s">
        <v>2823</v>
      </c>
      <c r="E7366">
        <v>20913</v>
      </c>
      <c r="F7366" t="s">
        <v>2193</v>
      </c>
      <c r="G7366">
        <v>209</v>
      </c>
      <c r="H7366" t="s">
        <v>47</v>
      </c>
      <c r="I7366">
        <v>2</v>
      </c>
      <c r="J7366" t="s">
        <v>40</v>
      </c>
    </row>
    <row r="7367" spans="1:10" x14ac:dyDescent="0.25">
      <c r="A7367" t="s">
        <v>145</v>
      </c>
      <c r="B7367">
        <f>34831.0132641615*(1/100/100)</f>
        <v>3.4831013264161501</v>
      </c>
      <c r="C7367">
        <v>77269</v>
      </c>
      <c r="D7367" t="s">
        <v>2873</v>
      </c>
      <c r="E7367">
        <v>20923</v>
      </c>
      <c r="F7367" t="s">
        <v>47</v>
      </c>
      <c r="G7367">
        <v>209</v>
      </c>
      <c r="H7367" t="s">
        <v>47</v>
      </c>
      <c r="I7367">
        <v>2</v>
      </c>
      <c r="J7367" t="s">
        <v>40</v>
      </c>
    </row>
    <row r="7368" spans="1:10" x14ac:dyDescent="0.25">
      <c r="A7368" t="s">
        <v>145</v>
      </c>
      <c r="B7368">
        <f>30490.1346754368*(1/100/100)</f>
        <v>3.0490134675436802</v>
      </c>
      <c r="C7368">
        <v>77270</v>
      </c>
      <c r="D7368" t="s">
        <v>607</v>
      </c>
      <c r="E7368">
        <v>20923</v>
      </c>
      <c r="F7368" t="s">
        <v>47</v>
      </c>
      <c r="G7368">
        <v>209</v>
      </c>
      <c r="H7368" t="s">
        <v>47</v>
      </c>
      <c r="I7368">
        <v>2</v>
      </c>
      <c r="J7368" t="s">
        <v>40</v>
      </c>
    </row>
    <row r="7369" spans="1:10" x14ac:dyDescent="0.25">
      <c r="A7369" t="s">
        <v>145</v>
      </c>
      <c r="B7369">
        <f>42988.1032920741*(1/100/100)</f>
        <v>4.2988103292074102</v>
      </c>
      <c r="C7369">
        <v>77271</v>
      </c>
      <c r="D7369" t="s">
        <v>2824</v>
      </c>
      <c r="E7369">
        <v>20913</v>
      </c>
      <c r="F7369" t="s">
        <v>2193</v>
      </c>
      <c r="G7369">
        <v>209</v>
      </c>
      <c r="H7369" t="s">
        <v>47</v>
      </c>
      <c r="I7369">
        <v>2</v>
      </c>
      <c r="J7369" t="s">
        <v>40</v>
      </c>
    </row>
    <row r="7370" spans="1:10" x14ac:dyDescent="0.25">
      <c r="A7370" t="s">
        <v>145</v>
      </c>
      <c r="B7370">
        <f>46077.1422768321*(1/100/100)</f>
        <v>4.6077142276832097</v>
      </c>
      <c r="C7370">
        <v>77272</v>
      </c>
      <c r="D7370" t="s">
        <v>2825</v>
      </c>
      <c r="E7370">
        <v>20913</v>
      </c>
      <c r="F7370" t="s">
        <v>2193</v>
      </c>
      <c r="G7370">
        <v>209</v>
      </c>
      <c r="H7370" t="s">
        <v>47</v>
      </c>
      <c r="I7370">
        <v>2</v>
      </c>
      <c r="J7370" t="s">
        <v>40</v>
      </c>
    </row>
    <row r="7371" spans="1:10" x14ac:dyDescent="0.25">
      <c r="A7371" t="s">
        <v>147</v>
      </c>
      <c r="B7371">
        <f>256959.189068727*(1/100/100)</f>
        <v>25.695918906872702</v>
      </c>
      <c r="C7371">
        <v>80001</v>
      </c>
      <c r="D7371" t="s">
        <v>1769</v>
      </c>
      <c r="E7371">
        <v>70201</v>
      </c>
      <c r="F7371" t="s">
        <v>1769</v>
      </c>
      <c r="G7371">
        <v>702</v>
      </c>
      <c r="H7371" t="s">
        <v>1</v>
      </c>
      <c r="I7371">
        <v>7</v>
      </c>
      <c r="J7371" t="s">
        <v>114</v>
      </c>
    </row>
    <row r="7372" spans="1:10" x14ac:dyDescent="0.25">
      <c r="A7372" t="s">
        <v>147</v>
      </c>
      <c r="B7372">
        <f>870445.782230517*(1/100/100)</f>
        <v>87.044578223051701</v>
      </c>
      <c r="C7372">
        <v>80002</v>
      </c>
      <c r="D7372" t="s">
        <v>1</v>
      </c>
      <c r="E7372">
        <v>70203</v>
      </c>
      <c r="F7372" t="s">
        <v>1</v>
      </c>
      <c r="G7372">
        <v>702</v>
      </c>
      <c r="H7372" t="s">
        <v>1</v>
      </c>
      <c r="I7372">
        <v>7</v>
      </c>
      <c r="J7372" t="s">
        <v>114</v>
      </c>
    </row>
    <row r="7373" spans="1:10" x14ac:dyDescent="0.25">
      <c r="A7373" t="s">
        <v>147</v>
      </c>
      <c r="B7373">
        <f>98521.4321983477*(1/100/100)</f>
        <v>9.8521432198347707</v>
      </c>
      <c r="C7373">
        <v>80003</v>
      </c>
      <c r="D7373" t="s">
        <v>1771</v>
      </c>
      <c r="E7373">
        <v>70204</v>
      </c>
      <c r="F7373" t="s">
        <v>1771</v>
      </c>
      <c r="G7373">
        <v>702</v>
      </c>
      <c r="H7373" t="s">
        <v>1</v>
      </c>
      <c r="I7373">
        <v>7</v>
      </c>
      <c r="J7373" t="s">
        <v>114</v>
      </c>
    </row>
    <row r="7374" spans="1:10" x14ac:dyDescent="0.25">
      <c r="A7374" t="s">
        <v>147</v>
      </c>
      <c r="B7374">
        <f>108296.564243831*(1/100/100)</f>
        <v>10.829656424383101</v>
      </c>
      <c r="C7374">
        <v>80004</v>
      </c>
      <c r="D7374" t="s">
        <v>1772</v>
      </c>
      <c r="E7374">
        <v>70205</v>
      </c>
      <c r="F7374" t="s">
        <v>1772</v>
      </c>
      <c r="G7374">
        <v>702</v>
      </c>
      <c r="H7374" t="s">
        <v>1</v>
      </c>
      <c r="I7374">
        <v>7</v>
      </c>
      <c r="J7374" t="s">
        <v>114</v>
      </c>
    </row>
    <row r="7375" spans="1:10" x14ac:dyDescent="0.25">
      <c r="A7375" t="s">
        <v>147</v>
      </c>
      <c r="B7375">
        <f>55926.5447909414*(1/100/100)</f>
        <v>5.5926544790941399</v>
      </c>
      <c r="C7375">
        <v>80005</v>
      </c>
      <c r="D7375" t="s">
        <v>1773</v>
      </c>
      <c r="E7375">
        <v>70206</v>
      </c>
      <c r="F7375" t="s">
        <v>1773</v>
      </c>
      <c r="G7375">
        <v>702</v>
      </c>
      <c r="H7375" t="s">
        <v>1</v>
      </c>
      <c r="I7375">
        <v>7</v>
      </c>
      <c r="J7375" t="s">
        <v>114</v>
      </c>
    </row>
    <row r="7376" spans="1:10" x14ac:dyDescent="0.25">
      <c r="A7376" t="s">
        <v>147</v>
      </c>
      <c r="B7376">
        <f>63051.32939642*(1/100/100)</f>
        <v>6.3051329396420002</v>
      </c>
      <c r="C7376">
        <v>80006</v>
      </c>
      <c r="D7376" t="s">
        <v>1774</v>
      </c>
      <c r="E7376">
        <v>70207</v>
      </c>
      <c r="F7376" t="s">
        <v>1774</v>
      </c>
      <c r="G7376">
        <v>702</v>
      </c>
      <c r="H7376" t="s">
        <v>1</v>
      </c>
      <c r="I7376">
        <v>7</v>
      </c>
      <c r="J7376" t="s">
        <v>114</v>
      </c>
    </row>
    <row r="7377" spans="1:10" x14ac:dyDescent="0.25">
      <c r="A7377" t="s">
        <v>147</v>
      </c>
      <c r="B7377">
        <f>54234.8142482663*(1/100/100)</f>
        <v>5.4234814248266305</v>
      </c>
      <c r="C7377">
        <v>80007</v>
      </c>
      <c r="D7377" t="s">
        <v>1777</v>
      </c>
      <c r="E7377">
        <v>70210</v>
      </c>
      <c r="F7377" t="s">
        <v>1777</v>
      </c>
      <c r="G7377">
        <v>702</v>
      </c>
      <c r="H7377" t="s">
        <v>1</v>
      </c>
      <c r="I7377">
        <v>7</v>
      </c>
      <c r="J7377" t="s">
        <v>114</v>
      </c>
    </row>
    <row r="7378" spans="1:10" x14ac:dyDescent="0.25">
      <c r="A7378" t="s">
        <v>147</v>
      </c>
      <c r="B7378">
        <f>216533.817568533*(1/100/100)</f>
        <v>21.653381756853303</v>
      </c>
      <c r="C7378">
        <v>80008</v>
      </c>
      <c r="D7378" t="s">
        <v>1779</v>
      </c>
      <c r="E7378">
        <v>70212</v>
      </c>
      <c r="F7378" t="s">
        <v>1779</v>
      </c>
      <c r="G7378">
        <v>702</v>
      </c>
      <c r="H7378" t="s">
        <v>1</v>
      </c>
      <c r="I7378">
        <v>7</v>
      </c>
      <c r="J7378" t="s">
        <v>114</v>
      </c>
    </row>
    <row r="7379" spans="1:10" x14ac:dyDescent="0.25">
      <c r="A7379" t="s">
        <v>147</v>
      </c>
      <c r="B7379">
        <f>186664.18788745*(1/100/100)</f>
        <v>18.666418788745002</v>
      </c>
      <c r="C7379">
        <v>80009</v>
      </c>
      <c r="D7379" t="s">
        <v>7168</v>
      </c>
      <c r="E7379">
        <v>70217</v>
      </c>
      <c r="F7379" t="s">
        <v>7169</v>
      </c>
      <c r="G7379">
        <v>702</v>
      </c>
      <c r="H7379" t="s">
        <v>1</v>
      </c>
      <c r="I7379">
        <v>7</v>
      </c>
      <c r="J7379" t="s">
        <v>114</v>
      </c>
    </row>
    <row r="7380" spans="1:10" x14ac:dyDescent="0.25">
      <c r="A7380" t="s">
        <v>147</v>
      </c>
      <c r="B7380">
        <f>258294.769394111*(1/100/100)</f>
        <v>25.829476939411101</v>
      </c>
      <c r="C7380">
        <v>80010</v>
      </c>
      <c r="D7380" t="s">
        <v>1788</v>
      </c>
      <c r="E7380">
        <v>70222</v>
      </c>
      <c r="F7380" t="s">
        <v>1788</v>
      </c>
      <c r="G7380">
        <v>702</v>
      </c>
      <c r="H7380" t="s">
        <v>1</v>
      </c>
      <c r="I7380">
        <v>7</v>
      </c>
      <c r="J7380" t="s">
        <v>114</v>
      </c>
    </row>
    <row r="7381" spans="1:10" x14ac:dyDescent="0.25">
      <c r="A7381" t="s">
        <v>147</v>
      </c>
      <c r="B7381">
        <f>194719.805237151*(1/100/100)</f>
        <v>19.471980523715104</v>
      </c>
      <c r="C7381">
        <v>80011</v>
      </c>
      <c r="D7381" t="s">
        <v>1790</v>
      </c>
      <c r="E7381">
        <v>70224</v>
      </c>
      <c r="F7381" t="s">
        <v>1790</v>
      </c>
      <c r="G7381">
        <v>702</v>
      </c>
      <c r="H7381" t="s">
        <v>1</v>
      </c>
      <c r="I7381">
        <v>7</v>
      </c>
      <c r="J7381" t="s">
        <v>114</v>
      </c>
    </row>
    <row r="7382" spans="1:10" x14ac:dyDescent="0.25">
      <c r="A7382" t="s">
        <v>147</v>
      </c>
      <c r="B7382">
        <f>510955.465675606*(1/100/100)</f>
        <v>51.095546567560604</v>
      </c>
      <c r="C7382">
        <v>80101</v>
      </c>
      <c r="D7382" t="s">
        <v>1770</v>
      </c>
      <c r="E7382">
        <v>70202</v>
      </c>
      <c r="F7382" t="s">
        <v>1770</v>
      </c>
      <c r="G7382">
        <v>702</v>
      </c>
      <c r="H7382" t="s">
        <v>1</v>
      </c>
      <c r="I7382">
        <v>7</v>
      </c>
      <c r="J7382" t="s">
        <v>114</v>
      </c>
    </row>
    <row r="7383" spans="1:10" x14ac:dyDescent="0.25">
      <c r="A7383" t="s">
        <v>147</v>
      </c>
      <c r="B7383">
        <f>457526.886935471*(1/100/100)</f>
        <v>45.7526886935471</v>
      </c>
      <c r="C7383">
        <v>80102</v>
      </c>
      <c r="D7383" t="s">
        <v>1775</v>
      </c>
      <c r="E7383">
        <v>70208</v>
      </c>
      <c r="F7383" t="s">
        <v>1775</v>
      </c>
      <c r="G7383">
        <v>702</v>
      </c>
      <c r="H7383" t="s">
        <v>1</v>
      </c>
      <c r="I7383">
        <v>7</v>
      </c>
      <c r="J7383" t="s">
        <v>114</v>
      </c>
    </row>
    <row r="7384" spans="1:10" x14ac:dyDescent="0.25">
      <c r="A7384" t="s">
        <v>147</v>
      </c>
      <c r="B7384">
        <f>330102.618660596*(1/100/100)</f>
        <v>33.010261866059601</v>
      </c>
      <c r="C7384">
        <v>80103</v>
      </c>
      <c r="D7384" t="s">
        <v>1776</v>
      </c>
      <c r="E7384">
        <v>70209</v>
      </c>
      <c r="F7384" t="s">
        <v>1776</v>
      </c>
      <c r="G7384">
        <v>702</v>
      </c>
      <c r="H7384" t="s">
        <v>1</v>
      </c>
      <c r="I7384">
        <v>7</v>
      </c>
      <c r="J7384" t="s">
        <v>114</v>
      </c>
    </row>
    <row r="7385" spans="1:10" x14ac:dyDescent="0.25">
      <c r="A7385" t="s">
        <v>147</v>
      </c>
      <c r="B7385">
        <f>127741.477488091*(1/100/100)</f>
        <v>12.774147748809101</v>
      </c>
      <c r="C7385">
        <v>80104</v>
      </c>
      <c r="D7385" t="s">
        <v>1780</v>
      </c>
      <c r="E7385">
        <v>70213</v>
      </c>
      <c r="F7385" t="s">
        <v>1780</v>
      </c>
      <c r="G7385">
        <v>702</v>
      </c>
      <c r="H7385" t="s">
        <v>1</v>
      </c>
      <c r="I7385">
        <v>7</v>
      </c>
      <c r="J7385" t="s">
        <v>114</v>
      </c>
    </row>
    <row r="7386" spans="1:10" x14ac:dyDescent="0.25">
      <c r="A7386" t="s">
        <v>147</v>
      </c>
      <c r="B7386">
        <f>221361.946648374*(1/100/100)</f>
        <v>22.136194664837401</v>
      </c>
      <c r="C7386">
        <v>80105</v>
      </c>
      <c r="D7386" t="s">
        <v>7167</v>
      </c>
      <c r="E7386">
        <v>70214</v>
      </c>
      <c r="F7386" t="s">
        <v>1781</v>
      </c>
      <c r="G7386">
        <v>702</v>
      </c>
      <c r="H7386" t="s">
        <v>1</v>
      </c>
      <c r="I7386">
        <v>7</v>
      </c>
      <c r="J7386" t="s">
        <v>114</v>
      </c>
    </row>
    <row r="7387" spans="1:10" x14ac:dyDescent="0.25">
      <c r="A7387" t="s">
        <v>147</v>
      </c>
      <c r="B7387">
        <f>251002.979990003*(1/100/100)</f>
        <v>25.100297999000301</v>
      </c>
      <c r="C7387">
        <v>80106</v>
      </c>
      <c r="D7387" t="s">
        <v>1782</v>
      </c>
      <c r="E7387">
        <v>70215</v>
      </c>
      <c r="F7387" t="s">
        <v>1782</v>
      </c>
      <c r="G7387">
        <v>702</v>
      </c>
      <c r="H7387" t="s">
        <v>1</v>
      </c>
      <c r="I7387">
        <v>7</v>
      </c>
      <c r="J7387" t="s">
        <v>114</v>
      </c>
    </row>
    <row r="7388" spans="1:10" x14ac:dyDescent="0.25">
      <c r="A7388" t="s">
        <v>147</v>
      </c>
      <c r="B7388">
        <f>190793.232283145*(1/100/100)</f>
        <v>19.0793232283145</v>
      </c>
      <c r="C7388">
        <v>80107</v>
      </c>
      <c r="D7388" t="s">
        <v>1783</v>
      </c>
      <c r="E7388">
        <v>70216</v>
      </c>
      <c r="F7388" t="s">
        <v>1783</v>
      </c>
      <c r="G7388">
        <v>702</v>
      </c>
      <c r="H7388" t="s">
        <v>1</v>
      </c>
      <c r="I7388">
        <v>7</v>
      </c>
      <c r="J7388" t="s">
        <v>114</v>
      </c>
    </row>
    <row r="7389" spans="1:10" x14ac:dyDescent="0.25">
      <c r="A7389" t="s">
        <v>147</v>
      </c>
      <c r="B7389">
        <f>133259.152501841*(1/100/100)</f>
        <v>13.325915250184099</v>
      </c>
      <c r="C7389">
        <v>80108</v>
      </c>
      <c r="D7389" t="s">
        <v>1784</v>
      </c>
      <c r="E7389">
        <v>70218</v>
      </c>
      <c r="F7389" t="s">
        <v>1784</v>
      </c>
      <c r="G7389">
        <v>702</v>
      </c>
      <c r="H7389" t="s">
        <v>1</v>
      </c>
      <c r="I7389">
        <v>7</v>
      </c>
      <c r="J7389" t="s">
        <v>114</v>
      </c>
    </row>
    <row r="7390" spans="1:10" x14ac:dyDescent="0.25">
      <c r="A7390" t="s">
        <v>147</v>
      </c>
      <c r="B7390">
        <f>292892.002134612*(1/100/100)</f>
        <v>29.289200213461204</v>
      </c>
      <c r="C7390">
        <v>80109</v>
      </c>
      <c r="D7390" t="s">
        <v>1785</v>
      </c>
      <c r="E7390">
        <v>70219</v>
      </c>
      <c r="F7390" t="s">
        <v>1785</v>
      </c>
      <c r="G7390">
        <v>702</v>
      </c>
      <c r="H7390" t="s">
        <v>1</v>
      </c>
      <c r="I7390">
        <v>7</v>
      </c>
      <c r="J7390" t="s">
        <v>114</v>
      </c>
    </row>
    <row r="7391" spans="1:10" x14ac:dyDescent="0.25">
      <c r="A7391" t="s">
        <v>147</v>
      </c>
      <c r="B7391">
        <f>523269.093022893*(1/100/100)</f>
        <v>52.326909302289302</v>
      </c>
      <c r="C7391">
        <v>80110</v>
      </c>
      <c r="D7391" t="s">
        <v>1786</v>
      </c>
      <c r="E7391">
        <v>70220</v>
      </c>
      <c r="F7391" t="s">
        <v>1786</v>
      </c>
      <c r="G7391">
        <v>702</v>
      </c>
      <c r="H7391" t="s">
        <v>1</v>
      </c>
      <c r="I7391">
        <v>7</v>
      </c>
      <c r="J7391" t="s">
        <v>114</v>
      </c>
    </row>
    <row r="7392" spans="1:10" x14ac:dyDescent="0.25">
      <c r="A7392" t="s">
        <v>147</v>
      </c>
      <c r="B7392">
        <f>192074.323522242*(1/100/100)</f>
        <v>19.207432352224199</v>
      </c>
      <c r="C7392">
        <v>80111</v>
      </c>
      <c r="D7392" t="s">
        <v>1787</v>
      </c>
      <c r="E7392">
        <v>70221</v>
      </c>
      <c r="F7392" t="s">
        <v>1787</v>
      </c>
      <c r="G7392">
        <v>702</v>
      </c>
      <c r="H7392" t="s">
        <v>1</v>
      </c>
      <c r="I7392">
        <v>7</v>
      </c>
      <c r="J7392" t="s">
        <v>114</v>
      </c>
    </row>
    <row r="7393" spans="1:10" x14ac:dyDescent="0.25">
      <c r="A7393" t="s">
        <v>147</v>
      </c>
      <c r="B7393">
        <f>304318.258773729*(1/100/100)</f>
        <v>30.431825877372898</v>
      </c>
      <c r="C7393">
        <v>80112</v>
      </c>
      <c r="D7393" t="s">
        <v>1789</v>
      </c>
      <c r="E7393">
        <v>70223</v>
      </c>
      <c r="F7393" t="s">
        <v>1789</v>
      </c>
      <c r="G7393">
        <v>702</v>
      </c>
      <c r="H7393" t="s">
        <v>1</v>
      </c>
      <c r="I7393">
        <v>7</v>
      </c>
      <c r="J7393" t="s">
        <v>114</v>
      </c>
    </row>
    <row r="7394" spans="1:10" x14ac:dyDescent="0.25">
      <c r="A7394" t="s">
        <v>147</v>
      </c>
      <c r="B7394">
        <f>91324.4737351936*(1/100/100)</f>
        <v>9.1324473735193603</v>
      </c>
      <c r="C7394">
        <v>80113</v>
      </c>
      <c r="D7394" t="s">
        <v>1778</v>
      </c>
      <c r="E7394">
        <v>70211</v>
      </c>
      <c r="F7394" t="s">
        <v>1778</v>
      </c>
      <c r="G7394">
        <v>702</v>
      </c>
      <c r="H7394" t="s">
        <v>1</v>
      </c>
      <c r="I7394">
        <v>7</v>
      </c>
      <c r="J7394" t="s">
        <v>114</v>
      </c>
    </row>
    <row r="7395" spans="1:10" x14ac:dyDescent="0.25">
      <c r="A7395" t="s">
        <v>147</v>
      </c>
      <c r="B7395">
        <f>423446.336123289*(1/100/100)</f>
        <v>42.344633612328906</v>
      </c>
      <c r="C7395">
        <v>81001</v>
      </c>
      <c r="D7395" t="s">
        <v>1791</v>
      </c>
      <c r="E7395">
        <v>70301</v>
      </c>
      <c r="F7395" t="s">
        <v>1791</v>
      </c>
      <c r="G7395">
        <v>703</v>
      </c>
      <c r="H7395" t="s">
        <v>2</v>
      </c>
      <c r="I7395">
        <v>7</v>
      </c>
      <c r="J7395" t="s">
        <v>114</v>
      </c>
    </row>
    <row r="7396" spans="1:10" x14ac:dyDescent="0.25">
      <c r="A7396" t="s">
        <v>147</v>
      </c>
      <c r="B7396">
        <f>130339.923781787*(1/100/100)</f>
        <v>13.0339923781787</v>
      </c>
      <c r="C7396">
        <v>81002</v>
      </c>
      <c r="D7396" t="s">
        <v>7170</v>
      </c>
      <c r="E7396">
        <v>70303</v>
      </c>
      <c r="F7396" t="s">
        <v>1793</v>
      </c>
      <c r="G7396">
        <v>703</v>
      </c>
      <c r="H7396" t="s">
        <v>2</v>
      </c>
      <c r="I7396">
        <v>7</v>
      </c>
      <c r="J7396" t="s">
        <v>114</v>
      </c>
    </row>
    <row r="7397" spans="1:10" x14ac:dyDescent="0.25">
      <c r="A7397" t="s">
        <v>147</v>
      </c>
      <c r="B7397">
        <f>80436.7584711372*(1/100/100)</f>
        <v>8.04367584711372</v>
      </c>
      <c r="C7397">
        <v>81003</v>
      </c>
      <c r="D7397" t="s">
        <v>1795</v>
      </c>
      <c r="E7397">
        <v>70305</v>
      </c>
      <c r="F7397" t="s">
        <v>1795</v>
      </c>
      <c r="G7397">
        <v>703</v>
      </c>
      <c r="H7397" t="s">
        <v>2</v>
      </c>
      <c r="I7397">
        <v>7</v>
      </c>
      <c r="J7397" t="s">
        <v>114</v>
      </c>
    </row>
    <row r="7398" spans="1:10" x14ac:dyDescent="0.25">
      <c r="A7398" t="s">
        <v>147</v>
      </c>
      <c r="B7398">
        <f>162086.107898989*(1/100/100)</f>
        <v>16.208610789898898</v>
      </c>
      <c r="C7398">
        <v>81004</v>
      </c>
      <c r="D7398" t="s">
        <v>1799</v>
      </c>
      <c r="E7398">
        <v>70309</v>
      </c>
      <c r="F7398" t="s">
        <v>1799</v>
      </c>
      <c r="G7398">
        <v>703</v>
      </c>
      <c r="H7398" t="s">
        <v>2</v>
      </c>
      <c r="I7398">
        <v>7</v>
      </c>
      <c r="J7398" t="s">
        <v>114</v>
      </c>
    </row>
    <row r="7399" spans="1:10" x14ac:dyDescent="0.25">
      <c r="A7399" t="s">
        <v>147</v>
      </c>
      <c r="B7399">
        <f>93466.5818326409*(1/100/100)</f>
        <v>9.3466581832640916</v>
      </c>
      <c r="C7399">
        <v>81005</v>
      </c>
      <c r="D7399" t="s">
        <v>1801</v>
      </c>
      <c r="E7399">
        <v>70311</v>
      </c>
      <c r="F7399" t="s">
        <v>1801</v>
      </c>
      <c r="G7399">
        <v>703</v>
      </c>
      <c r="H7399" t="s">
        <v>2</v>
      </c>
      <c r="I7399">
        <v>7</v>
      </c>
      <c r="J7399" t="s">
        <v>114</v>
      </c>
    </row>
    <row r="7400" spans="1:10" x14ac:dyDescent="0.25">
      <c r="A7400" t="s">
        <v>147</v>
      </c>
      <c r="B7400">
        <f>64458.8384962205*(1/100/100)</f>
        <v>6.4458838496220503</v>
      </c>
      <c r="C7400">
        <v>81006</v>
      </c>
      <c r="D7400" t="s">
        <v>7184</v>
      </c>
      <c r="E7400">
        <v>70365</v>
      </c>
      <c r="F7400" t="s">
        <v>1847</v>
      </c>
      <c r="G7400">
        <v>703</v>
      </c>
      <c r="H7400" t="s">
        <v>2</v>
      </c>
      <c r="I7400">
        <v>7</v>
      </c>
      <c r="J7400" t="s">
        <v>114</v>
      </c>
    </row>
    <row r="7401" spans="1:10" x14ac:dyDescent="0.25">
      <c r="A7401" t="s">
        <v>147</v>
      </c>
      <c r="B7401">
        <f>752675.329052479*(1/100/100)</f>
        <v>75.267532905247904</v>
      </c>
      <c r="C7401">
        <v>81007</v>
      </c>
      <c r="D7401" t="s">
        <v>7176</v>
      </c>
      <c r="E7401">
        <v>70354</v>
      </c>
      <c r="F7401" t="s">
        <v>1837</v>
      </c>
      <c r="G7401">
        <v>703</v>
      </c>
      <c r="H7401" t="s">
        <v>2</v>
      </c>
      <c r="I7401">
        <v>7</v>
      </c>
      <c r="J7401" t="s">
        <v>114</v>
      </c>
    </row>
    <row r="7402" spans="1:10" x14ac:dyDescent="0.25">
      <c r="A7402" t="s">
        <v>147</v>
      </c>
      <c r="B7402">
        <f>33445.8087590144*(1/100/100)</f>
        <v>3.3445808759014399</v>
      </c>
      <c r="C7402">
        <v>81008</v>
      </c>
      <c r="D7402" t="s">
        <v>7177</v>
      </c>
      <c r="E7402">
        <v>70354</v>
      </c>
      <c r="F7402" t="s">
        <v>1837</v>
      </c>
      <c r="G7402">
        <v>703</v>
      </c>
      <c r="H7402" t="s">
        <v>2</v>
      </c>
      <c r="I7402">
        <v>7</v>
      </c>
      <c r="J7402" t="s">
        <v>114</v>
      </c>
    </row>
    <row r="7403" spans="1:10" x14ac:dyDescent="0.25">
      <c r="A7403" t="s">
        <v>147</v>
      </c>
      <c r="B7403">
        <f>27999.8401407236*(1/100/100)</f>
        <v>2.7999840140723604</v>
      </c>
      <c r="C7403">
        <v>81009</v>
      </c>
      <c r="D7403" t="s">
        <v>7185</v>
      </c>
      <c r="E7403">
        <v>70365</v>
      </c>
      <c r="F7403" t="s">
        <v>1847</v>
      </c>
      <c r="G7403">
        <v>703</v>
      </c>
      <c r="H7403" t="s">
        <v>2</v>
      </c>
      <c r="I7403">
        <v>7</v>
      </c>
      <c r="J7403" t="s">
        <v>114</v>
      </c>
    </row>
    <row r="7404" spans="1:10" x14ac:dyDescent="0.25">
      <c r="A7404" t="s">
        <v>147</v>
      </c>
      <c r="B7404">
        <f>120857.190109537*(1/100/100)</f>
        <v>12.085719010953701</v>
      </c>
      <c r="C7404">
        <v>81010</v>
      </c>
      <c r="D7404" t="s">
        <v>1810</v>
      </c>
      <c r="E7404">
        <v>70322</v>
      </c>
      <c r="F7404" t="s">
        <v>1810</v>
      </c>
      <c r="G7404">
        <v>703</v>
      </c>
      <c r="H7404" t="s">
        <v>2</v>
      </c>
      <c r="I7404">
        <v>7</v>
      </c>
      <c r="J7404" t="s">
        <v>114</v>
      </c>
    </row>
    <row r="7405" spans="1:10" x14ac:dyDescent="0.25">
      <c r="A7405" t="s">
        <v>147</v>
      </c>
      <c r="B7405">
        <f>95469.8310452841*(1/100/100)</f>
        <v>9.5469831045284099</v>
      </c>
      <c r="C7405">
        <v>81011</v>
      </c>
      <c r="D7405" t="s">
        <v>7171</v>
      </c>
      <c r="E7405">
        <v>70323</v>
      </c>
      <c r="F7405" t="s">
        <v>1811</v>
      </c>
      <c r="G7405">
        <v>703</v>
      </c>
      <c r="H7405" t="s">
        <v>2</v>
      </c>
      <c r="I7405">
        <v>7</v>
      </c>
      <c r="J7405" t="s">
        <v>114</v>
      </c>
    </row>
    <row r="7406" spans="1:10" x14ac:dyDescent="0.25">
      <c r="A7406" t="s">
        <v>147</v>
      </c>
      <c r="B7406">
        <f>342920.506860663*(1/100/100)</f>
        <v>34.292050686066304</v>
      </c>
      <c r="C7406">
        <v>81012</v>
      </c>
      <c r="D7406" t="s">
        <v>1815</v>
      </c>
      <c r="E7406">
        <v>70329</v>
      </c>
      <c r="F7406" t="s">
        <v>1815</v>
      </c>
      <c r="G7406">
        <v>703</v>
      </c>
      <c r="H7406" t="s">
        <v>2</v>
      </c>
      <c r="I7406">
        <v>7</v>
      </c>
      <c r="J7406" t="s">
        <v>114</v>
      </c>
    </row>
    <row r="7407" spans="1:10" x14ac:dyDescent="0.25">
      <c r="A7407" t="s">
        <v>147</v>
      </c>
      <c r="B7407">
        <f>122478.59633804*(1/100/100)</f>
        <v>12.247859633804001</v>
      </c>
      <c r="C7407">
        <v>81013</v>
      </c>
      <c r="D7407" t="s">
        <v>1829</v>
      </c>
      <c r="E7407">
        <v>70345</v>
      </c>
      <c r="F7407" t="s">
        <v>1829</v>
      </c>
      <c r="G7407">
        <v>703</v>
      </c>
      <c r="H7407" t="s">
        <v>2</v>
      </c>
      <c r="I7407">
        <v>7</v>
      </c>
      <c r="J7407" t="s">
        <v>114</v>
      </c>
    </row>
    <row r="7408" spans="1:10" x14ac:dyDescent="0.25">
      <c r="A7408" t="s">
        <v>147</v>
      </c>
      <c r="B7408">
        <f>446085.685932589*(1/100/100)</f>
        <v>44.608568593258902</v>
      </c>
      <c r="C7408">
        <v>81014</v>
      </c>
      <c r="D7408" t="s">
        <v>1830</v>
      </c>
      <c r="E7408">
        <v>70346</v>
      </c>
      <c r="F7408" t="s">
        <v>1830</v>
      </c>
      <c r="G7408">
        <v>703</v>
      </c>
      <c r="H7408" t="s">
        <v>2</v>
      </c>
      <c r="I7408">
        <v>7</v>
      </c>
      <c r="J7408" t="s">
        <v>114</v>
      </c>
    </row>
    <row r="7409" spans="1:10" x14ac:dyDescent="0.25">
      <c r="A7409" t="s">
        <v>147</v>
      </c>
      <c r="B7409">
        <f>325139.866529584*(1/100/100)</f>
        <v>32.513986652958401</v>
      </c>
      <c r="C7409">
        <v>81015</v>
      </c>
      <c r="D7409" t="s">
        <v>7181</v>
      </c>
      <c r="E7409">
        <v>70358</v>
      </c>
      <c r="F7409" t="s">
        <v>1841</v>
      </c>
      <c r="G7409">
        <v>703</v>
      </c>
      <c r="H7409" t="s">
        <v>2</v>
      </c>
      <c r="I7409">
        <v>7</v>
      </c>
      <c r="J7409" t="s">
        <v>114</v>
      </c>
    </row>
    <row r="7410" spans="1:10" x14ac:dyDescent="0.25">
      <c r="A7410" t="s">
        <v>147</v>
      </c>
      <c r="B7410">
        <f>148036.498492931*(1/100/100)</f>
        <v>14.8036498492931</v>
      </c>
      <c r="C7410">
        <v>81016</v>
      </c>
      <c r="D7410" t="s">
        <v>1843</v>
      </c>
      <c r="E7410">
        <v>70360</v>
      </c>
      <c r="F7410" t="s">
        <v>1843</v>
      </c>
      <c r="G7410">
        <v>703</v>
      </c>
      <c r="H7410" t="s">
        <v>2</v>
      </c>
      <c r="I7410">
        <v>7</v>
      </c>
      <c r="J7410" t="s">
        <v>114</v>
      </c>
    </row>
    <row r="7411" spans="1:10" x14ac:dyDescent="0.25">
      <c r="A7411" t="s">
        <v>147</v>
      </c>
      <c r="B7411">
        <f>201173.776333628*(1/100/100)</f>
        <v>20.1173776333628</v>
      </c>
      <c r="C7411">
        <v>81017</v>
      </c>
      <c r="D7411" t="s">
        <v>1847</v>
      </c>
      <c r="E7411">
        <v>70365</v>
      </c>
      <c r="F7411" t="s">
        <v>1847</v>
      </c>
      <c r="G7411">
        <v>703</v>
      </c>
      <c r="H7411" t="s">
        <v>2</v>
      </c>
      <c r="I7411">
        <v>7</v>
      </c>
      <c r="J7411" t="s">
        <v>114</v>
      </c>
    </row>
    <row r="7412" spans="1:10" x14ac:dyDescent="0.25">
      <c r="A7412" t="s">
        <v>147</v>
      </c>
      <c r="B7412">
        <f>21977.8733295455*(1/100/100)</f>
        <v>2.1977873329545501</v>
      </c>
      <c r="C7412">
        <v>81018</v>
      </c>
      <c r="D7412" t="s">
        <v>7186</v>
      </c>
      <c r="E7412">
        <v>70367</v>
      </c>
      <c r="F7412" t="s">
        <v>1849</v>
      </c>
      <c r="G7412">
        <v>703</v>
      </c>
      <c r="H7412" t="s">
        <v>2</v>
      </c>
      <c r="I7412">
        <v>7</v>
      </c>
      <c r="J7412" t="s">
        <v>114</v>
      </c>
    </row>
    <row r="7413" spans="1:10" x14ac:dyDescent="0.25">
      <c r="A7413" t="s">
        <v>147</v>
      </c>
      <c r="B7413">
        <f>112979.115011619*(1/100/100)</f>
        <v>11.2979115011619</v>
      </c>
      <c r="C7413">
        <v>81019</v>
      </c>
      <c r="D7413" t="s">
        <v>1848</v>
      </c>
      <c r="E7413">
        <v>70366</v>
      </c>
      <c r="F7413" t="s">
        <v>1848</v>
      </c>
      <c r="G7413">
        <v>703</v>
      </c>
      <c r="H7413" t="s">
        <v>2</v>
      </c>
      <c r="I7413">
        <v>7</v>
      </c>
      <c r="J7413" t="s">
        <v>114</v>
      </c>
    </row>
    <row r="7414" spans="1:10" x14ac:dyDescent="0.25">
      <c r="A7414" t="s">
        <v>147</v>
      </c>
      <c r="B7414">
        <f>526307.260245629*(1/100/100)</f>
        <v>52.630726024562904</v>
      </c>
      <c r="C7414">
        <v>81020</v>
      </c>
      <c r="D7414" t="s">
        <v>1849</v>
      </c>
      <c r="E7414">
        <v>70367</v>
      </c>
      <c r="F7414" t="s">
        <v>1849</v>
      </c>
      <c r="G7414">
        <v>703</v>
      </c>
      <c r="H7414" t="s">
        <v>2</v>
      </c>
      <c r="I7414">
        <v>7</v>
      </c>
      <c r="J7414" t="s">
        <v>114</v>
      </c>
    </row>
    <row r="7415" spans="1:10" x14ac:dyDescent="0.25">
      <c r="A7415" t="s">
        <v>147</v>
      </c>
      <c r="B7415">
        <f>111861.578822289*(1/100/100)</f>
        <v>11.186157882228899</v>
      </c>
      <c r="C7415">
        <v>81021</v>
      </c>
      <c r="D7415" t="s">
        <v>7178</v>
      </c>
      <c r="E7415">
        <v>70354</v>
      </c>
      <c r="F7415" t="s">
        <v>1837</v>
      </c>
      <c r="G7415">
        <v>703</v>
      </c>
      <c r="H7415" t="s">
        <v>2</v>
      </c>
      <c r="I7415">
        <v>7</v>
      </c>
      <c r="J7415" t="s">
        <v>114</v>
      </c>
    </row>
    <row r="7416" spans="1:10" x14ac:dyDescent="0.25">
      <c r="A7416" t="s">
        <v>147</v>
      </c>
      <c r="B7416">
        <f>1198.28305692852*(1/100/100)</f>
        <v>0.11982830569285201</v>
      </c>
      <c r="C7416">
        <v>81022</v>
      </c>
      <c r="D7416" t="s">
        <v>7182</v>
      </c>
      <c r="E7416">
        <v>70358</v>
      </c>
      <c r="F7416" t="s">
        <v>1841</v>
      </c>
      <c r="G7416">
        <v>703</v>
      </c>
      <c r="H7416" t="s">
        <v>2</v>
      </c>
      <c r="I7416">
        <v>7</v>
      </c>
      <c r="J7416" t="s">
        <v>114</v>
      </c>
    </row>
    <row r="7417" spans="1:10" x14ac:dyDescent="0.25">
      <c r="A7417" t="s">
        <v>147</v>
      </c>
      <c r="B7417">
        <f>169800.711624358*(1/100/100)</f>
        <v>16.980071162435799</v>
      </c>
      <c r="C7417">
        <v>81101</v>
      </c>
      <c r="D7417" t="s">
        <v>1792</v>
      </c>
      <c r="E7417">
        <v>70302</v>
      </c>
      <c r="F7417" t="s">
        <v>1792</v>
      </c>
      <c r="G7417">
        <v>703</v>
      </c>
      <c r="H7417" t="s">
        <v>2</v>
      </c>
      <c r="I7417">
        <v>7</v>
      </c>
      <c r="J7417" t="s">
        <v>114</v>
      </c>
    </row>
    <row r="7418" spans="1:10" x14ac:dyDescent="0.25">
      <c r="A7418" t="s">
        <v>147</v>
      </c>
      <c r="B7418">
        <f>544407.694567817*(1/100/100)</f>
        <v>54.440769456781709</v>
      </c>
      <c r="C7418">
        <v>81102</v>
      </c>
      <c r="D7418" t="s">
        <v>7159</v>
      </c>
      <c r="E7418">
        <v>70101</v>
      </c>
      <c r="F7418" t="s">
        <v>1768</v>
      </c>
      <c r="G7418">
        <v>701</v>
      </c>
      <c r="H7418" t="s">
        <v>3</v>
      </c>
      <c r="I7418">
        <v>7</v>
      </c>
      <c r="J7418" t="s">
        <v>114</v>
      </c>
    </row>
    <row r="7419" spans="1:10" x14ac:dyDescent="0.25">
      <c r="A7419" t="s">
        <v>147</v>
      </c>
      <c r="B7419">
        <f>327337.558604249*(1/100/100)</f>
        <v>32.7337558604249</v>
      </c>
      <c r="C7419">
        <v>81103</v>
      </c>
      <c r="D7419" t="s">
        <v>7160</v>
      </c>
      <c r="E7419">
        <v>70101</v>
      </c>
      <c r="F7419" t="s">
        <v>1768</v>
      </c>
      <c r="G7419">
        <v>701</v>
      </c>
      <c r="H7419" t="s">
        <v>3</v>
      </c>
      <c r="I7419">
        <v>7</v>
      </c>
      <c r="J7419" t="s">
        <v>114</v>
      </c>
    </row>
    <row r="7420" spans="1:10" x14ac:dyDescent="0.25">
      <c r="A7420" t="s">
        <v>147</v>
      </c>
      <c r="B7420">
        <f>357224.777594932*(1/100/100)</f>
        <v>35.722477759493202</v>
      </c>
      <c r="C7420">
        <v>81104</v>
      </c>
      <c r="D7420" t="s">
        <v>1794</v>
      </c>
      <c r="E7420">
        <v>70304</v>
      </c>
      <c r="F7420" t="s">
        <v>1794</v>
      </c>
      <c r="G7420">
        <v>703</v>
      </c>
      <c r="H7420" t="s">
        <v>2</v>
      </c>
      <c r="I7420">
        <v>7</v>
      </c>
      <c r="J7420" t="s">
        <v>114</v>
      </c>
    </row>
    <row r="7421" spans="1:10" x14ac:dyDescent="0.25">
      <c r="A7421" t="s">
        <v>147</v>
      </c>
      <c r="B7421">
        <f>89780.0001562801*(1/100/100)</f>
        <v>8.9780000156280106</v>
      </c>
      <c r="C7421">
        <v>81105</v>
      </c>
      <c r="D7421" t="s">
        <v>1796</v>
      </c>
      <c r="E7421">
        <v>70306</v>
      </c>
      <c r="F7421" t="s">
        <v>1796</v>
      </c>
      <c r="G7421">
        <v>703</v>
      </c>
      <c r="H7421" t="s">
        <v>2</v>
      </c>
      <c r="I7421">
        <v>7</v>
      </c>
      <c r="J7421" t="s">
        <v>114</v>
      </c>
    </row>
    <row r="7422" spans="1:10" x14ac:dyDescent="0.25">
      <c r="A7422" t="s">
        <v>147</v>
      </c>
      <c r="B7422">
        <f>94534.3092366507*(1/100/100)</f>
        <v>9.4534309236650707</v>
      </c>
      <c r="C7422">
        <v>81106</v>
      </c>
      <c r="D7422" t="s">
        <v>1797</v>
      </c>
      <c r="E7422">
        <v>70307</v>
      </c>
      <c r="F7422" t="s">
        <v>1797</v>
      </c>
      <c r="G7422">
        <v>703</v>
      </c>
      <c r="H7422" t="s">
        <v>2</v>
      </c>
      <c r="I7422">
        <v>7</v>
      </c>
      <c r="J7422" t="s">
        <v>114</v>
      </c>
    </row>
    <row r="7423" spans="1:10" x14ac:dyDescent="0.25">
      <c r="A7423" t="s">
        <v>147</v>
      </c>
      <c r="B7423">
        <f>320826.358059077*(1/100/100)</f>
        <v>32.082635805907699</v>
      </c>
      <c r="C7423">
        <v>81107</v>
      </c>
      <c r="D7423" t="s">
        <v>1800</v>
      </c>
      <c r="E7423">
        <v>70310</v>
      </c>
      <c r="F7423" t="s">
        <v>1800</v>
      </c>
      <c r="G7423">
        <v>703</v>
      </c>
      <c r="H7423" t="s">
        <v>2</v>
      </c>
      <c r="I7423">
        <v>7</v>
      </c>
      <c r="J7423" t="s">
        <v>114</v>
      </c>
    </row>
    <row r="7424" spans="1:10" x14ac:dyDescent="0.25">
      <c r="A7424" t="s">
        <v>147</v>
      </c>
      <c r="B7424">
        <f>241689.836536048*(1/100/100)</f>
        <v>24.168983653604801</v>
      </c>
      <c r="C7424">
        <v>81108</v>
      </c>
      <c r="D7424" t="s">
        <v>1802</v>
      </c>
      <c r="E7424">
        <v>70312</v>
      </c>
      <c r="F7424" t="s">
        <v>1802</v>
      </c>
      <c r="G7424">
        <v>703</v>
      </c>
      <c r="H7424" t="s">
        <v>2</v>
      </c>
      <c r="I7424">
        <v>7</v>
      </c>
      <c r="J7424" t="s">
        <v>114</v>
      </c>
    </row>
    <row r="7425" spans="1:10" x14ac:dyDescent="0.25">
      <c r="A7425" t="s">
        <v>147</v>
      </c>
      <c r="B7425">
        <f>63647.5870165844*(1/100/100)</f>
        <v>6.3647587016584408</v>
      </c>
      <c r="C7425">
        <v>81109</v>
      </c>
      <c r="D7425" t="s">
        <v>1804</v>
      </c>
      <c r="E7425">
        <v>70314</v>
      </c>
      <c r="F7425" t="s">
        <v>1804</v>
      </c>
      <c r="G7425">
        <v>703</v>
      </c>
      <c r="H7425" t="s">
        <v>2</v>
      </c>
      <c r="I7425">
        <v>7</v>
      </c>
      <c r="J7425" t="s">
        <v>114</v>
      </c>
    </row>
    <row r="7426" spans="1:10" x14ac:dyDescent="0.25">
      <c r="A7426" t="s">
        <v>147</v>
      </c>
      <c r="B7426">
        <f>104413.254837482*(1/100/100)</f>
        <v>10.441325483748201</v>
      </c>
      <c r="C7426">
        <v>81110</v>
      </c>
      <c r="D7426" t="s">
        <v>1805</v>
      </c>
      <c r="E7426">
        <v>70315</v>
      </c>
      <c r="F7426" t="s">
        <v>1805</v>
      </c>
      <c r="G7426">
        <v>703</v>
      </c>
      <c r="H7426" t="s">
        <v>2</v>
      </c>
      <c r="I7426">
        <v>7</v>
      </c>
      <c r="J7426" t="s">
        <v>114</v>
      </c>
    </row>
    <row r="7427" spans="1:10" x14ac:dyDescent="0.25">
      <c r="A7427" t="s">
        <v>147</v>
      </c>
      <c r="B7427">
        <f>1157191.82434003*(1/100/100)</f>
        <v>115.71918243400302</v>
      </c>
      <c r="C7427">
        <v>81111</v>
      </c>
      <c r="D7427" t="s">
        <v>7161</v>
      </c>
      <c r="E7427">
        <v>70101</v>
      </c>
      <c r="F7427" t="s">
        <v>1768</v>
      </c>
      <c r="G7427">
        <v>701</v>
      </c>
      <c r="H7427" t="s">
        <v>3</v>
      </c>
      <c r="I7427">
        <v>7</v>
      </c>
      <c r="J7427" t="s">
        <v>114</v>
      </c>
    </row>
    <row r="7428" spans="1:10" x14ac:dyDescent="0.25">
      <c r="A7428" t="s">
        <v>147</v>
      </c>
      <c r="B7428">
        <f>133365.636396858*(1/100/100)</f>
        <v>13.336563639685801</v>
      </c>
      <c r="C7428">
        <v>81112</v>
      </c>
      <c r="D7428" t="s">
        <v>7162</v>
      </c>
      <c r="E7428">
        <v>70101</v>
      </c>
      <c r="F7428" t="s">
        <v>1768</v>
      </c>
      <c r="G7428">
        <v>701</v>
      </c>
      <c r="H7428" t="s">
        <v>3</v>
      </c>
      <c r="I7428">
        <v>7</v>
      </c>
      <c r="J7428" t="s">
        <v>114</v>
      </c>
    </row>
    <row r="7429" spans="1:10" x14ac:dyDescent="0.25">
      <c r="A7429" t="s">
        <v>147</v>
      </c>
      <c r="B7429">
        <f>829656.572320711*(1/100/100)</f>
        <v>82.965657232071109</v>
      </c>
      <c r="C7429">
        <v>81113</v>
      </c>
      <c r="D7429" t="s">
        <v>1768</v>
      </c>
      <c r="E7429">
        <v>70101</v>
      </c>
      <c r="F7429" t="s">
        <v>1768</v>
      </c>
      <c r="G7429">
        <v>701</v>
      </c>
      <c r="H7429" t="s">
        <v>3</v>
      </c>
      <c r="I7429">
        <v>7</v>
      </c>
      <c r="J7429" t="s">
        <v>114</v>
      </c>
    </row>
    <row r="7430" spans="1:10" x14ac:dyDescent="0.25">
      <c r="A7430" t="s">
        <v>147</v>
      </c>
      <c r="B7430">
        <f>16104.1624027*(1/100/100)</f>
        <v>1.61041624027</v>
      </c>
      <c r="C7430">
        <v>81114</v>
      </c>
      <c r="D7430" t="s">
        <v>7172</v>
      </c>
      <c r="E7430">
        <v>70331</v>
      </c>
      <c r="F7430" t="s">
        <v>1816</v>
      </c>
      <c r="G7430">
        <v>703</v>
      </c>
      <c r="H7430" t="s">
        <v>2</v>
      </c>
      <c r="I7430">
        <v>7</v>
      </c>
      <c r="J7430" t="s">
        <v>114</v>
      </c>
    </row>
    <row r="7431" spans="1:10" x14ac:dyDescent="0.25">
      <c r="A7431" t="s">
        <v>147</v>
      </c>
      <c r="B7431">
        <f>243245.190473143*(1/100/100)</f>
        <v>24.324519047314304</v>
      </c>
      <c r="C7431">
        <v>81115</v>
      </c>
      <c r="D7431" t="s">
        <v>3015</v>
      </c>
      <c r="E7431">
        <v>70320</v>
      </c>
      <c r="F7431" t="s">
        <v>1809</v>
      </c>
      <c r="G7431">
        <v>703</v>
      </c>
      <c r="H7431" t="s">
        <v>2</v>
      </c>
      <c r="I7431">
        <v>7</v>
      </c>
      <c r="J7431" t="s">
        <v>114</v>
      </c>
    </row>
    <row r="7432" spans="1:10" x14ac:dyDescent="0.25">
      <c r="A7432" t="s">
        <v>147</v>
      </c>
      <c r="B7432">
        <f>90471.7589470667*(1/100/100)</f>
        <v>9.0471758947066707</v>
      </c>
      <c r="C7432">
        <v>81116</v>
      </c>
      <c r="D7432" t="s">
        <v>1812</v>
      </c>
      <c r="E7432">
        <v>70325</v>
      </c>
      <c r="F7432" t="s">
        <v>1812</v>
      </c>
      <c r="G7432">
        <v>703</v>
      </c>
      <c r="H7432" t="s">
        <v>2</v>
      </c>
      <c r="I7432">
        <v>7</v>
      </c>
      <c r="J7432" t="s">
        <v>114</v>
      </c>
    </row>
    <row r="7433" spans="1:10" x14ac:dyDescent="0.25">
      <c r="A7433" t="s">
        <v>147</v>
      </c>
      <c r="B7433">
        <f>23423.3459619041*(1/100/100)</f>
        <v>2.3423345961904101</v>
      </c>
      <c r="C7433">
        <v>81117</v>
      </c>
      <c r="D7433" t="s">
        <v>5240</v>
      </c>
      <c r="E7433">
        <v>70344</v>
      </c>
      <c r="F7433" t="s">
        <v>1828</v>
      </c>
      <c r="G7433">
        <v>703</v>
      </c>
      <c r="H7433" t="s">
        <v>2</v>
      </c>
      <c r="I7433">
        <v>7</v>
      </c>
      <c r="J7433" t="s">
        <v>114</v>
      </c>
    </row>
    <row r="7434" spans="1:10" x14ac:dyDescent="0.25">
      <c r="A7434" t="s">
        <v>147</v>
      </c>
      <c r="B7434">
        <f>340268.634856*(1/100/100)</f>
        <v>34.026863485600003</v>
      </c>
      <c r="C7434">
        <v>81118</v>
      </c>
      <c r="D7434" t="s">
        <v>1813</v>
      </c>
      <c r="E7434">
        <v>70326</v>
      </c>
      <c r="F7434" t="s">
        <v>1813</v>
      </c>
      <c r="G7434">
        <v>703</v>
      </c>
      <c r="H7434" t="s">
        <v>2</v>
      </c>
      <c r="I7434">
        <v>7</v>
      </c>
      <c r="J7434" t="s">
        <v>114</v>
      </c>
    </row>
    <row r="7435" spans="1:10" x14ac:dyDescent="0.25">
      <c r="A7435" t="s">
        <v>147</v>
      </c>
      <c r="B7435">
        <f>153176.191926704*(1/100/100)</f>
        <v>15.317619192670399</v>
      </c>
      <c r="C7435">
        <v>81119</v>
      </c>
      <c r="D7435" t="s">
        <v>1814</v>
      </c>
      <c r="E7435">
        <v>70328</v>
      </c>
      <c r="F7435" t="s">
        <v>1814</v>
      </c>
      <c r="G7435">
        <v>703</v>
      </c>
      <c r="H7435" t="s">
        <v>2</v>
      </c>
      <c r="I7435">
        <v>7</v>
      </c>
      <c r="J7435" t="s">
        <v>114</v>
      </c>
    </row>
    <row r="7436" spans="1:10" x14ac:dyDescent="0.25">
      <c r="A7436" t="s">
        <v>147</v>
      </c>
      <c r="B7436">
        <f>155610.183941284*(1/100/100)</f>
        <v>15.5610183941284</v>
      </c>
      <c r="C7436">
        <v>81120</v>
      </c>
      <c r="D7436" t="s">
        <v>1816</v>
      </c>
      <c r="E7436">
        <v>70331</v>
      </c>
      <c r="F7436" t="s">
        <v>1816</v>
      </c>
      <c r="G7436">
        <v>703</v>
      </c>
      <c r="H7436" t="s">
        <v>2</v>
      </c>
      <c r="I7436">
        <v>7</v>
      </c>
      <c r="J7436" t="s">
        <v>114</v>
      </c>
    </row>
    <row r="7437" spans="1:10" x14ac:dyDescent="0.25">
      <c r="A7437" t="s">
        <v>147</v>
      </c>
      <c r="B7437">
        <f>229292.557113744*(1/100/100)</f>
        <v>22.929255711374402</v>
      </c>
      <c r="C7437">
        <v>81121</v>
      </c>
      <c r="D7437" t="s">
        <v>7163</v>
      </c>
      <c r="E7437">
        <v>70101</v>
      </c>
      <c r="F7437" t="s">
        <v>1768</v>
      </c>
      <c r="G7437">
        <v>701</v>
      </c>
      <c r="H7437" t="s">
        <v>3</v>
      </c>
      <c r="I7437">
        <v>7</v>
      </c>
      <c r="J7437" t="s">
        <v>114</v>
      </c>
    </row>
    <row r="7438" spans="1:10" x14ac:dyDescent="0.25">
      <c r="A7438" t="s">
        <v>147</v>
      </c>
      <c r="B7438">
        <f>144038.596684544*(1/100/100)</f>
        <v>14.4038596684544</v>
      </c>
      <c r="C7438">
        <v>81122</v>
      </c>
      <c r="D7438" t="s">
        <v>1817</v>
      </c>
      <c r="E7438">
        <v>70332</v>
      </c>
      <c r="F7438" t="s">
        <v>1817</v>
      </c>
      <c r="G7438">
        <v>703</v>
      </c>
      <c r="H7438" t="s">
        <v>2</v>
      </c>
      <c r="I7438">
        <v>7</v>
      </c>
      <c r="J7438" t="s">
        <v>114</v>
      </c>
    </row>
    <row r="7439" spans="1:10" x14ac:dyDescent="0.25">
      <c r="A7439" t="s">
        <v>147</v>
      </c>
      <c r="B7439">
        <f>455016.697331393*(1/100/100)</f>
        <v>45.501669733139302</v>
      </c>
      <c r="C7439">
        <v>81123</v>
      </c>
      <c r="D7439" t="s">
        <v>5044</v>
      </c>
      <c r="E7439">
        <v>70334</v>
      </c>
      <c r="F7439" t="s">
        <v>1819</v>
      </c>
      <c r="G7439">
        <v>703</v>
      </c>
      <c r="H7439" t="s">
        <v>2</v>
      </c>
      <c r="I7439">
        <v>7</v>
      </c>
      <c r="J7439" t="s">
        <v>114</v>
      </c>
    </row>
    <row r="7440" spans="1:10" x14ac:dyDescent="0.25">
      <c r="A7440" t="s">
        <v>147</v>
      </c>
      <c r="B7440">
        <f>86318.7240191828*(1/100/100)</f>
        <v>8.6318724019182813</v>
      </c>
      <c r="C7440">
        <v>81124</v>
      </c>
      <c r="D7440" t="s">
        <v>1823</v>
      </c>
      <c r="E7440">
        <v>70338</v>
      </c>
      <c r="F7440" t="s">
        <v>1823</v>
      </c>
      <c r="G7440">
        <v>703</v>
      </c>
      <c r="H7440" t="s">
        <v>2</v>
      </c>
      <c r="I7440">
        <v>7</v>
      </c>
      <c r="J7440" t="s">
        <v>114</v>
      </c>
    </row>
    <row r="7441" spans="1:10" x14ac:dyDescent="0.25">
      <c r="A7441" t="s">
        <v>147</v>
      </c>
      <c r="B7441">
        <f>602883.798933786*(1/100/100)</f>
        <v>60.288379893378604</v>
      </c>
      <c r="C7441">
        <v>81125</v>
      </c>
      <c r="D7441" t="s">
        <v>7164</v>
      </c>
      <c r="E7441">
        <v>70101</v>
      </c>
      <c r="F7441" t="s">
        <v>1768</v>
      </c>
      <c r="G7441">
        <v>701</v>
      </c>
      <c r="H7441" t="s">
        <v>3</v>
      </c>
      <c r="I7441">
        <v>7</v>
      </c>
      <c r="J7441" t="s">
        <v>114</v>
      </c>
    </row>
    <row r="7442" spans="1:10" x14ac:dyDescent="0.25">
      <c r="A7442" t="s">
        <v>147</v>
      </c>
      <c r="B7442">
        <f>111810.421190821*(1/100/100)</f>
        <v>11.1810421190821</v>
      </c>
      <c r="C7442">
        <v>81126</v>
      </c>
      <c r="D7442" t="s">
        <v>4125</v>
      </c>
      <c r="E7442">
        <v>70344</v>
      </c>
      <c r="F7442" t="s">
        <v>1828</v>
      </c>
      <c r="G7442">
        <v>703</v>
      </c>
      <c r="H7442" t="s">
        <v>2</v>
      </c>
      <c r="I7442">
        <v>7</v>
      </c>
      <c r="J7442" t="s">
        <v>114</v>
      </c>
    </row>
    <row r="7443" spans="1:10" x14ac:dyDescent="0.25">
      <c r="A7443" t="s">
        <v>147</v>
      </c>
      <c r="B7443">
        <f>138097.179278073*(1/100/100)</f>
        <v>13.8097179278073</v>
      </c>
      <c r="C7443">
        <v>81127</v>
      </c>
      <c r="D7443" t="s">
        <v>1831</v>
      </c>
      <c r="E7443">
        <v>70348</v>
      </c>
      <c r="F7443" t="s">
        <v>1831</v>
      </c>
      <c r="G7443">
        <v>703</v>
      </c>
      <c r="H7443" t="s">
        <v>2</v>
      </c>
      <c r="I7443">
        <v>7</v>
      </c>
      <c r="J7443" t="s">
        <v>114</v>
      </c>
    </row>
    <row r="7444" spans="1:10" x14ac:dyDescent="0.25">
      <c r="A7444" t="s">
        <v>147</v>
      </c>
      <c r="B7444">
        <f>90741.8055664957*(1/100/100)</f>
        <v>9.074180556649571</v>
      </c>
      <c r="C7444">
        <v>81128</v>
      </c>
      <c r="D7444" t="s">
        <v>2778</v>
      </c>
      <c r="E7444">
        <v>70350</v>
      </c>
      <c r="F7444" t="s">
        <v>1833</v>
      </c>
      <c r="G7444">
        <v>703</v>
      </c>
      <c r="H7444" t="s">
        <v>2</v>
      </c>
      <c r="I7444">
        <v>7</v>
      </c>
      <c r="J7444" t="s">
        <v>114</v>
      </c>
    </row>
    <row r="7445" spans="1:10" x14ac:dyDescent="0.25">
      <c r="A7445" t="s">
        <v>147</v>
      </c>
      <c r="B7445">
        <f>32205.2343307645*(1/100/100)</f>
        <v>3.2205234330764498</v>
      </c>
      <c r="C7445">
        <v>81129</v>
      </c>
      <c r="D7445" t="s">
        <v>7174</v>
      </c>
      <c r="E7445">
        <v>70347</v>
      </c>
      <c r="F7445" t="s">
        <v>7175</v>
      </c>
      <c r="G7445">
        <v>703</v>
      </c>
      <c r="H7445" t="s">
        <v>2</v>
      </c>
      <c r="I7445">
        <v>7</v>
      </c>
      <c r="J7445" t="s">
        <v>114</v>
      </c>
    </row>
    <row r="7446" spans="1:10" x14ac:dyDescent="0.25">
      <c r="A7446" t="s">
        <v>147</v>
      </c>
      <c r="B7446">
        <f>126615.043007497*(1/100/100)</f>
        <v>12.661504300749701</v>
      </c>
      <c r="C7446">
        <v>81130</v>
      </c>
      <c r="D7446" t="s">
        <v>1835</v>
      </c>
      <c r="E7446">
        <v>70352</v>
      </c>
      <c r="F7446" t="s">
        <v>1835</v>
      </c>
      <c r="G7446">
        <v>703</v>
      </c>
      <c r="H7446" t="s">
        <v>2</v>
      </c>
      <c r="I7446">
        <v>7</v>
      </c>
      <c r="J7446" t="s">
        <v>114</v>
      </c>
    </row>
    <row r="7447" spans="1:10" x14ac:dyDescent="0.25">
      <c r="A7447" t="s">
        <v>147</v>
      </c>
      <c r="B7447">
        <f>348362.895642119*(1/100/100)</f>
        <v>34.836289564211903</v>
      </c>
      <c r="C7447">
        <v>81131</v>
      </c>
      <c r="D7447" t="s">
        <v>3444</v>
      </c>
      <c r="E7447">
        <v>70351</v>
      </c>
      <c r="F7447" t="s">
        <v>1834</v>
      </c>
      <c r="G7447">
        <v>703</v>
      </c>
      <c r="H7447" t="s">
        <v>2</v>
      </c>
      <c r="I7447">
        <v>7</v>
      </c>
      <c r="J7447" t="s">
        <v>114</v>
      </c>
    </row>
    <row r="7448" spans="1:10" x14ac:dyDescent="0.25">
      <c r="A7448" t="s">
        <v>147</v>
      </c>
      <c r="B7448">
        <f>133287.729044755*(1/100/100)</f>
        <v>13.3287729044755</v>
      </c>
      <c r="C7448">
        <v>81132</v>
      </c>
      <c r="D7448" t="s">
        <v>1836</v>
      </c>
      <c r="E7448">
        <v>70353</v>
      </c>
      <c r="F7448" t="s">
        <v>1836</v>
      </c>
      <c r="G7448">
        <v>703</v>
      </c>
      <c r="H7448" t="s">
        <v>2</v>
      </c>
      <c r="I7448">
        <v>7</v>
      </c>
      <c r="J7448" t="s">
        <v>114</v>
      </c>
    </row>
    <row r="7449" spans="1:10" x14ac:dyDescent="0.25">
      <c r="A7449" t="s">
        <v>147</v>
      </c>
      <c r="B7449">
        <f>125541.400777493*(1/100/100)</f>
        <v>12.554140077749301</v>
      </c>
      <c r="C7449">
        <v>81133</v>
      </c>
      <c r="D7449" t="s">
        <v>7180</v>
      </c>
      <c r="E7449">
        <v>70356</v>
      </c>
      <c r="F7449" t="s">
        <v>1839</v>
      </c>
      <c r="G7449">
        <v>703</v>
      </c>
      <c r="H7449" t="s">
        <v>2</v>
      </c>
      <c r="I7449">
        <v>7</v>
      </c>
      <c r="J7449" t="s">
        <v>114</v>
      </c>
    </row>
    <row r="7450" spans="1:10" x14ac:dyDescent="0.25">
      <c r="A7450" t="s">
        <v>147</v>
      </c>
      <c r="B7450">
        <f>44186.6636499665*(1/100/100)</f>
        <v>4.4186663649966498</v>
      </c>
      <c r="C7450">
        <v>81134</v>
      </c>
      <c r="D7450" t="s">
        <v>7165</v>
      </c>
      <c r="E7450">
        <v>70101</v>
      </c>
      <c r="F7450" t="s">
        <v>1768</v>
      </c>
      <c r="G7450">
        <v>701</v>
      </c>
      <c r="H7450" t="s">
        <v>3</v>
      </c>
      <c r="I7450">
        <v>7</v>
      </c>
      <c r="J7450" t="s">
        <v>114</v>
      </c>
    </row>
    <row r="7451" spans="1:10" x14ac:dyDescent="0.25">
      <c r="A7451" t="s">
        <v>147</v>
      </c>
      <c r="B7451">
        <f>371376.090169528*(1/100/100)</f>
        <v>37.137609016952801</v>
      </c>
      <c r="C7451">
        <v>81135</v>
      </c>
      <c r="D7451" t="s">
        <v>1846</v>
      </c>
      <c r="E7451">
        <v>70364</v>
      </c>
      <c r="F7451" t="s">
        <v>1846</v>
      </c>
      <c r="G7451">
        <v>703</v>
      </c>
      <c r="H7451" t="s">
        <v>2</v>
      </c>
      <c r="I7451">
        <v>7</v>
      </c>
      <c r="J7451" t="s">
        <v>114</v>
      </c>
    </row>
    <row r="7452" spans="1:10" x14ac:dyDescent="0.25">
      <c r="A7452" t="s">
        <v>147</v>
      </c>
      <c r="B7452">
        <f>657192.930744721*(1/100/100)</f>
        <v>65.719293074472105</v>
      </c>
      <c r="C7452">
        <v>81136</v>
      </c>
      <c r="D7452" t="s">
        <v>7166</v>
      </c>
      <c r="E7452">
        <v>70101</v>
      </c>
      <c r="F7452" t="s">
        <v>1768</v>
      </c>
      <c r="G7452">
        <v>701</v>
      </c>
      <c r="H7452" t="s">
        <v>3</v>
      </c>
      <c r="I7452">
        <v>7</v>
      </c>
      <c r="J7452" t="s">
        <v>114</v>
      </c>
    </row>
    <row r="7453" spans="1:10" x14ac:dyDescent="0.25">
      <c r="A7453" t="s">
        <v>147</v>
      </c>
      <c r="B7453">
        <f>144091.116975536*(1/100/100)</f>
        <v>14.4091116975536</v>
      </c>
      <c r="C7453">
        <v>81201</v>
      </c>
      <c r="D7453" t="s">
        <v>1803</v>
      </c>
      <c r="E7453">
        <v>70313</v>
      </c>
      <c r="F7453" t="s">
        <v>1803</v>
      </c>
      <c r="G7453">
        <v>703</v>
      </c>
      <c r="H7453" t="s">
        <v>2</v>
      </c>
      <c r="I7453">
        <v>7</v>
      </c>
      <c r="J7453" t="s">
        <v>114</v>
      </c>
    </row>
    <row r="7454" spans="1:10" x14ac:dyDescent="0.25">
      <c r="A7454" t="s">
        <v>147</v>
      </c>
      <c r="B7454">
        <f>47888.3427806589*(1/100/100)</f>
        <v>4.7888342780658908</v>
      </c>
      <c r="C7454">
        <v>81202</v>
      </c>
      <c r="D7454" t="s">
        <v>1806</v>
      </c>
      <c r="E7454">
        <v>70317</v>
      </c>
      <c r="F7454" t="s">
        <v>1806</v>
      </c>
      <c r="G7454">
        <v>703</v>
      </c>
      <c r="H7454" t="s">
        <v>2</v>
      </c>
      <c r="I7454">
        <v>7</v>
      </c>
      <c r="J7454" t="s">
        <v>114</v>
      </c>
    </row>
    <row r="7455" spans="1:10" x14ac:dyDescent="0.25">
      <c r="A7455" t="s">
        <v>147</v>
      </c>
      <c r="B7455">
        <f>47678.0412485108*(1/100/100)</f>
        <v>4.7678041248510805</v>
      </c>
      <c r="C7455">
        <v>81203</v>
      </c>
      <c r="D7455" t="s">
        <v>1852</v>
      </c>
      <c r="E7455">
        <v>70327</v>
      </c>
      <c r="F7455" t="s">
        <v>1852</v>
      </c>
      <c r="G7455">
        <v>703</v>
      </c>
      <c r="H7455" t="s">
        <v>2</v>
      </c>
      <c r="I7455">
        <v>7</v>
      </c>
      <c r="J7455" t="s">
        <v>114</v>
      </c>
    </row>
    <row r="7456" spans="1:10" x14ac:dyDescent="0.25">
      <c r="A7456" t="s">
        <v>147</v>
      </c>
      <c r="B7456">
        <f>120564.400111886*(1/100/100)</f>
        <v>12.056440011188601</v>
      </c>
      <c r="C7456">
        <v>81204</v>
      </c>
      <c r="D7456" t="s">
        <v>7187</v>
      </c>
      <c r="E7456">
        <v>70370</v>
      </c>
      <c r="F7456" t="s">
        <v>1852</v>
      </c>
      <c r="G7456">
        <v>703</v>
      </c>
      <c r="H7456" t="s">
        <v>2</v>
      </c>
      <c r="I7456">
        <v>7</v>
      </c>
      <c r="J7456" t="s">
        <v>114</v>
      </c>
    </row>
    <row r="7457" spans="1:10" x14ac:dyDescent="0.25">
      <c r="A7457" t="s">
        <v>147</v>
      </c>
      <c r="B7457">
        <f>216938.046774418*(1/100/100)</f>
        <v>21.693804677441801</v>
      </c>
      <c r="C7457">
        <v>81205</v>
      </c>
      <c r="D7457" t="s">
        <v>1818</v>
      </c>
      <c r="E7457">
        <v>70333</v>
      </c>
      <c r="F7457" t="s">
        <v>1818</v>
      </c>
      <c r="G7457">
        <v>703</v>
      </c>
      <c r="H7457" t="s">
        <v>2</v>
      </c>
      <c r="I7457">
        <v>7</v>
      </c>
      <c r="J7457" t="s">
        <v>114</v>
      </c>
    </row>
    <row r="7458" spans="1:10" x14ac:dyDescent="0.25">
      <c r="A7458" t="s">
        <v>147</v>
      </c>
      <c r="B7458">
        <f>57956.9422971614*(1/100/100)</f>
        <v>5.7956942297161396</v>
      </c>
      <c r="C7458">
        <v>81206</v>
      </c>
      <c r="D7458" t="s">
        <v>5952</v>
      </c>
      <c r="E7458">
        <v>70336</v>
      </c>
      <c r="F7458" t="s">
        <v>1821</v>
      </c>
      <c r="G7458">
        <v>703</v>
      </c>
      <c r="H7458" t="s">
        <v>2</v>
      </c>
      <c r="I7458">
        <v>7</v>
      </c>
      <c r="J7458" t="s">
        <v>114</v>
      </c>
    </row>
    <row r="7459" spans="1:10" x14ac:dyDescent="0.25">
      <c r="A7459" t="s">
        <v>147</v>
      </c>
      <c r="B7459">
        <f>101796.202252091*(1/100/100)</f>
        <v>10.179620225209099</v>
      </c>
      <c r="C7459">
        <v>81207</v>
      </c>
      <c r="D7459" t="s">
        <v>7188</v>
      </c>
      <c r="E7459">
        <v>70370</v>
      </c>
      <c r="F7459" t="s">
        <v>1852</v>
      </c>
      <c r="G7459">
        <v>703</v>
      </c>
      <c r="H7459" t="s">
        <v>2</v>
      </c>
      <c r="I7459">
        <v>7</v>
      </c>
      <c r="J7459" t="s">
        <v>114</v>
      </c>
    </row>
    <row r="7460" spans="1:10" x14ac:dyDescent="0.25">
      <c r="A7460" t="s">
        <v>147</v>
      </c>
      <c r="B7460">
        <f>86172.6422690583*(1/100/100)</f>
        <v>8.6172642269058297</v>
      </c>
      <c r="C7460">
        <v>81208</v>
      </c>
      <c r="D7460" t="s">
        <v>1832</v>
      </c>
      <c r="E7460">
        <v>70349</v>
      </c>
      <c r="F7460" t="s">
        <v>1832</v>
      </c>
      <c r="G7460">
        <v>703</v>
      </c>
      <c r="H7460" t="s">
        <v>2</v>
      </c>
      <c r="I7460">
        <v>7</v>
      </c>
      <c r="J7460" t="s">
        <v>114</v>
      </c>
    </row>
    <row r="7461" spans="1:10" x14ac:dyDescent="0.25">
      <c r="A7461" t="s">
        <v>147</v>
      </c>
      <c r="B7461">
        <f>276545.382872998*(1/100/100)</f>
        <v>27.654538287299804</v>
      </c>
      <c r="C7461">
        <v>81209</v>
      </c>
      <c r="D7461" t="s">
        <v>7179</v>
      </c>
      <c r="E7461">
        <v>70355</v>
      </c>
      <c r="F7461" t="s">
        <v>1838</v>
      </c>
      <c r="G7461">
        <v>703</v>
      </c>
      <c r="H7461" t="s">
        <v>2</v>
      </c>
      <c r="I7461">
        <v>7</v>
      </c>
      <c r="J7461" t="s">
        <v>114</v>
      </c>
    </row>
    <row r="7462" spans="1:10" x14ac:dyDescent="0.25">
      <c r="A7462" t="s">
        <v>147</v>
      </c>
      <c r="B7462">
        <f>133889.951611468*(1/100/100)</f>
        <v>13.388995161146799</v>
      </c>
      <c r="C7462">
        <v>81210</v>
      </c>
      <c r="D7462" t="s">
        <v>1842</v>
      </c>
      <c r="E7462">
        <v>70359</v>
      </c>
      <c r="F7462" t="s">
        <v>1842</v>
      </c>
      <c r="G7462">
        <v>703</v>
      </c>
      <c r="H7462" t="s">
        <v>2</v>
      </c>
      <c r="I7462">
        <v>7</v>
      </c>
      <c r="J7462" t="s">
        <v>114</v>
      </c>
    </row>
    <row r="7463" spans="1:10" x14ac:dyDescent="0.25">
      <c r="A7463" t="s">
        <v>147</v>
      </c>
      <c r="B7463">
        <f>60633.3864715196*(1/100/100)</f>
        <v>6.0633386471519604</v>
      </c>
      <c r="C7463">
        <v>81211</v>
      </c>
      <c r="D7463" t="s">
        <v>1845</v>
      </c>
      <c r="E7463">
        <v>70362</v>
      </c>
      <c r="F7463" t="s">
        <v>1845</v>
      </c>
      <c r="G7463">
        <v>703</v>
      </c>
      <c r="H7463" t="s">
        <v>2</v>
      </c>
      <c r="I7463">
        <v>7</v>
      </c>
      <c r="J7463" t="s">
        <v>114</v>
      </c>
    </row>
    <row r="7464" spans="1:10" x14ac:dyDescent="0.25">
      <c r="A7464" t="s">
        <v>147</v>
      </c>
      <c r="B7464">
        <f>116688.345004286*(1/100/100)</f>
        <v>11.6688345004286</v>
      </c>
      <c r="C7464">
        <v>81301</v>
      </c>
      <c r="D7464" t="s">
        <v>1798</v>
      </c>
      <c r="E7464">
        <v>70308</v>
      </c>
      <c r="F7464" t="s">
        <v>1798</v>
      </c>
      <c r="G7464">
        <v>703</v>
      </c>
      <c r="H7464" t="s">
        <v>2</v>
      </c>
      <c r="I7464">
        <v>7</v>
      </c>
      <c r="J7464" t="s">
        <v>114</v>
      </c>
    </row>
    <row r="7465" spans="1:10" x14ac:dyDescent="0.25">
      <c r="A7465" t="s">
        <v>147</v>
      </c>
      <c r="B7465">
        <f>89022.4386210119*(1/100/100)</f>
        <v>8.9022438621011908</v>
      </c>
      <c r="C7465">
        <v>81302</v>
      </c>
      <c r="D7465" t="s">
        <v>1807</v>
      </c>
      <c r="E7465">
        <v>70318</v>
      </c>
      <c r="F7465" t="s">
        <v>1807</v>
      </c>
      <c r="G7465">
        <v>703</v>
      </c>
      <c r="H7465" t="s">
        <v>2</v>
      </c>
      <c r="I7465">
        <v>7</v>
      </c>
      <c r="J7465" t="s">
        <v>114</v>
      </c>
    </row>
    <row r="7466" spans="1:10" x14ac:dyDescent="0.25">
      <c r="A7466" t="s">
        <v>147</v>
      </c>
      <c r="B7466">
        <f>280755.719964367*(1/100/100)</f>
        <v>28.0755719964367</v>
      </c>
      <c r="C7466">
        <v>81303</v>
      </c>
      <c r="D7466" t="s">
        <v>1808</v>
      </c>
      <c r="E7466">
        <v>70319</v>
      </c>
      <c r="F7466" t="s">
        <v>1808</v>
      </c>
      <c r="G7466">
        <v>703</v>
      </c>
      <c r="H7466" t="s">
        <v>2</v>
      </c>
      <c r="I7466">
        <v>7</v>
      </c>
      <c r="J7466" t="s">
        <v>114</v>
      </c>
    </row>
    <row r="7467" spans="1:10" x14ac:dyDescent="0.25">
      <c r="A7467" t="s">
        <v>147</v>
      </c>
      <c r="B7467">
        <f>155599.619832305*(1/100/100)</f>
        <v>15.559961983230501</v>
      </c>
      <c r="C7467">
        <v>81304</v>
      </c>
      <c r="D7467" t="s">
        <v>4525</v>
      </c>
      <c r="E7467">
        <v>70335</v>
      </c>
      <c r="F7467" t="s">
        <v>1820</v>
      </c>
      <c r="G7467">
        <v>703</v>
      </c>
      <c r="H7467" t="s">
        <v>2</v>
      </c>
      <c r="I7467">
        <v>7</v>
      </c>
      <c r="J7467" t="s">
        <v>114</v>
      </c>
    </row>
    <row r="7468" spans="1:10" x14ac:dyDescent="0.25">
      <c r="A7468" t="s">
        <v>147</v>
      </c>
      <c r="B7468">
        <f>210786.256733777*(1/100/100)</f>
        <v>21.078625673377701</v>
      </c>
      <c r="C7468">
        <v>81305</v>
      </c>
      <c r="D7468" t="s">
        <v>7173</v>
      </c>
      <c r="E7468">
        <v>70337</v>
      </c>
      <c r="F7468" t="s">
        <v>1822</v>
      </c>
      <c r="G7468">
        <v>703</v>
      </c>
      <c r="H7468" t="s">
        <v>2</v>
      </c>
      <c r="I7468">
        <v>7</v>
      </c>
      <c r="J7468" t="s">
        <v>114</v>
      </c>
    </row>
    <row r="7469" spans="1:10" x14ac:dyDescent="0.25">
      <c r="A7469" t="s">
        <v>147</v>
      </c>
      <c r="B7469">
        <f>99397.4665228541*(1/100/100)</f>
        <v>9.939746652285411</v>
      </c>
      <c r="C7469">
        <v>81306</v>
      </c>
      <c r="D7469" t="s">
        <v>1824</v>
      </c>
      <c r="E7469">
        <v>70339</v>
      </c>
      <c r="F7469" t="s">
        <v>1824</v>
      </c>
      <c r="G7469">
        <v>703</v>
      </c>
      <c r="H7469" t="s">
        <v>2</v>
      </c>
      <c r="I7469">
        <v>7</v>
      </c>
      <c r="J7469" t="s">
        <v>114</v>
      </c>
    </row>
    <row r="7470" spans="1:10" x14ac:dyDescent="0.25">
      <c r="A7470" t="s">
        <v>147</v>
      </c>
      <c r="B7470">
        <f>149349.175716464*(1/100/100)</f>
        <v>14.9349175716464</v>
      </c>
      <c r="C7470">
        <v>81307</v>
      </c>
      <c r="D7470" t="s">
        <v>1825</v>
      </c>
      <c r="E7470">
        <v>70340</v>
      </c>
      <c r="F7470" t="s">
        <v>1825</v>
      </c>
      <c r="G7470">
        <v>703</v>
      </c>
      <c r="H7470" t="s">
        <v>2</v>
      </c>
      <c r="I7470">
        <v>7</v>
      </c>
      <c r="J7470" t="s">
        <v>114</v>
      </c>
    </row>
    <row r="7471" spans="1:10" x14ac:dyDescent="0.25">
      <c r="A7471" t="s">
        <v>147</v>
      </c>
      <c r="B7471">
        <f>103573.342133971*(1/100/100)</f>
        <v>10.357334213397101</v>
      </c>
      <c r="C7471">
        <v>81308</v>
      </c>
      <c r="D7471" t="s">
        <v>5223</v>
      </c>
      <c r="E7471">
        <v>70342</v>
      </c>
      <c r="F7471" t="s">
        <v>1826</v>
      </c>
      <c r="G7471">
        <v>703</v>
      </c>
      <c r="H7471" t="s">
        <v>2</v>
      </c>
      <c r="I7471">
        <v>7</v>
      </c>
      <c r="J7471" t="s">
        <v>114</v>
      </c>
    </row>
    <row r="7472" spans="1:10" x14ac:dyDescent="0.25">
      <c r="A7472" t="s">
        <v>147</v>
      </c>
      <c r="B7472">
        <f>87617.9391779258*(1/100/100)</f>
        <v>8.7617939177925805</v>
      </c>
      <c r="C7472">
        <v>81309</v>
      </c>
      <c r="D7472" t="s">
        <v>1827</v>
      </c>
      <c r="E7472">
        <v>70343</v>
      </c>
      <c r="F7472" t="s">
        <v>1827</v>
      </c>
      <c r="G7472">
        <v>703</v>
      </c>
      <c r="H7472" t="s">
        <v>2</v>
      </c>
      <c r="I7472">
        <v>7</v>
      </c>
      <c r="J7472" t="s">
        <v>114</v>
      </c>
    </row>
    <row r="7473" spans="1:10" x14ac:dyDescent="0.25">
      <c r="A7473" t="s">
        <v>147</v>
      </c>
      <c r="B7473">
        <f>953203.689485165*(1/100/100)</f>
        <v>95.320368948516517</v>
      </c>
      <c r="C7473">
        <v>81310</v>
      </c>
      <c r="D7473" t="s">
        <v>1840</v>
      </c>
      <c r="E7473">
        <v>70357</v>
      </c>
      <c r="F7473" t="s">
        <v>1840</v>
      </c>
      <c r="G7473">
        <v>703</v>
      </c>
      <c r="H7473" t="s">
        <v>2</v>
      </c>
      <c r="I7473">
        <v>7</v>
      </c>
      <c r="J7473" t="s">
        <v>114</v>
      </c>
    </row>
    <row r="7474" spans="1:10" x14ac:dyDescent="0.25">
      <c r="A7474" t="s">
        <v>147</v>
      </c>
      <c r="B7474">
        <f>30520.0985405085*(1/100/100)</f>
        <v>3.0520098540508505</v>
      </c>
      <c r="C7474">
        <v>81311</v>
      </c>
      <c r="D7474" t="s">
        <v>7183</v>
      </c>
      <c r="E7474">
        <v>70361</v>
      </c>
      <c r="F7474" t="s">
        <v>1844</v>
      </c>
      <c r="G7474">
        <v>703</v>
      </c>
      <c r="H7474" t="s">
        <v>2</v>
      </c>
      <c r="I7474">
        <v>7</v>
      </c>
      <c r="J7474" t="s">
        <v>114</v>
      </c>
    </row>
    <row r="7475" spans="1:10" x14ac:dyDescent="0.25">
      <c r="A7475" t="s">
        <v>147</v>
      </c>
      <c r="B7475">
        <f>99506.7545438743*(1/100/100)</f>
        <v>9.9506754543874294</v>
      </c>
      <c r="C7475">
        <v>81312</v>
      </c>
      <c r="D7475" t="s">
        <v>1850</v>
      </c>
      <c r="E7475">
        <v>70368</v>
      </c>
      <c r="F7475" t="s">
        <v>1850</v>
      </c>
      <c r="G7475">
        <v>703</v>
      </c>
      <c r="H7475" t="s">
        <v>2</v>
      </c>
      <c r="I7475">
        <v>7</v>
      </c>
      <c r="J7475" t="s">
        <v>114</v>
      </c>
    </row>
    <row r="7476" spans="1:10" x14ac:dyDescent="0.25">
      <c r="A7476" t="s">
        <v>147</v>
      </c>
      <c r="B7476">
        <f>498208.058100378*(1/100/100)</f>
        <v>49.820805810037804</v>
      </c>
      <c r="C7476">
        <v>81313</v>
      </c>
      <c r="D7476" t="s">
        <v>1851</v>
      </c>
      <c r="E7476">
        <v>70369</v>
      </c>
      <c r="F7476" t="s">
        <v>1851</v>
      </c>
      <c r="G7476">
        <v>703</v>
      </c>
      <c r="H7476" t="s">
        <v>2</v>
      </c>
      <c r="I7476">
        <v>7</v>
      </c>
      <c r="J7476" t="s">
        <v>114</v>
      </c>
    </row>
    <row r="7477" spans="1:10" x14ac:dyDescent="0.25">
      <c r="A7477" t="s">
        <v>147</v>
      </c>
      <c r="B7477">
        <f>320732.910541183*(1/100/100)</f>
        <v>32.073291054118307</v>
      </c>
      <c r="C7477">
        <v>82001</v>
      </c>
      <c r="D7477" t="s">
        <v>1854</v>
      </c>
      <c r="E7477">
        <v>70402</v>
      </c>
      <c r="F7477" t="s">
        <v>1854</v>
      </c>
      <c r="G7477">
        <v>704</v>
      </c>
      <c r="H7477" t="s">
        <v>9</v>
      </c>
      <c r="I7477">
        <v>7</v>
      </c>
      <c r="J7477" t="s">
        <v>114</v>
      </c>
    </row>
    <row r="7478" spans="1:10" x14ac:dyDescent="0.25">
      <c r="A7478" t="s">
        <v>147</v>
      </c>
      <c r="B7478">
        <f>500716.905637498*(1/100/100)</f>
        <v>50.071690563749804</v>
      </c>
      <c r="C7478">
        <v>82002</v>
      </c>
      <c r="D7478" t="s">
        <v>7190</v>
      </c>
      <c r="E7478">
        <v>70406</v>
      </c>
      <c r="F7478" t="s">
        <v>1858</v>
      </c>
      <c r="G7478">
        <v>704</v>
      </c>
      <c r="H7478" t="s">
        <v>9</v>
      </c>
      <c r="I7478">
        <v>7</v>
      </c>
      <c r="J7478" t="s">
        <v>114</v>
      </c>
    </row>
    <row r="7479" spans="1:10" x14ac:dyDescent="0.25">
      <c r="A7479" t="s">
        <v>147</v>
      </c>
      <c r="B7479">
        <f>131921.95764082*(1/100/100)</f>
        <v>13.192195764082001</v>
      </c>
      <c r="C7479">
        <v>82003</v>
      </c>
      <c r="D7479" t="s">
        <v>7191</v>
      </c>
      <c r="E7479">
        <v>70406</v>
      </c>
      <c r="F7479" t="s">
        <v>1858</v>
      </c>
      <c r="G7479">
        <v>704</v>
      </c>
      <c r="H7479" t="s">
        <v>9</v>
      </c>
      <c r="I7479">
        <v>7</v>
      </c>
      <c r="J7479" t="s">
        <v>114</v>
      </c>
    </row>
    <row r="7480" spans="1:10" x14ac:dyDescent="0.25">
      <c r="A7480" t="s">
        <v>147</v>
      </c>
      <c r="B7480">
        <f>151909.146349336*(1/100/100)</f>
        <v>15.1909146349336</v>
      </c>
      <c r="C7480">
        <v>82004</v>
      </c>
      <c r="D7480" t="s">
        <v>1859</v>
      </c>
      <c r="E7480">
        <v>70407</v>
      </c>
      <c r="F7480" t="s">
        <v>1859</v>
      </c>
      <c r="G7480">
        <v>704</v>
      </c>
      <c r="H7480" t="s">
        <v>9</v>
      </c>
      <c r="I7480">
        <v>7</v>
      </c>
      <c r="J7480" t="s">
        <v>114</v>
      </c>
    </row>
    <row r="7481" spans="1:10" x14ac:dyDescent="0.25">
      <c r="A7481" t="s">
        <v>147</v>
      </c>
      <c r="B7481">
        <f>598518.066265934*(1/100/100)</f>
        <v>59.851806626593408</v>
      </c>
      <c r="C7481">
        <v>82005</v>
      </c>
      <c r="D7481" t="s">
        <v>2496</v>
      </c>
      <c r="E7481">
        <v>70409</v>
      </c>
      <c r="F7481" t="s">
        <v>1861</v>
      </c>
      <c r="G7481">
        <v>704</v>
      </c>
      <c r="H7481" t="s">
        <v>9</v>
      </c>
      <c r="I7481">
        <v>7</v>
      </c>
      <c r="J7481" t="s">
        <v>114</v>
      </c>
    </row>
    <row r="7482" spans="1:10" x14ac:dyDescent="0.25">
      <c r="A7482" t="s">
        <v>147</v>
      </c>
      <c r="B7482">
        <f>461007.55432764*(1/100/100)</f>
        <v>46.100755432764004</v>
      </c>
      <c r="C7482">
        <v>82006</v>
      </c>
      <c r="D7482" t="s">
        <v>1868</v>
      </c>
      <c r="E7482">
        <v>70420</v>
      </c>
      <c r="F7482" t="s">
        <v>1868</v>
      </c>
      <c r="G7482">
        <v>704</v>
      </c>
      <c r="H7482" t="s">
        <v>9</v>
      </c>
      <c r="I7482">
        <v>7</v>
      </c>
      <c r="J7482" t="s">
        <v>114</v>
      </c>
    </row>
    <row r="7483" spans="1:10" x14ac:dyDescent="0.25">
      <c r="A7483" t="s">
        <v>147</v>
      </c>
      <c r="B7483">
        <f>206225.342011999*(1/100/100)</f>
        <v>20.622534201199901</v>
      </c>
      <c r="C7483">
        <v>82101</v>
      </c>
      <c r="D7483" t="s">
        <v>5792</v>
      </c>
      <c r="E7483">
        <v>70401</v>
      </c>
      <c r="F7483" t="s">
        <v>1853</v>
      </c>
      <c r="G7483">
        <v>704</v>
      </c>
      <c r="H7483" t="s">
        <v>9</v>
      </c>
      <c r="I7483">
        <v>7</v>
      </c>
      <c r="J7483" t="s">
        <v>114</v>
      </c>
    </row>
    <row r="7484" spans="1:10" x14ac:dyDescent="0.25">
      <c r="A7484" t="s">
        <v>147</v>
      </c>
      <c r="B7484">
        <f>445536.949525686*(1/100/100)</f>
        <v>44.553694952568598</v>
      </c>
      <c r="C7484">
        <v>82102</v>
      </c>
      <c r="D7484" t="s">
        <v>1855</v>
      </c>
      <c r="E7484">
        <v>70403</v>
      </c>
      <c r="F7484" t="s">
        <v>1855</v>
      </c>
      <c r="G7484">
        <v>704</v>
      </c>
      <c r="H7484" t="s">
        <v>9</v>
      </c>
      <c r="I7484">
        <v>7</v>
      </c>
      <c r="J7484" t="s">
        <v>114</v>
      </c>
    </row>
    <row r="7485" spans="1:10" x14ac:dyDescent="0.25">
      <c r="A7485" t="s">
        <v>147</v>
      </c>
      <c r="B7485">
        <f>236743.436653648*(1/100/100)</f>
        <v>23.674343665364802</v>
      </c>
      <c r="C7485">
        <v>82103</v>
      </c>
      <c r="D7485" t="s">
        <v>7189</v>
      </c>
      <c r="E7485">
        <v>70404</v>
      </c>
      <c r="F7485" t="s">
        <v>1856</v>
      </c>
      <c r="G7485">
        <v>704</v>
      </c>
      <c r="H7485" t="s">
        <v>9</v>
      </c>
      <c r="I7485">
        <v>7</v>
      </c>
      <c r="J7485" t="s">
        <v>114</v>
      </c>
    </row>
    <row r="7486" spans="1:10" x14ac:dyDescent="0.25">
      <c r="A7486" t="s">
        <v>147</v>
      </c>
      <c r="B7486">
        <f>162348.675293154*(1/100/100)</f>
        <v>16.234867529315402</v>
      </c>
      <c r="C7486">
        <v>82104</v>
      </c>
      <c r="D7486" t="s">
        <v>1857</v>
      </c>
      <c r="E7486">
        <v>70405</v>
      </c>
      <c r="F7486" t="s">
        <v>1857</v>
      </c>
      <c r="G7486">
        <v>704</v>
      </c>
      <c r="H7486" t="s">
        <v>9</v>
      </c>
      <c r="I7486">
        <v>7</v>
      </c>
      <c r="J7486" t="s">
        <v>114</v>
      </c>
    </row>
    <row r="7487" spans="1:10" x14ac:dyDescent="0.25">
      <c r="A7487" t="s">
        <v>147</v>
      </c>
      <c r="B7487">
        <f>249168.082942425*(1/100/100)</f>
        <v>24.916808294242504</v>
      </c>
      <c r="C7487">
        <v>82105</v>
      </c>
      <c r="D7487" t="s">
        <v>1860</v>
      </c>
      <c r="E7487">
        <v>70408</v>
      </c>
      <c r="F7487" t="s">
        <v>1860</v>
      </c>
      <c r="G7487">
        <v>704</v>
      </c>
      <c r="H7487" t="s">
        <v>9</v>
      </c>
      <c r="I7487">
        <v>7</v>
      </c>
      <c r="J7487" t="s">
        <v>114</v>
      </c>
    </row>
    <row r="7488" spans="1:10" x14ac:dyDescent="0.25">
      <c r="A7488" t="s">
        <v>147</v>
      </c>
      <c r="B7488">
        <f>496113.260399613*(1/100/100)</f>
        <v>49.611326039961305</v>
      </c>
      <c r="C7488">
        <v>82106</v>
      </c>
      <c r="D7488" t="s">
        <v>83</v>
      </c>
      <c r="E7488">
        <v>70410</v>
      </c>
      <c r="F7488" t="s">
        <v>1862</v>
      </c>
      <c r="G7488">
        <v>704</v>
      </c>
      <c r="H7488" t="s">
        <v>9</v>
      </c>
      <c r="I7488">
        <v>7</v>
      </c>
      <c r="J7488" t="s">
        <v>114</v>
      </c>
    </row>
    <row r="7489" spans="1:10" x14ac:dyDescent="0.25">
      <c r="A7489" t="s">
        <v>147</v>
      </c>
      <c r="B7489">
        <f>709177.579950787*(1/100/100)</f>
        <v>70.917757995078702</v>
      </c>
      <c r="C7489">
        <v>82107</v>
      </c>
      <c r="D7489" t="s">
        <v>7192</v>
      </c>
      <c r="E7489">
        <v>70411</v>
      </c>
      <c r="F7489" t="s">
        <v>9</v>
      </c>
      <c r="G7489">
        <v>704</v>
      </c>
      <c r="H7489" t="s">
        <v>9</v>
      </c>
      <c r="I7489">
        <v>7</v>
      </c>
      <c r="J7489" t="s">
        <v>114</v>
      </c>
    </row>
    <row r="7490" spans="1:10" x14ac:dyDescent="0.25">
      <c r="A7490" t="s">
        <v>147</v>
      </c>
      <c r="B7490">
        <f>212612.540062031*(1/100/100)</f>
        <v>21.261254006203103</v>
      </c>
      <c r="C7490">
        <v>82108</v>
      </c>
      <c r="D7490" t="s">
        <v>7193</v>
      </c>
      <c r="E7490">
        <v>70411</v>
      </c>
      <c r="F7490" t="s">
        <v>9</v>
      </c>
      <c r="G7490">
        <v>704</v>
      </c>
      <c r="H7490" t="s">
        <v>9</v>
      </c>
      <c r="I7490">
        <v>7</v>
      </c>
      <c r="J7490" t="s">
        <v>114</v>
      </c>
    </row>
    <row r="7491" spans="1:10" x14ac:dyDescent="0.25">
      <c r="A7491" t="s">
        <v>147</v>
      </c>
      <c r="B7491">
        <f>522977.885046661*(1/100/100)</f>
        <v>52.297788504666102</v>
      </c>
      <c r="C7491">
        <v>82109</v>
      </c>
      <c r="D7491" t="s">
        <v>1863</v>
      </c>
      <c r="E7491">
        <v>70412</v>
      </c>
      <c r="F7491" t="s">
        <v>1863</v>
      </c>
      <c r="G7491">
        <v>704</v>
      </c>
      <c r="H7491" t="s">
        <v>9</v>
      </c>
      <c r="I7491">
        <v>7</v>
      </c>
      <c r="J7491" t="s">
        <v>114</v>
      </c>
    </row>
    <row r="7492" spans="1:10" x14ac:dyDescent="0.25">
      <c r="A7492" t="s">
        <v>147</v>
      </c>
      <c r="B7492">
        <f>278969.235296425*(1/100/100)</f>
        <v>27.896923529642503</v>
      </c>
      <c r="C7492">
        <v>82110</v>
      </c>
      <c r="D7492" t="s">
        <v>3770</v>
      </c>
      <c r="E7492">
        <v>70413</v>
      </c>
      <c r="F7492" t="s">
        <v>1864</v>
      </c>
      <c r="G7492">
        <v>704</v>
      </c>
      <c r="H7492" t="s">
        <v>9</v>
      </c>
      <c r="I7492">
        <v>7</v>
      </c>
      <c r="J7492" t="s">
        <v>114</v>
      </c>
    </row>
    <row r="7493" spans="1:10" x14ac:dyDescent="0.25">
      <c r="A7493" t="s">
        <v>147</v>
      </c>
      <c r="B7493">
        <f>227834.117661827*(1/100/100)</f>
        <v>22.783411766182702</v>
      </c>
      <c r="C7493">
        <v>82111</v>
      </c>
      <c r="D7493" t="s">
        <v>1865</v>
      </c>
      <c r="E7493">
        <v>70414</v>
      </c>
      <c r="F7493" t="s">
        <v>1865</v>
      </c>
      <c r="G7493">
        <v>704</v>
      </c>
      <c r="H7493" t="s">
        <v>9</v>
      </c>
      <c r="I7493">
        <v>7</v>
      </c>
      <c r="J7493" t="s">
        <v>114</v>
      </c>
    </row>
    <row r="7494" spans="1:10" x14ac:dyDescent="0.25">
      <c r="A7494" t="s">
        <v>147</v>
      </c>
      <c r="B7494">
        <f>110224.488685832*(1/100/100)</f>
        <v>11.022448868583201</v>
      </c>
      <c r="C7494">
        <v>82112</v>
      </c>
      <c r="D7494" t="s">
        <v>1866</v>
      </c>
      <c r="E7494">
        <v>70418</v>
      </c>
      <c r="F7494" t="s">
        <v>1866</v>
      </c>
      <c r="G7494">
        <v>704</v>
      </c>
      <c r="H7494" t="s">
        <v>9</v>
      </c>
      <c r="I7494">
        <v>7</v>
      </c>
      <c r="J7494" t="s">
        <v>114</v>
      </c>
    </row>
    <row r="7495" spans="1:10" x14ac:dyDescent="0.25">
      <c r="A7495" t="s">
        <v>147</v>
      </c>
      <c r="B7495">
        <f>71526.9701628435*(1/100/100)</f>
        <v>7.1526970162843506</v>
      </c>
      <c r="C7495">
        <v>82113</v>
      </c>
      <c r="D7495" t="s">
        <v>2765</v>
      </c>
      <c r="E7495">
        <v>70415</v>
      </c>
      <c r="F7495" t="s">
        <v>7194</v>
      </c>
      <c r="G7495">
        <v>704</v>
      </c>
      <c r="H7495" t="s">
        <v>9</v>
      </c>
      <c r="I7495">
        <v>7</v>
      </c>
      <c r="J7495" t="s">
        <v>114</v>
      </c>
    </row>
    <row r="7496" spans="1:10" x14ac:dyDescent="0.25">
      <c r="A7496" t="s">
        <v>147</v>
      </c>
      <c r="B7496">
        <f>829579.799222658*(1/100/100)</f>
        <v>82.957979922265807</v>
      </c>
      <c r="C7496">
        <v>82114</v>
      </c>
      <c r="D7496" t="s">
        <v>7195</v>
      </c>
      <c r="E7496">
        <v>70416</v>
      </c>
      <c r="F7496" t="s">
        <v>7195</v>
      </c>
      <c r="G7496">
        <v>704</v>
      </c>
      <c r="H7496" t="s">
        <v>9</v>
      </c>
      <c r="I7496">
        <v>7</v>
      </c>
      <c r="J7496" t="s">
        <v>114</v>
      </c>
    </row>
    <row r="7497" spans="1:10" x14ac:dyDescent="0.25">
      <c r="A7497" t="s">
        <v>147</v>
      </c>
      <c r="B7497">
        <f>200726.626133898*(1/100/100)</f>
        <v>20.072662613389802</v>
      </c>
      <c r="C7497">
        <v>82115</v>
      </c>
      <c r="D7497" t="s">
        <v>2882</v>
      </c>
      <c r="E7497">
        <v>70417</v>
      </c>
      <c r="F7497" t="s">
        <v>7196</v>
      </c>
      <c r="G7497">
        <v>704</v>
      </c>
      <c r="H7497" t="s">
        <v>9</v>
      </c>
      <c r="I7497">
        <v>7</v>
      </c>
      <c r="J7497" t="s">
        <v>114</v>
      </c>
    </row>
    <row r="7498" spans="1:10" x14ac:dyDescent="0.25">
      <c r="A7498" t="s">
        <v>147</v>
      </c>
      <c r="B7498">
        <f>248416.816003836*(1/100/100)</f>
        <v>24.841681600383602</v>
      </c>
      <c r="C7498">
        <v>82116</v>
      </c>
      <c r="D7498" t="s">
        <v>1867</v>
      </c>
      <c r="E7498">
        <v>70419</v>
      </c>
      <c r="F7498" t="s">
        <v>1867</v>
      </c>
      <c r="G7498">
        <v>704</v>
      </c>
      <c r="H7498" t="s">
        <v>9</v>
      </c>
      <c r="I7498">
        <v>7</v>
      </c>
      <c r="J7498" t="s">
        <v>114</v>
      </c>
    </row>
    <row r="7499" spans="1:10" x14ac:dyDescent="0.25">
      <c r="A7499" t="s">
        <v>147</v>
      </c>
      <c r="B7499">
        <f>73240.3440841656*(1/100/100)</f>
        <v>7.3240344084165603</v>
      </c>
      <c r="C7499">
        <v>83001</v>
      </c>
      <c r="D7499" t="s">
        <v>1870</v>
      </c>
      <c r="E7499">
        <v>70502</v>
      </c>
      <c r="F7499" t="s">
        <v>1870</v>
      </c>
      <c r="G7499">
        <v>705</v>
      </c>
      <c r="H7499" t="s">
        <v>4</v>
      </c>
      <c r="I7499">
        <v>7</v>
      </c>
      <c r="J7499" t="s">
        <v>114</v>
      </c>
    </row>
    <row r="7500" spans="1:10" x14ac:dyDescent="0.25">
      <c r="A7500" t="s">
        <v>147</v>
      </c>
      <c r="B7500">
        <f>46971.9564802953*(1/100/100)</f>
        <v>4.6971956480295303</v>
      </c>
      <c r="C7500">
        <v>83002</v>
      </c>
      <c r="D7500" t="s">
        <v>3507</v>
      </c>
      <c r="E7500">
        <v>70508</v>
      </c>
      <c r="F7500" t="s">
        <v>1875</v>
      </c>
      <c r="G7500">
        <v>705</v>
      </c>
      <c r="H7500" t="s">
        <v>4</v>
      </c>
      <c r="I7500">
        <v>7</v>
      </c>
      <c r="J7500" t="s">
        <v>114</v>
      </c>
    </row>
    <row r="7501" spans="1:10" x14ac:dyDescent="0.25">
      <c r="A7501" t="s">
        <v>147</v>
      </c>
      <c r="B7501">
        <f>435521.054576462*(1/100/100)</f>
        <v>43.552105457646206</v>
      </c>
      <c r="C7501">
        <v>83003</v>
      </c>
      <c r="D7501" t="s">
        <v>1875</v>
      </c>
      <c r="E7501">
        <v>70508</v>
      </c>
      <c r="F7501" t="s">
        <v>1875</v>
      </c>
      <c r="G7501">
        <v>705</v>
      </c>
      <c r="H7501" t="s">
        <v>4</v>
      </c>
      <c r="I7501">
        <v>7</v>
      </c>
      <c r="J7501" t="s">
        <v>114</v>
      </c>
    </row>
    <row r="7502" spans="1:10" x14ac:dyDescent="0.25">
      <c r="A7502" t="s">
        <v>147</v>
      </c>
      <c r="B7502">
        <f>342634.258849265*(1/100/100)</f>
        <v>34.263425884926498</v>
      </c>
      <c r="C7502">
        <v>83004</v>
      </c>
      <c r="D7502" t="s">
        <v>1876</v>
      </c>
      <c r="E7502">
        <v>70509</v>
      </c>
      <c r="F7502" t="s">
        <v>1876</v>
      </c>
      <c r="G7502">
        <v>705</v>
      </c>
      <c r="H7502" t="s">
        <v>4</v>
      </c>
      <c r="I7502">
        <v>7</v>
      </c>
      <c r="J7502" t="s">
        <v>114</v>
      </c>
    </row>
    <row r="7503" spans="1:10" x14ac:dyDescent="0.25">
      <c r="A7503" t="s">
        <v>147</v>
      </c>
      <c r="B7503">
        <f>180211.194342466*(1/100/100)</f>
        <v>18.021119434246604</v>
      </c>
      <c r="C7503">
        <v>83005</v>
      </c>
      <c r="D7503" t="s">
        <v>1877</v>
      </c>
      <c r="E7503">
        <v>70510</v>
      </c>
      <c r="F7503" t="s">
        <v>1877</v>
      </c>
      <c r="G7503">
        <v>705</v>
      </c>
      <c r="H7503" t="s">
        <v>4</v>
      </c>
      <c r="I7503">
        <v>7</v>
      </c>
      <c r="J7503" t="s">
        <v>114</v>
      </c>
    </row>
    <row r="7504" spans="1:10" x14ac:dyDescent="0.25">
      <c r="A7504" t="s">
        <v>147</v>
      </c>
      <c r="B7504">
        <f>210963.762818185*(1/100/100)</f>
        <v>21.0963762818185</v>
      </c>
      <c r="C7504">
        <v>83006</v>
      </c>
      <c r="D7504" t="s">
        <v>7197</v>
      </c>
      <c r="E7504">
        <v>70503</v>
      </c>
      <c r="F7504" t="s">
        <v>1871</v>
      </c>
      <c r="G7504">
        <v>705</v>
      </c>
      <c r="H7504" t="s">
        <v>4</v>
      </c>
      <c r="I7504">
        <v>7</v>
      </c>
      <c r="J7504" t="s">
        <v>114</v>
      </c>
    </row>
    <row r="7505" spans="1:10" x14ac:dyDescent="0.25">
      <c r="A7505" t="s">
        <v>147</v>
      </c>
      <c r="B7505">
        <f>510658.63361587*(1/100/100)</f>
        <v>51.065863361587006</v>
      </c>
      <c r="C7505">
        <v>83007</v>
      </c>
      <c r="D7505" t="s">
        <v>1878</v>
      </c>
      <c r="E7505">
        <v>70511</v>
      </c>
      <c r="F7505" t="s">
        <v>1878</v>
      </c>
      <c r="G7505">
        <v>705</v>
      </c>
      <c r="H7505" t="s">
        <v>4</v>
      </c>
      <c r="I7505">
        <v>7</v>
      </c>
      <c r="J7505" t="s">
        <v>114</v>
      </c>
    </row>
    <row r="7506" spans="1:10" x14ac:dyDescent="0.25">
      <c r="A7506" t="s">
        <v>147</v>
      </c>
      <c r="B7506">
        <f>799691.731132667*(1/100/100)</f>
        <v>79.969173113266706</v>
      </c>
      <c r="C7506">
        <v>83008</v>
      </c>
      <c r="D7506" t="s">
        <v>4</v>
      </c>
      <c r="E7506">
        <v>70513</v>
      </c>
      <c r="F7506" t="s">
        <v>4</v>
      </c>
      <c r="G7506">
        <v>705</v>
      </c>
      <c r="H7506" t="s">
        <v>4</v>
      </c>
      <c r="I7506">
        <v>7</v>
      </c>
      <c r="J7506" t="s">
        <v>114</v>
      </c>
    </row>
    <row r="7507" spans="1:10" x14ac:dyDescent="0.25">
      <c r="A7507" t="s">
        <v>147</v>
      </c>
      <c r="B7507">
        <f>473322.255101483*(1/100/100)</f>
        <v>47.332225510148305</v>
      </c>
      <c r="C7507">
        <v>83009</v>
      </c>
      <c r="D7507" t="s">
        <v>1881</v>
      </c>
      <c r="E7507">
        <v>70515</v>
      </c>
      <c r="F7507" t="s">
        <v>1881</v>
      </c>
      <c r="G7507">
        <v>705</v>
      </c>
      <c r="H7507" t="s">
        <v>4</v>
      </c>
      <c r="I7507">
        <v>7</v>
      </c>
      <c r="J7507" t="s">
        <v>114</v>
      </c>
    </row>
    <row r="7508" spans="1:10" x14ac:dyDescent="0.25">
      <c r="A7508" t="s">
        <v>147</v>
      </c>
      <c r="B7508">
        <f>33753.473654366*(1/100/100)</f>
        <v>3.3753473654365997</v>
      </c>
      <c r="C7508">
        <v>83010</v>
      </c>
      <c r="D7508" t="s">
        <v>1882</v>
      </c>
      <c r="E7508">
        <v>70516</v>
      </c>
      <c r="F7508" t="s">
        <v>1882</v>
      </c>
      <c r="G7508">
        <v>705</v>
      </c>
      <c r="H7508" t="s">
        <v>4</v>
      </c>
      <c r="I7508">
        <v>7</v>
      </c>
      <c r="J7508" t="s">
        <v>114</v>
      </c>
    </row>
    <row r="7509" spans="1:10" x14ac:dyDescent="0.25">
      <c r="A7509" t="s">
        <v>147</v>
      </c>
      <c r="B7509">
        <f>219646.436407692*(1/100/100)</f>
        <v>21.9646436407692</v>
      </c>
      <c r="C7509">
        <v>83011</v>
      </c>
      <c r="D7509" t="s">
        <v>1884</v>
      </c>
      <c r="E7509">
        <v>70518</v>
      </c>
      <c r="F7509" t="s">
        <v>1884</v>
      </c>
      <c r="G7509">
        <v>705</v>
      </c>
      <c r="H7509" t="s">
        <v>4</v>
      </c>
      <c r="I7509">
        <v>7</v>
      </c>
      <c r="J7509" t="s">
        <v>114</v>
      </c>
    </row>
    <row r="7510" spans="1:10" x14ac:dyDescent="0.25">
      <c r="A7510" t="s">
        <v>147</v>
      </c>
      <c r="B7510">
        <f>87272.9130611684*(1/100/100)</f>
        <v>8.7272913061168396</v>
      </c>
      <c r="C7510">
        <v>83012</v>
      </c>
      <c r="D7510" t="s">
        <v>1885</v>
      </c>
      <c r="E7510">
        <v>70519</v>
      </c>
      <c r="F7510" t="s">
        <v>1885</v>
      </c>
      <c r="G7510">
        <v>705</v>
      </c>
      <c r="H7510" t="s">
        <v>4</v>
      </c>
      <c r="I7510">
        <v>7</v>
      </c>
      <c r="J7510" t="s">
        <v>114</v>
      </c>
    </row>
    <row r="7511" spans="1:10" x14ac:dyDescent="0.25">
      <c r="A7511" t="s">
        <v>147</v>
      </c>
      <c r="B7511">
        <f>69516.3942323722*(1/100/100)</f>
        <v>6.9516394232372205</v>
      </c>
      <c r="C7511">
        <v>83013</v>
      </c>
      <c r="D7511" t="s">
        <v>7205</v>
      </c>
      <c r="E7511">
        <v>70523</v>
      </c>
      <c r="F7511" t="s">
        <v>1889</v>
      </c>
      <c r="G7511">
        <v>705</v>
      </c>
      <c r="H7511" t="s">
        <v>4</v>
      </c>
      <c r="I7511">
        <v>7</v>
      </c>
      <c r="J7511" t="s">
        <v>114</v>
      </c>
    </row>
    <row r="7512" spans="1:10" x14ac:dyDescent="0.25">
      <c r="A7512" t="s">
        <v>147</v>
      </c>
      <c r="B7512">
        <f>162074.110185881*(1/100/100)</f>
        <v>16.2074110185881</v>
      </c>
      <c r="C7512">
        <v>83014</v>
      </c>
      <c r="D7512" t="s">
        <v>5923</v>
      </c>
      <c r="E7512">
        <v>70524</v>
      </c>
      <c r="F7512" t="s">
        <v>1890</v>
      </c>
      <c r="G7512">
        <v>705</v>
      </c>
      <c r="H7512" t="s">
        <v>4</v>
      </c>
      <c r="I7512">
        <v>7</v>
      </c>
      <c r="J7512" t="s">
        <v>114</v>
      </c>
    </row>
    <row r="7513" spans="1:10" x14ac:dyDescent="0.25">
      <c r="A7513" t="s">
        <v>147</v>
      </c>
      <c r="B7513">
        <f>243555.748996969*(1/100/100)</f>
        <v>24.355574899696901</v>
      </c>
      <c r="C7513">
        <v>83015</v>
      </c>
      <c r="D7513" t="s">
        <v>1891</v>
      </c>
      <c r="E7513">
        <v>70525</v>
      </c>
      <c r="F7513" t="s">
        <v>1891</v>
      </c>
      <c r="G7513">
        <v>705</v>
      </c>
      <c r="H7513" t="s">
        <v>4</v>
      </c>
      <c r="I7513">
        <v>7</v>
      </c>
      <c r="J7513" t="s">
        <v>114</v>
      </c>
    </row>
    <row r="7514" spans="1:10" x14ac:dyDescent="0.25">
      <c r="A7514" t="s">
        <v>147</v>
      </c>
      <c r="B7514">
        <f>406655.380750493*(1/100/100)</f>
        <v>40.665538075049298</v>
      </c>
      <c r="C7514">
        <v>83016</v>
      </c>
      <c r="D7514" t="s">
        <v>1892</v>
      </c>
      <c r="E7514">
        <v>70526</v>
      </c>
      <c r="F7514" t="s">
        <v>1892</v>
      </c>
      <c r="G7514">
        <v>705</v>
      </c>
      <c r="H7514" t="s">
        <v>4</v>
      </c>
      <c r="I7514">
        <v>7</v>
      </c>
      <c r="J7514" t="s">
        <v>114</v>
      </c>
    </row>
    <row r="7515" spans="1:10" x14ac:dyDescent="0.25">
      <c r="A7515" t="s">
        <v>147</v>
      </c>
      <c r="B7515">
        <f>24956.1471868494*(1/100/100)</f>
        <v>2.4956147186849402</v>
      </c>
      <c r="C7515">
        <v>83017</v>
      </c>
      <c r="D7515" t="s">
        <v>7200</v>
      </c>
      <c r="E7515">
        <v>70513</v>
      </c>
      <c r="F7515" t="s">
        <v>4</v>
      </c>
      <c r="G7515">
        <v>705</v>
      </c>
      <c r="H7515" t="s">
        <v>4</v>
      </c>
      <c r="I7515">
        <v>7</v>
      </c>
      <c r="J7515" t="s">
        <v>114</v>
      </c>
    </row>
    <row r="7516" spans="1:10" x14ac:dyDescent="0.25">
      <c r="A7516" t="s">
        <v>147</v>
      </c>
      <c r="B7516">
        <f>315032.303989776*(1/100/100)</f>
        <v>31.503230398977603</v>
      </c>
      <c r="C7516">
        <v>83018</v>
      </c>
      <c r="D7516" t="s">
        <v>1893</v>
      </c>
      <c r="E7516">
        <v>70527</v>
      </c>
      <c r="F7516" t="s">
        <v>1893</v>
      </c>
      <c r="G7516">
        <v>705</v>
      </c>
      <c r="H7516" t="s">
        <v>4</v>
      </c>
      <c r="I7516">
        <v>7</v>
      </c>
      <c r="J7516" t="s">
        <v>114</v>
      </c>
    </row>
    <row r="7517" spans="1:10" x14ac:dyDescent="0.25">
      <c r="A7517" t="s">
        <v>147</v>
      </c>
      <c r="B7517">
        <f>237386.755174911*(1/100/100)</f>
        <v>23.738675517491099</v>
      </c>
      <c r="C7517">
        <v>83019</v>
      </c>
      <c r="D7517" t="s">
        <v>1895</v>
      </c>
      <c r="E7517">
        <v>70529</v>
      </c>
      <c r="F7517" t="s">
        <v>1895</v>
      </c>
      <c r="G7517">
        <v>705</v>
      </c>
      <c r="H7517" t="s">
        <v>4</v>
      </c>
      <c r="I7517">
        <v>7</v>
      </c>
      <c r="J7517" t="s">
        <v>114</v>
      </c>
    </row>
    <row r="7518" spans="1:10" x14ac:dyDescent="0.25">
      <c r="A7518" t="s">
        <v>147</v>
      </c>
      <c r="B7518">
        <f>520823.312643583*(1/100/100)</f>
        <v>52.082331264358302</v>
      </c>
      <c r="C7518">
        <v>83020</v>
      </c>
      <c r="D7518" t="s">
        <v>7211</v>
      </c>
      <c r="E7518">
        <v>70531</v>
      </c>
      <c r="F7518" t="s">
        <v>1897</v>
      </c>
      <c r="G7518">
        <v>705</v>
      </c>
      <c r="H7518" t="s">
        <v>4</v>
      </c>
      <c r="I7518">
        <v>7</v>
      </c>
      <c r="J7518" t="s">
        <v>114</v>
      </c>
    </row>
    <row r="7519" spans="1:10" x14ac:dyDescent="0.25">
      <c r="A7519" t="s">
        <v>147</v>
      </c>
      <c r="B7519">
        <f>336667.873899237*(1/100/100)</f>
        <v>33.666787389923705</v>
      </c>
      <c r="C7519">
        <v>83021</v>
      </c>
      <c r="D7519" t="s">
        <v>7212</v>
      </c>
      <c r="E7519">
        <v>70531</v>
      </c>
      <c r="F7519" t="s">
        <v>1897</v>
      </c>
      <c r="G7519">
        <v>705</v>
      </c>
      <c r="H7519" t="s">
        <v>4</v>
      </c>
      <c r="I7519">
        <v>7</v>
      </c>
      <c r="J7519" t="s">
        <v>114</v>
      </c>
    </row>
    <row r="7520" spans="1:10" x14ac:dyDescent="0.25">
      <c r="A7520" t="s">
        <v>147</v>
      </c>
      <c r="B7520">
        <f>48418.8211989427*(1/100/100)</f>
        <v>4.8418821198942705</v>
      </c>
      <c r="C7520">
        <v>83022</v>
      </c>
      <c r="D7520" t="s">
        <v>7201</v>
      </c>
      <c r="E7520">
        <v>70513</v>
      </c>
      <c r="F7520" t="s">
        <v>4</v>
      </c>
      <c r="G7520">
        <v>705</v>
      </c>
      <c r="H7520" t="s">
        <v>4</v>
      </c>
      <c r="I7520">
        <v>7</v>
      </c>
      <c r="J7520" t="s">
        <v>114</v>
      </c>
    </row>
    <row r="7521" spans="1:10" x14ac:dyDescent="0.25">
      <c r="A7521" t="s">
        <v>147</v>
      </c>
      <c r="B7521">
        <f>294160.906525457*(1/100/100)</f>
        <v>29.416090652545702</v>
      </c>
      <c r="C7521">
        <v>83101</v>
      </c>
      <c r="D7521" t="s">
        <v>1869</v>
      </c>
      <c r="E7521">
        <v>70501</v>
      </c>
      <c r="F7521" t="s">
        <v>1869</v>
      </c>
      <c r="G7521">
        <v>705</v>
      </c>
      <c r="H7521" t="s">
        <v>4</v>
      </c>
      <c r="I7521">
        <v>7</v>
      </c>
      <c r="J7521" t="s">
        <v>114</v>
      </c>
    </row>
    <row r="7522" spans="1:10" x14ac:dyDescent="0.25">
      <c r="A7522" t="s">
        <v>147</v>
      </c>
      <c r="B7522">
        <f>118503.785261016*(1/100/100)</f>
        <v>11.850378526101601</v>
      </c>
      <c r="C7522">
        <v>83102</v>
      </c>
      <c r="D7522" t="s">
        <v>7207</v>
      </c>
      <c r="E7522">
        <v>70530</v>
      </c>
      <c r="F7522" t="s">
        <v>1896</v>
      </c>
      <c r="G7522">
        <v>705</v>
      </c>
      <c r="H7522" t="s">
        <v>4</v>
      </c>
      <c r="I7522">
        <v>7</v>
      </c>
      <c r="J7522" t="s">
        <v>114</v>
      </c>
    </row>
    <row r="7523" spans="1:10" x14ac:dyDescent="0.25">
      <c r="A7523" t="s">
        <v>147</v>
      </c>
      <c r="B7523">
        <f>159548.859405309*(1/100/100)</f>
        <v>15.9548859405309</v>
      </c>
      <c r="C7523">
        <v>83103</v>
      </c>
      <c r="D7523" t="s">
        <v>1872</v>
      </c>
      <c r="E7523">
        <v>70504</v>
      </c>
      <c r="F7523" t="s">
        <v>1872</v>
      </c>
      <c r="G7523">
        <v>705</v>
      </c>
      <c r="H7523" t="s">
        <v>4</v>
      </c>
      <c r="I7523">
        <v>7</v>
      </c>
      <c r="J7523" t="s">
        <v>114</v>
      </c>
    </row>
    <row r="7524" spans="1:10" x14ac:dyDescent="0.25">
      <c r="A7524" t="s">
        <v>147</v>
      </c>
      <c r="B7524">
        <f>294190.898707601*(1/100/100)</f>
        <v>29.419089870760104</v>
      </c>
      <c r="C7524">
        <v>83104</v>
      </c>
      <c r="D7524" t="s">
        <v>6129</v>
      </c>
      <c r="E7524">
        <v>70505</v>
      </c>
      <c r="F7524" t="s">
        <v>1873</v>
      </c>
      <c r="G7524">
        <v>705</v>
      </c>
      <c r="H7524" t="s">
        <v>4</v>
      </c>
      <c r="I7524">
        <v>7</v>
      </c>
      <c r="J7524" t="s">
        <v>114</v>
      </c>
    </row>
    <row r="7525" spans="1:10" x14ac:dyDescent="0.25">
      <c r="A7525" t="s">
        <v>147</v>
      </c>
      <c r="B7525">
        <f>183785.591506725*(1/100/100)</f>
        <v>18.378559150672501</v>
      </c>
      <c r="C7525">
        <v>83105</v>
      </c>
      <c r="D7525" t="s">
        <v>1874</v>
      </c>
      <c r="E7525">
        <v>70506</v>
      </c>
      <c r="F7525" t="s">
        <v>1874</v>
      </c>
      <c r="G7525">
        <v>705</v>
      </c>
      <c r="H7525" t="s">
        <v>4</v>
      </c>
      <c r="I7525">
        <v>7</v>
      </c>
      <c r="J7525" t="s">
        <v>114</v>
      </c>
    </row>
    <row r="7526" spans="1:10" x14ac:dyDescent="0.25">
      <c r="A7526" t="s">
        <v>147</v>
      </c>
      <c r="B7526">
        <f>49270.3364527392*(1/100/100)</f>
        <v>4.9270336452739203</v>
      </c>
      <c r="C7526">
        <v>83107</v>
      </c>
      <c r="D7526" t="s">
        <v>7203</v>
      </c>
      <c r="E7526">
        <v>70522</v>
      </c>
      <c r="F7526" t="s">
        <v>1888</v>
      </c>
      <c r="G7526">
        <v>705</v>
      </c>
      <c r="H7526" t="s">
        <v>4</v>
      </c>
      <c r="I7526">
        <v>7</v>
      </c>
      <c r="J7526" t="s">
        <v>114</v>
      </c>
    </row>
    <row r="7527" spans="1:10" x14ac:dyDescent="0.25">
      <c r="A7527" t="s">
        <v>147</v>
      </c>
      <c r="B7527">
        <f>358687.692511028*(1/100/100)</f>
        <v>35.868769251102805</v>
      </c>
      <c r="C7527">
        <v>83108</v>
      </c>
      <c r="D7527" t="s">
        <v>1880</v>
      </c>
      <c r="E7527">
        <v>70514</v>
      </c>
      <c r="F7527" t="s">
        <v>1880</v>
      </c>
      <c r="G7527">
        <v>705</v>
      </c>
      <c r="H7527" t="s">
        <v>4</v>
      </c>
      <c r="I7527">
        <v>7</v>
      </c>
      <c r="J7527" t="s">
        <v>114</v>
      </c>
    </row>
    <row r="7528" spans="1:10" x14ac:dyDescent="0.25">
      <c r="A7528" t="s">
        <v>147</v>
      </c>
      <c r="B7528">
        <f>137263.594841018*(1/100/100)</f>
        <v>13.726359484101801</v>
      </c>
      <c r="C7528">
        <v>83109</v>
      </c>
      <c r="D7528" t="s">
        <v>7202</v>
      </c>
      <c r="E7528">
        <v>70514</v>
      </c>
      <c r="F7528" t="s">
        <v>1880</v>
      </c>
      <c r="G7528">
        <v>705</v>
      </c>
      <c r="H7528" t="s">
        <v>4</v>
      </c>
      <c r="I7528">
        <v>7</v>
      </c>
      <c r="J7528" t="s">
        <v>114</v>
      </c>
    </row>
    <row r="7529" spans="1:10" x14ac:dyDescent="0.25">
      <c r="A7529" t="s">
        <v>147</v>
      </c>
      <c r="B7529">
        <f>124627.400940709*(1/100/100)</f>
        <v>12.462740094070901</v>
      </c>
      <c r="C7529">
        <v>83110</v>
      </c>
      <c r="D7529" t="s">
        <v>3398</v>
      </c>
      <c r="E7529">
        <v>70512</v>
      </c>
      <c r="F7529" t="s">
        <v>1879</v>
      </c>
      <c r="G7529">
        <v>705</v>
      </c>
      <c r="H7529" t="s">
        <v>4</v>
      </c>
      <c r="I7529">
        <v>7</v>
      </c>
      <c r="J7529" t="s">
        <v>114</v>
      </c>
    </row>
    <row r="7530" spans="1:10" x14ac:dyDescent="0.25">
      <c r="A7530" t="s">
        <v>147</v>
      </c>
      <c r="B7530">
        <f>263246.934286854*(1/100/100)</f>
        <v>26.3246934286854</v>
      </c>
      <c r="C7530">
        <v>83111</v>
      </c>
      <c r="D7530" t="s">
        <v>1883</v>
      </c>
      <c r="E7530">
        <v>70517</v>
      </c>
      <c r="F7530" t="s">
        <v>1883</v>
      </c>
      <c r="G7530">
        <v>705</v>
      </c>
      <c r="H7530" t="s">
        <v>4</v>
      </c>
      <c r="I7530">
        <v>7</v>
      </c>
      <c r="J7530" t="s">
        <v>114</v>
      </c>
    </row>
    <row r="7531" spans="1:10" x14ac:dyDescent="0.25">
      <c r="A7531" t="s">
        <v>147</v>
      </c>
      <c r="B7531">
        <f>113834.507880404*(1/100/100)</f>
        <v>11.383450788040401</v>
      </c>
      <c r="C7531">
        <v>83112</v>
      </c>
      <c r="D7531" t="s">
        <v>7208</v>
      </c>
      <c r="E7531">
        <v>70530</v>
      </c>
      <c r="F7531" t="s">
        <v>1896</v>
      </c>
      <c r="G7531">
        <v>705</v>
      </c>
      <c r="H7531" t="s">
        <v>4</v>
      </c>
      <c r="I7531">
        <v>7</v>
      </c>
      <c r="J7531" t="s">
        <v>114</v>
      </c>
    </row>
    <row r="7532" spans="1:10" x14ac:dyDescent="0.25">
      <c r="A7532" t="s">
        <v>147</v>
      </c>
      <c r="B7532">
        <f>129851.965790814*(1/100/100)</f>
        <v>12.985196579081402</v>
      </c>
      <c r="C7532">
        <v>83113</v>
      </c>
      <c r="D7532" t="s">
        <v>7209</v>
      </c>
      <c r="E7532">
        <v>70530</v>
      </c>
      <c r="F7532" t="s">
        <v>1896</v>
      </c>
      <c r="G7532">
        <v>705</v>
      </c>
      <c r="H7532" t="s">
        <v>4</v>
      </c>
      <c r="I7532">
        <v>7</v>
      </c>
      <c r="J7532" t="s">
        <v>114</v>
      </c>
    </row>
    <row r="7533" spans="1:10" x14ac:dyDescent="0.25">
      <c r="A7533" t="s">
        <v>147</v>
      </c>
      <c r="B7533">
        <f>244269.797364945*(1/100/100)</f>
        <v>24.426979736494502</v>
      </c>
      <c r="C7533">
        <v>83114</v>
      </c>
      <c r="D7533" t="s">
        <v>1886</v>
      </c>
      <c r="E7533">
        <v>70520</v>
      </c>
      <c r="F7533" t="s">
        <v>1886</v>
      </c>
      <c r="G7533">
        <v>705</v>
      </c>
      <c r="H7533" t="s">
        <v>4</v>
      </c>
      <c r="I7533">
        <v>7</v>
      </c>
      <c r="J7533" t="s">
        <v>114</v>
      </c>
    </row>
    <row r="7534" spans="1:10" x14ac:dyDescent="0.25">
      <c r="A7534" t="s">
        <v>147</v>
      </c>
      <c r="B7534">
        <f>29422.7376816418*(1/100/100)</f>
        <v>2.94227376816418</v>
      </c>
      <c r="C7534">
        <v>83115</v>
      </c>
      <c r="D7534" t="s">
        <v>1887</v>
      </c>
      <c r="E7534">
        <v>70521</v>
      </c>
      <c r="F7534" t="s">
        <v>1887</v>
      </c>
      <c r="G7534">
        <v>705</v>
      </c>
      <c r="H7534" t="s">
        <v>4</v>
      </c>
      <c r="I7534">
        <v>7</v>
      </c>
      <c r="J7534" t="s">
        <v>114</v>
      </c>
    </row>
    <row r="7535" spans="1:10" x14ac:dyDescent="0.25">
      <c r="A7535" t="s">
        <v>147</v>
      </c>
      <c r="B7535">
        <f>176830.490698757*(1/100/100)</f>
        <v>17.6830490698757</v>
      </c>
      <c r="C7535">
        <v>83116</v>
      </c>
      <c r="D7535" t="s">
        <v>4125</v>
      </c>
      <c r="E7535">
        <v>70522</v>
      </c>
      <c r="F7535" t="s">
        <v>1888</v>
      </c>
      <c r="G7535">
        <v>705</v>
      </c>
      <c r="H7535" t="s">
        <v>4</v>
      </c>
      <c r="I7535">
        <v>7</v>
      </c>
      <c r="J7535" t="s">
        <v>114</v>
      </c>
    </row>
    <row r="7536" spans="1:10" x14ac:dyDescent="0.25">
      <c r="A7536" t="s">
        <v>147</v>
      </c>
      <c r="B7536">
        <f>31082.1616736398*(1/100/100)</f>
        <v>3.1082161673639801</v>
      </c>
      <c r="C7536">
        <v>83117</v>
      </c>
      <c r="D7536" t="s">
        <v>7204</v>
      </c>
      <c r="E7536">
        <v>70522</v>
      </c>
      <c r="F7536" t="s">
        <v>1888</v>
      </c>
      <c r="G7536">
        <v>705</v>
      </c>
      <c r="H7536" t="s">
        <v>4</v>
      </c>
      <c r="I7536">
        <v>7</v>
      </c>
      <c r="J7536" t="s">
        <v>114</v>
      </c>
    </row>
    <row r="7537" spans="1:10" x14ac:dyDescent="0.25">
      <c r="A7537" t="s">
        <v>147</v>
      </c>
      <c r="B7537">
        <f>117940.505424144*(1/100/100)</f>
        <v>11.7940505424144</v>
      </c>
      <c r="C7537">
        <v>83119</v>
      </c>
      <c r="D7537" t="s">
        <v>7210</v>
      </c>
      <c r="E7537">
        <v>70530</v>
      </c>
      <c r="F7537" t="s">
        <v>1896</v>
      </c>
      <c r="G7537">
        <v>705</v>
      </c>
      <c r="H7537" t="s">
        <v>4</v>
      </c>
      <c r="I7537">
        <v>7</v>
      </c>
      <c r="J7537" t="s">
        <v>114</v>
      </c>
    </row>
    <row r="7538" spans="1:10" x14ac:dyDescent="0.25">
      <c r="A7538" t="s">
        <v>147</v>
      </c>
      <c r="B7538">
        <f>187011.245964099*(1/100/100)</f>
        <v>18.701124596409901</v>
      </c>
      <c r="C7538">
        <v>83120</v>
      </c>
      <c r="D7538" t="s">
        <v>7206</v>
      </c>
      <c r="E7538">
        <v>70528</v>
      </c>
      <c r="F7538" t="s">
        <v>1894</v>
      </c>
      <c r="G7538">
        <v>705</v>
      </c>
      <c r="H7538" t="s">
        <v>4</v>
      </c>
      <c r="I7538">
        <v>7</v>
      </c>
      <c r="J7538" t="s">
        <v>114</v>
      </c>
    </row>
    <row r="7539" spans="1:10" x14ac:dyDescent="0.25">
      <c r="A7539" t="s">
        <v>147</v>
      </c>
      <c r="B7539">
        <f>275109.489564153*(1/100/100)</f>
        <v>27.510948956415302</v>
      </c>
      <c r="C7539">
        <v>83121</v>
      </c>
      <c r="D7539" t="s">
        <v>7199</v>
      </c>
      <c r="E7539">
        <v>70512</v>
      </c>
      <c r="F7539" t="s">
        <v>1879</v>
      </c>
      <c r="G7539">
        <v>705</v>
      </c>
      <c r="H7539" t="s">
        <v>4</v>
      </c>
      <c r="I7539">
        <v>7</v>
      </c>
      <c r="J7539" t="s">
        <v>114</v>
      </c>
    </row>
    <row r="7540" spans="1:10" x14ac:dyDescent="0.25">
      <c r="A7540" t="s">
        <v>147</v>
      </c>
      <c r="B7540">
        <f>74422.7878224553*(1/100/100)</f>
        <v>7.4422787822455305</v>
      </c>
      <c r="C7540">
        <v>83122</v>
      </c>
      <c r="D7540" t="s">
        <v>7198</v>
      </c>
      <c r="E7540">
        <v>70506</v>
      </c>
      <c r="F7540" t="s">
        <v>1874</v>
      </c>
      <c r="G7540">
        <v>705</v>
      </c>
      <c r="H7540" t="s">
        <v>4</v>
      </c>
      <c r="I7540">
        <v>7</v>
      </c>
      <c r="J7540" t="s">
        <v>114</v>
      </c>
    </row>
    <row r="7541" spans="1:10" x14ac:dyDescent="0.25">
      <c r="A7541" t="s">
        <v>147</v>
      </c>
      <c r="B7541">
        <f>286432.6942342*(1/100/100)</f>
        <v>28.643269423420001</v>
      </c>
      <c r="C7541">
        <v>84001</v>
      </c>
      <c r="D7541" t="s">
        <v>1901</v>
      </c>
      <c r="E7541">
        <v>70604</v>
      </c>
      <c r="F7541" t="s">
        <v>1901</v>
      </c>
      <c r="G7541">
        <v>706</v>
      </c>
      <c r="H7541" t="s">
        <v>5</v>
      </c>
      <c r="I7541">
        <v>7</v>
      </c>
      <c r="J7541" t="s">
        <v>114</v>
      </c>
    </row>
    <row r="7542" spans="1:10" x14ac:dyDescent="0.25">
      <c r="A7542" t="s">
        <v>147</v>
      </c>
      <c r="B7542">
        <f>91459.2242748277*(1/100/100)</f>
        <v>9.1459224274827715</v>
      </c>
      <c r="C7542">
        <v>84002</v>
      </c>
      <c r="D7542" t="s">
        <v>1902</v>
      </c>
      <c r="E7542">
        <v>70605</v>
      </c>
      <c r="F7542" t="s">
        <v>1902</v>
      </c>
      <c r="G7542">
        <v>706</v>
      </c>
      <c r="H7542" t="s">
        <v>5</v>
      </c>
      <c r="I7542">
        <v>7</v>
      </c>
      <c r="J7542" t="s">
        <v>114</v>
      </c>
    </row>
    <row r="7543" spans="1:10" x14ac:dyDescent="0.25">
      <c r="A7543" t="s">
        <v>147</v>
      </c>
      <c r="B7543">
        <f>102446.368635841*(1/100/100)</f>
        <v>10.244636863584102</v>
      </c>
      <c r="C7543">
        <v>84003</v>
      </c>
      <c r="D7543" t="s">
        <v>1903</v>
      </c>
      <c r="E7543">
        <v>70606</v>
      </c>
      <c r="F7543" t="s">
        <v>1903</v>
      </c>
      <c r="G7543">
        <v>706</v>
      </c>
      <c r="H7543" t="s">
        <v>5</v>
      </c>
      <c r="I7543">
        <v>7</v>
      </c>
      <c r="J7543" t="s">
        <v>114</v>
      </c>
    </row>
    <row r="7544" spans="1:10" x14ac:dyDescent="0.25">
      <c r="A7544" t="s">
        <v>147</v>
      </c>
      <c r="B7544">
        <f>120263.350762948*(1/100/100)</f>
        <v>12.026335076294801</v>
      </c>
      <c r="C7544">
        <v>84004</v>
      </c>
      <c r="D7544" t="s">
        <v>1904</v>
      </c>
      <c r="E7544">
        <v>70607</v>
      </c>
      <c r="F7544" t="s">
        <v>1904</v>
      </c>
      <c r="G7544">
        <v>706</v>
      </c>
      <c r="H7544" t="s">
        <v>5</v>
      </c>
      <c r="I7544">
        <v>7</v>
      </c>
      <c r="J7544" t="s">
        <v>114</v>
      </c>
    </row>
    <row r="7545" spans="1:10" x14ac:dyDescent="0.25">
      <c r="A7545" t="s">
        <v>147</v>
      </c>
      <c r="B7545">
        <f>234678.162227667*(1/100/100)</f>
        <v>23.4678162227667</v>
      </c>
      <c r="C7545">
        <v>84005</v>
      </c>
      <c r="D7545" t="s">
        <v>1905</v>
      </c>
      <c r="E7545">
        <v>70608</v>
      </c>
      <c r="F7545" t="s">
        <v>1905</v>
      </c>
      <c r="G7545">
        <v>706</v>
      </c>
      <c r="H7545" t="s">
        <v>5</v>
      </c>
      <c r="I7545">
        <v>7</v>
      </c>
      <c r="J7545" t="s">
        <v>114</v>
      </c>
    </row>
    <row r="7546" spans="1:10" x14ac:dyDescent="0.25">
      <c r="A7546" t="s">
        <v>147</v>
      </c>
      <c r="B7546">
        <f>275070.973511477*(1/100/100)</f>
        <v>27.507097351147703</v>
      </c>
      <c r="C7546">
        <v>84006</v>
      </c>
      <c r="D7546" t="s">
        <v>1906</v>
      </c>
      <c r="E7546">
        <v>70609</v>
      </c>
      <c r="F7546" t="s">
        <v>1906</v>
      </c>
      <c r="G7546">
        <v>706</v>
      </c>
      <c r="H7546" t="s">
        <v>5</v>
      </c>
      <c r="I7546">
        <v>7</v>
      </c>
      <c r="J7546" t="s">
        <v>114</v>
      </c>
    </row>
    <row r="7547" spans="1:10" x14ac:dyDescent="0.25">
      <c r="A7547" t="s">
        <v>147</v>
      </c>
      <c r="B7547">
        <f>426700.356682135*(1/100/100)</f>
        <v>42.670035668213508</v>
      </c>
      <c r="C7547">
        <v>84007</v>
      </c>
      <c r="D7547" t="s">
        <v>5</v>
      </c>
      <c r="E7547">
        <v>70614</v>
      </c>
      <c r="F7547" t="s">
        <v>5</v>
      </c>
      <c r="G7547">
        <v>706</v>
      </c>
      <c r="H7547" t="s">
        <v>5</v>
      </c>
      <c r="I7547">
        <v>7</v>
      </c>
      <c r="J7547" t="s">
        <v>114</v>
      </c>
    </row>
    <row r="7548" spans="1:10" x14ac:dyDescent="0.25">
      <c r="A7548" t="s">
        <v>147</v>
      </c>
      <c r="B7548">
        <f>151612.768021402*(1/100/100)</f>
        <v>15.161276802140202</v>
      </c>
      <c r="C7548">
        <v>84008</v>
      </c>
      <c r="D7548" t="s">
        <v>7215</v>
      </c>
      <c r="E7548">
        <v>70616</v>
      </c>
      <c r="F7548" t="s">
        <v>1912</v>
      </c>
      <c r="G7548">
        <v>706</v>
      </c>
      <c r="H7548" t="s">
        <v>5</v>
      </c>
      <c r="I7548">
        <v>7</v>
      </c>
      <c r="J7548" t="s">
        <v>114</v>
      </c>
    </row>
    <row r="7549" spans="1:10" x14ac:dyDescent="0.25">
      <c r="A7549" t="s">
        <v>147</v>
      </c>
      <c r="B7549">
        <f>69810.3214127347*(1/100/100)</f>
        <v>6.9810321412734702</v>
      </c>
      <c r="C7549">
        <v>84009</v>
      </c>
      <c r="D7549" t="s">
        <v>1914</v>
      </c>
      <c r="E7549">
        <v>70618</v>
      </c>
      <c r="F7549" t="s">
        <v>1914</v>
      </c>
      <c r="G7549">
        <v>706</v>
      </c>
      <c r="H7549" t="s">
        <v>5</v>
      </c>
      <c r="I7549">
        <v>7</v>
      </c>
      <c r="J7549" t="s">
        <v>114</v>
      </c>
    </row>
    <row r="7550" spans="1:10" x14ac:dyDescent="0.25">
      <c r="A7550" t="s">
        <v>147</v>
      </c>
      <c r="B7550">
        <f>319566.014396117*(1/100/100)</f>
        <v>31.956601439611703</v>
      </c>
      <c r="C7550">
        <v>84010</v>
      </c>
      <c r="D7550" t="s">
        <v>7216</v>
      </c>
      <c r="E7550">
        <v>70621</v>
      </c>
      <c r="F7550" t="s">
        <v>7216</v>
      </c>
      <c r="G7550">
        <v>706</v>
      </c>
      <c r="H7550" t="s">
        <v>5</v>
      </c>
      <c r="I7550">
        <v>7</v>
      </c>
      <c r="J7550" t="s">
        <v>114</v>
      </c>
    </row>
    <row r="7551" spans="1:10" x14ac:dyDescent="0.25">
      <c r="A7551" t="s">
        <v>147</v>
      </c>
      <c r="B7551">
        <f>155518.518352686*(1/100/100)</f>
        <v>15.5518518352686</v>
      </c>
      <c r="C7551">
        <v>84011</v>
      </c>
      <c r="D7551" t="s">
        <v>1917</v>
      </c>
      <c r="E7551">
        <v>70622</v>
      </c>
      <c r="F7551" t="s">
        <v>1917</v>
      </c>
      <c r="G7551">
        <v>706</v>
      </c>
      <c r="H7551" t="s">
        <v>5</v>
      </c>
      <c r="I7551">
        <v>7</v>
      </c>
      <c r="J7551" t="s">
        <v>114</v>
      </c>
    </row>
    <row r="7552" spans="1:10" x14ac:dyDescent="0.25">
      <c r="A7552" t="s">
        <v>147</v>
      </c>
      <c r="B7552">
        <f>110061.149895537*(1/100/100)</f>
        <v>11.006114989553701</v>
      </c>
      <c r="C7552">
        <v>84012</v>
      </c>
      <c r="D7552" t="s">
        <v>1918</v>
      </c>
      <c r="E7552">
        <v>70623</v>
      </c>
      <c r="F7552" t="s">
        <v>1918</v>
      </c>
      <c r="G7552">
        <v>706</v>
      </c>
      <c r="H7552" t="s">
        <v>5</v>
      </c>
      <c r="I7552">
        <v>7</v>
      </c>
      <c r="J7552" t="s">
        <v>114</v>
      </c>
    </row>
    <row r="7553" spans="1:10" x14ac:dyDescent="0.25">
      <c r="A7553" t="s">
        <v>147</v>
      </c>
      <c r="B7553">
        <f>45312.2688358935*(1/100/100)</f>
        <v>4.5312268835893503</v>
      </c>
      <c r="C7553">
        <v>84013</v>
      </c>
      <c r="D7553" t="s">
        <v>6857</v>
      </c>
      <c r="E7553">
        <v>70626</v>
      </c>
      <c r="F7553" t="s">
        <v>1921</v>
      </c>
      <c r="G7553">
        <v>706</v>
      </c>
      <c r="H7553" t="s">
        <v>5</v>
      </c>
      <c r="I7553">
        <v>7</v>
      </c>
      <c r="J7553" t="s">
        <v>114</v>
      </c>
    </row>
    <row r="7554" spans="1:10" x14ac:dyDescent="0.25">
      <c r="A7554" t="s">
        <v>147</v>
      </c>
      <c r="B7554">
        <f>102501.469477822*(1/100/100)</f>
        <v>10.2501469477822</v>
      </c>
      <c r="C7554">
        <v>84014</v>
      </c>
      <c r="D7554" t="s">
        <v>1922</v>
      </c>
      <c r="E7554">
        <v>70627</v>
      </c>
      <c r="F7554" t="s">
        <v>1922</v>
      </c>
      <c r="G7554">
        <v>706</v>
      </c>
      <c r="H7554" t="s">
        <v>5</v>
      </c>
      <c r="I7554">
        <v>7</v>
      </c>
      <c r="J7554" t="s">
        <v>114</v>
      </c>
    </row>
    <row r="7555" spans="1:10" x14ac:dyDescent="0.25">
      <c r="A7555" t="s">
        <v>147</v>
      </c>
      <c r="B7555">
        <f>314179.299867859*(1/100/100)</f>
        <v>31.4179299867859</v>
      </c>
      <c r="C7555">
        <v>84015</v>
      </c>
      <c r="D7555" t="s">
        <v>1925</v>
      </c>
      <c r="E7555">
        <v>70630</v>
      </c>
      <c r="F7555" t="s">
        <v>1925</v>
      </c>
      <c r="G7555">
        <v>706</v>
      </c>
      <c r="H7555" t="s">
        <v>5</v>
      </c>
      <c r="I7555">
        <v>7</v>
      </c>
      <c r="J7555" t="s">
        <v>114</v>
      </c>
    </row>
    <row r="7556" spans="1:10" x14ac:dyDescent="0.25">
      <c r="A7556" t="s">
        <v>147</v>
      </c>
      <c r="B7556">
        <f>37220.1247946363*(1/100/100)</f>
        <v>3.72201247946363</v>
      </c>
      <c r="C7556">
        <v>84016</v>
      </c>
      <c r="D7556" t="s">
        <v>7217</v>
      </c>
      <c r="E7556">
        <v>70630</v>
      </c>
      <c r="F7556" t="s">
        <v>1925</v>
      </c>
      <c r="G7556">
        <v>706</v>
      </c>
      <c r="H7556" t="s">
        <v>5</v>
      </c>
      <c r="I7556">
        <v>7</v>
      </c>
      <c r="J7556" t="s">
        <v>114</v>
      </c>
    </row>
    <row r="7557" spans="1:10" x14ac:dyDescent="0.25">
      <c r="A7557" t="s">
        <v>147</v>
      </c>
      <c r="B7557">
        <f>52597.1587023718*(1/100/100)</f>
        <v>5.2597158702371809</v>
      </c>
      <c r="C7557">
        <v>84017</v>
      </c>
      <c r="D7557" t="s">
        <v>1923</v>
      </c>
      <c r="E7557">
        <v>70628</v>
      </c>
      <c r="F7557" t="s">
        <v>1923</v>
      </c>
      <c r="G7557">
        <v>706</v>
      </c>
      <c r="H7557" t="s">
        <v>5</v>
      </c>
      <c r="I7557">
        <v>7</v>
      </c>
      <c r="J7557" t="s">
        <v>114</v>
      </c>
    </row>
    <row r="7558" spans="1:10" x14ac:dyDescent="0.25">
      <c r="A7558" t="s">
        <v>147</v>
      </c>
      <c r="B7558">
        <f>29547.4500266063*(1/100/100)</f>
        <v>2.9547450026606303</v>
      </c>
      <c r="C7558">
        <v>84101</v>
      </c>
      <c r="D7558" t="s">
        <v>1898</v>
      </c>
      <c r="E7558">
        <v>70601</v>
      </c>
      <c r="F7558" t="s">
        <v>1898</v>
      </c>
      <c r="G7558">
        <v>706</v>
      </c>
      <c r="H7558" t="s">
        <v>5</v>
      </c>
      <c r="I7558">
        <v>7</v>
      </c>
      <c r="J7558" t="s">
        <v>114</v>
      </c>
    </row>
    <row r="7559" spans="1:10" x14ac:dyDescent="0.25">
      <c r="A7559" t="s">
        <v>147</v>
      </c>
      <c r="B7559">
        <f>30725.3712245547*(1/100/100)</f>
        <v>3.0725371224554703</v>
      </c>
      <c r="C7559">
        <v>84102</v>
      </c>
      <c r="D7559" t="s">
        <v>1899</v>
      </c>
      <c r="E7559">
        <v>70602</v>
      </c>
      <c r="F7559" t="s">
        <v>1899</v>
      </c>
      <c r="G7559">
        <v>706</v>
      </c>
      <c r="H7559" t="s">
        <v>5</v>
      </c>
      <c r="I7559">
        <v>7</v>
      </c>
      <c r="J7559" t="s">
        <v>114</v>
      </c>
    </row>
    <row r="7560" spans="1:10" x14ac:dyDescent="0.25">
      <c r="A7560" t="s">
        <v>147</v>
      </c>
      <c r="B7560">
        <f>163523.042536997*(1/100/100)</f>
        <v>16.3523042536997</v>
      </c>
      <c r="C7560">
        <v>84103</v>
      </c>
      <c r="D7560" t="s">
        <v>1900</v>
      </c>
      <c r="E7560">
        <v>70603</v>
      </c>
      <c r="F7560" t="s">
        <v>1900</v>
      </c>
      <c r="G7560">
        <v>706</v>
      </c>
      <c r="H7560" t="s">
        <v>5</v>
      </c>
      <c r="I7560">
        <v>7</v>
      </c>
      <c r="J7560" t="s">
        <v>114</v>
      </c>
    </row>
    <row r="7561" spans="1:10" x14ac:dyDescent="0.25">
      <c r="A7561" t="s">
        <v>147</v>
      </c>
      <c r="B7561">
        <f>49329.6617094137*(1/100/100)</f>
        <v>4.9329661709413699</v>
      </c>
      <c r="C7561">
        <v>84104</v>
      </c>
      <c r="D7561" t="s">
        <v>1909</v>
      </c>
      <c r="E7561">
        <v>70612</v>
      </c>
      <c r="F7561" t="s">
        <v>1909</v>
      </c>
      <c r="G7561">
        <v>706</v>
      </c>
      <c r="H7561" t="s">
        <v>5</v>
      </c>
      <c r="I7561">
        <v>7</v>
      </c>
      <c r="J7561" t="s">
        <v>114</v>
      </c>
    </row>
    <row r="7562" spans="1:10" x14ac:dyDescent="0.25">
      <c r="A7562" t="s">
        <v>147</v>
      </c>
      <c r="B7562">
        <f>49894.9935752433*(1/100/100)</f>
        <v>4.9894993575243305</v>
      </c>
      <c r="C7562">
        <v>84105</v>
      </c>
      <c r="D7562" t="s">
        <v>1907</v>
      </c>
      <c r="E7562">
        <v>70610</v>
      </c>
      <c r="F7562" t="s">
        <v>1907</v>
      </c>
      <c r="G7562">
        <v>706</v>
      </c>
      <c r="H7562" t="s">
        <v>5</v>
      </c>
      <c r="I7562">
        <v>7</v>
      </c>
      <c r="J7562" t="s">
        <v>114</v>
      </c>
    </row>
    <row r="7563" spans="1:10" x14ac:dyDescent="0.25">
      <c r="A7563" t="s">
        <v>147</v>
      </c>
      <c r="B7563">
        <f>83285.6337929244*(1/100/100)</f>
        <v>8.3285633792924401</v>
      </c>
      <c r="C7563">
        <v>84106</v>
      </c>
      <c r="D7563" t="s">
        <v>1908</v>
      </c>
      <c r="E7563">
        <v>70611</v>
      </c>
      <c r="F7563" t="s">
        <v>1908</v>
      </c>
      <c r="G7563">
        <v>706</v>
      </c>
      <c r="H7563" t="s">
        <v>5</v>
      </c>
      <c r="I7563">
        <v>7</v>
      </c>
      <c r="J7563" t="s">
        <v>114</v>
      </c>
    </row>
    <row r="7564" spans="1:10" x14ac:dyDescent="0.25">
      <c r="A7564" t="s">
        <v>147</v>
      </c>
      <c r="B7564">
        <f>74575.5739607723*(1/100/100)</f>
        <v>7.4575573960772301</v>
      </c>
      <c r="C7564">
        <v>84107</v>
      </c>
      <c r="D7564" t="s">
        <v>1910</v>
      </c>
      <c r="E7564">
        <v>70613</v>
      </c>
      <c r="F7564" t="s">
        <v>1910</v>
      </c>
      <c r="G7564">
        <v>706</v>
      </c>
      <c r="H7564" t="s">
        <v>5</v>
      </c>
      <c r="I7564">
        <v>7</v>
      </c>
      <c r="J7564" t="s">
        <v>114</v>
      </c>
    </row>
    <row r="7565" spans="1:10" x14ac:dyDescent="0.25">
      <c r="A7565" t="s">
        <v>147</v>
      </c>
      <c r="B7565">
        <f>205682.872400519*(1/100/100)</f>
        <v>20.568287240051902</v>
      </c>
      <c r="C7565">
        <v>84108</v>
      </c>
      <c r="D7565" t="s">
        <v>7213</v>
      </c>
      <c r="E7565">
        <v>70615</v>
      </c>
      <c r="F7565" t="s">
        <v>1911</v>
      </c>
      <c r="G7565">
        <v>706</v>
      </c>
      <c r="H7565" t="s">
        <v>5</v>
      </c>
      <c r="I7565">
        <v>7</v>
      </c>
      <c r="J7565" t="s">
        <v>114</v>
      </c>
    </row>
    <row r="7566" spans="1:10" x14ac:dyDescent="0.25">
      <c r="A7566" t="s">
        <v>147</v>
      </c>
      <c r="B7566">
        <f>1283.49039181681*(1/100/100)</f>
        <v>0.128349039181681</v>
      </c>
      <c r="C7566">
        <v>84109</v>
      </c>
      <c r="D7566" t="s">
        <v>7214</v>
      </c>
      <c r="E7566">
        <v>70615</v>
      </c>
      <c r="F7566" t="s">
        <v>1911</v>
      </c>
      <c r="G7566">
        <v>706</v>
      </c>
      <c r="H7566" t="s">
        <v>5</v>
      </c>
      <c r="I7566">
        <v>7</v>
      </c>
      <c r="J7566" t="s">
        <v>114</v>
      </c>
    </row>
    <row r="7567" spans="1:10" x14ac:dyDescent="0.25">
      <c r="A7567" t="s">
        <v>147</v>
      </c>
      <c r="B7567">
        <f>242861.829671552*(1/100/100)</f>
        <v>24.286182967155202</v>
      </c>
      <c r="C7567">
        <v>84110</v>
      </c>
      <c r="D7567" t="s">
        <v>1913</v>
      </c>
      <c r="E7567">
        <v>70617</v>
      </c>
      <c r="F7567" t="s">
        <v>1913</v>
      </c>
      <c r="G7567">
        <v>706</v>
      </c>
      <c r="H7567" t="s">
        <v>5</v>
      </c>
      <c r="I7567">
        <v>7</v>
      </c>
      <c r="J7567" t="s">
        <v>114</v>
      </c>
    </row>
    <row r="7568" spans="1:10" x14ac:dyDescent="0.25">
      <c r="A7568" t="s">
        <v>147</v>
      </c>
      <c r="B7568">
        <f>154867.854639565*(1/100/100)</f>
        <v>15.486785463956499</v>
      </c>
      <c r="C7568">
        <v>84111</v>
      </c>
      <c r="D7568" t="s">
        <v>1915</v>
      </c>
      <c r="E7568">
        <v>70619</v>
      </c>
      <c r="F7568" t="s">
        <v>1915</v>
      </c>
      <c r="G7568">
        <v>706</v>
      </c>
      <c r="H7568" t="s">
        <v>5</v>
      </c>
      <c r="I7568">
        <v>7</v>
      </c>
      <c r="J7568" t="s">
        <v>114</v>
      </c>
    </row>
    <row r="7569" spans="1:10" x14ac:dyDescent="0.25">
      <c r="A7569" t="s">
        <v>147</v>
      </c>
      <c r="B7569">
        <f>130338.755004321*(1/100/100)</f>
        <v>13.033875500432101</v>
      </c>
      <c r="C7569">
        <v>84112</v>
      </c>
      <c r="D7569" t="s">
        <v>1916</v>
      </c>
      <c r="E7569">
        <v>70620</v>
      </c>
      <c r="F7569" t="s">
        <v>1916</v>
      </c>
      <c r="G7569">
        <v>706</v>
      </c>
      <c r="H7569" t="s">
        <v>5</v>
      </c>
      <c r="I7569">
        <v>7</v>
      </c>
      <c r="J7569" t="s">
        <v>114</v>
      </c>
    </row>
    <row r="7570" spans="1:10" x14ac:dyDescent="0.25">
      <c r="A7570" t="s">
        <v>147</v>
      </c>
      <c r="B7570">
        <f>193053.17115141*(1/100/100)</f>
        <v>19.305317115141001</v>
      </c>
      <c r="C7570">
        <v>84113</v>
      </c>
      <c r="D7570" t="s">
        <v>1919</v>
      </c>
      <c r="E7570">
        <v>70624</v>
      </c>
      <c r="F7570" t="s">
        <v>1919</v>
      </c>
      <c r="G7570">
        <v>706</v>
      </c>
      <c r="H7570" t="s">
        <v>5</v>
      </c>
      <c r="I7570">
        <v>7</v>
      </c>
      <c r="J7570" t="s">
        <v>114</v>
      </c>
    </row>
    <row r="7571" spans="1:10" x14ac:dyDescent="0.25">
      <c r="A7571" t="s">
        <v>147</v>
      </c>
      <c r="B7571">
        <f>15037.8054520603*(1/100/100)</f>
        <v>1.50378054520603</v>
      </c>
      <c r="C7571">
        <v>84114</v>
      </c>
      <c r="D7571" t="s">
        <v>1920</v>
      </c>
      <c r="E7571">
        <v>70625</v>
      </c>
      <c r="F7571" t="s">
        <v>1920</v>
      </c>
      <c r="G7571">
        <v>706</v>
      </c>
      <c r="H7571" t="s">
        <v>5</v>
      </c>
      <c r="I7571">
        <v>7</v>
      </c>
      <c r="J7571" t="s">
        <v>114</v>
      </c>
    </row>
    <row r="7572" spans="1:10" x14ac:dyDescent="0.25">
      <c r="A7572" t="s">
        <v>147</v>
      </c>
      <c r="B7572">
        <f>61088.3303608129*(1/100/100)</f>
        <v>6.1088330360812906</v>
      </c>
      <c r="C7572">
        <v>84115</v>
      </c>
      <c r="D7572" t="s">
        <v>1924</v>
      </c>
      <c r="E7572">
        <v>70629</v>
      </c>
      <c r="F7572" t="s">
        <v>1924</v>
      </c>
      <c r="G7572">
        <v>706</v>
      </c>
      <c r="H7572" t="s">
        <v>5</v>
      </c>
      <c r="I7572">
        <v>7</v>
      </c>
      <c r="J7572" t="s">
        <v>114</v>
      </c>
    </row>
    <row r="7573" spans="1:10" x14ac:dyDescent="0.25">
      <c r="A7573" t="s">
        <v>147</v>
      </c>
      <c r="B7573">
        <f>77669.6346925858*(1/100/100)</f>
        <v>7.7669634692585801</v>
      </c>
      <c r="C7573">
        <v>85001</v>
      </c>
      <c r="D7573" t="s">
        <v>1927</v>
      </c>
      <c r="E7573">
        <v>70702</v>
      </c>
      <c r="F7573" t="s">
        <v>1927</v>
      </c>
      <c r="G7573">
        <v>707</v>
      </c>
      <c r="H7573" t="s">
        <v>6</v>
      </c>
      <c r="I7573">
        <v>7</v>
      </c>
      <c r="J7573" t="s">
        <v>114</v>
      </c>
    </row>
    <row r="7574" spans="1:10" x14ac:dyDescent="0.25">
      <c r="A7574" t="s">
        <v>147</v>
      </c>
      <c r="B7574">
        <f>10243.3178092594*(1/100/100)</f>
        <v>1.02433178092594</v>
      </c>
      <c r="C7574">
        <v>85002</v>
      </c>
      <c r="D7574" t="s">
        <v>7218</v>
      </c>
      <c r="E7574">
        <v>70702</v>
      </c>
      <c r="F7574" t="s">
        <v>1927</v>
      </c>
      <c r="G7574">
        <v>707</v>
      </c>
      <c r="H7574" t="s">
        <v>6</v>
      </c>
      <c r="I7574">
        <v>7</v>
      </c>
      <c r="J7574" t="s">
        <v>114</v>
      </c>
    </row>
    <row r="7575" spans="1:10" x14ac:dyDescent="0.25">
      <c r="A7575" t="s">
        <v>147</v>
      </c>
      <c r="B7575">
        <f>49973.0848151566*(1/100/100)</f>
        <v>4.9973084815156605</v>
      </c>
      <c r="C7575">
        <v>85003</v>
      </c>
      <c r="D7575" t="s">
        <v>1928</v>
      </c>
      <c r="E7575">
        <v>70703</v>
      </c>
      <c r="F7575" t="s">
        <v>1928</v>
      </c>
      <c r="G7575">
        <v>707</v>
      </c>
      <c r="H7575" t="s">
        <v>6</v>
      </c>
      <c r="I7575">
        <v>7</v>
      </c>
      <c r="J7575" t="s">
        <v>114</v>
      </c>
    </row>
    <row r="7576" spans="1:10" x14ac:dyDescent="0.25">
      <c r="A7576" t="s">
        <v>147</v>
      </c>
      <c r="B7576">
        <f>45819.7029634003*(1/100/100)</f>
        <v>4.5819702963400299</v>
      </c>
      <c r="C7576">
        <v>85004</v>
      </c>
      <c r="D7576" t="s">
        <v>1929</v>
      </c>
      <c r="E7576">
        <v>70704</v>
      </c>
      <c r="F7576" t="s">
        <v>1929</v>
      </c>
      <c r="G7576">
        <v>707</v>
      </c>
      <c r="H7576" t="s">
        <v>6</v>
      </c>
      <c r="I7576">
        <v>7</v>
      </c>
      <c r="J7576" t="s">
        <v>114</v>
      </c>
    </row>
    <row r="7577" spans="1:10" x14ac:dyDescent="0.25">
      <c r="A7577" t="s">
        <v>147</v>
      </c>
      <c r="B7577">
        <f>49441.911102159*(1/100/100)</f>
        <v>4.9441911102159004</v>
      </c>
      <c r="C7577">
        <v>85005</v>
      </c>
      <c r="D7577" t="s">
        <v>7220</v>
      </c>
      <c r="E7577">
        <v>70704</v>
      </c>
      <c r="F7577" t="s">
        <v>1929</v>
      </c>
      <c r="G7577">
        <v>707</v>
      </c>
      <c r="H7577" t="s">
        <v>6</v>
      </c>
      <c r="I7577">
        <v>7</v>
      </c>
      <c r="J7577" t="s">
        <v>114</v>
      </c>
    </row>
    <row r="7578" spans="1:10" x14ac:dyDescent="0.25">
      <c r="A7578" t="s">
        <v>147</v>
      </c>
      <c r="B7578">
        <f>15518.0823038888*(1/100/100)</f>
        <v>1.55180823038888</v>
      </c>
      <c r="C7578">
        <v>85006</v>
      </c>
      <c r="D7578" t="s">
        <v>7222</v>
      </c>
      <c r="E7578">
        <v>70705</v>
      </c>
      <c r="F7578" t="s">
        <v>1930</v>
      </c>
      <c r="G7578">
        <v>707</v>
      </c>
      <c r="H7578" t="s">
        <v>6</v>
      </c>
      <c r="I7578">
        <v>7</v>
      </c>
      <c r="J7578" t="s">
        <v>114</v>
      </c>
    </row>
    <row r="7579" spans="1:10" x14ac:dyDescent="0.25">
      <c r="A7579" t="s">
        <v>147</v>
      </c>
      <c r="B7579">
        <f>13515.2667060334*(1/100/100)</f>
        <v>1.3515266706033402</v>
      </c>
      <c r="C7579">
        <v>85007</v>
      </c>
      <c r="D7579" t="s">
        <v>3379</v>
      </c>
      <c r="E7579">
        <v>70715</v>
      </c>
      <c r="F7579" t="s">
        <v>1940</v>
      </c>
      <c r="G7579">
        <v>707</v>
      </c>
      <c r="H7579" t="s">
        <v>6</v>
      </c>
      <c r="I7579">
        <v>7</v>
      </c>
      <c r="J7579" t="s">
        <v>114</v>
      </c>
    </row>
    <row r="7580" spans="1:10" x14ac:dyDescent="0.25">
      <c r="A7580" t="s">
        <v>147</v>
      </c>
      <c r="B7580">
        <f>14750.7484038229*(1/100/100)</f>
        <v>1.47507484038229</v>
      </c>
      <c r="C7580">
        <v>85008</v>
      </c>
      <c r="D7580" t="s">
        <v>7223</v>
      </c>
      <c r="E7580">
        <v>70705</v>
      </c>
      <c r="F7580" t="s">
        <v>1930</v>
      </c>
      <c r="G7580">
        <v>707</v>
      </c>
      <c r="H7580" t="s">
        <v>6</v>
      </c>
      <c r="I7580">
        <v>7</v>
      </c>
      <c r="J7580" t="s">
        <v>114</v>
      </c>
    </row>
    <row r="7581" spans="1:10" x14ac:dyDescent="0.25">
      <c r="A7581" t="s">
        <v>147</v>
      </c>
      <c r="B7581">
        <f>93242.6741414622*(1/100/100)</f>
        <v>9.3242674141462203</v>
      </c>
      <c r="C7581">
        <v>85009</v>
      </c>
      <c r="D7581" t="s">
        <v>1932</v>
      </c>
      <c r="E7581">
        <v>70707</v>
      </c>
      <c r="F7581" t="s">
        <v>1932</v>
      </c>
      <c r="G7581">
        <v>707</v>
      </c>
      <c r="H7581" t="s">
        <v>6</v>
      </c>
      <c r="I7581">
        <v>7</v>
      </c>
      <c r="J7581" t="s">
        <v>114</v>
      </c>
    </row>
    <row r="7582" spans="1:10" x14ac:dyDescent="0.25">
      <c r="A7582" t="s">
        <v>147</v>
      </c>
      <c r="B7582">
        <f>8207.76413420903*(1/100/100)</f>
        <v>0.82077641342090302</v>
      </c>
      <c r="C7582">
        <v>85010</v>
      </c>
      <c r="D7582" t="s">
        <v>2229</v>
      </c>
      <c r="E7582">
        <v>70705</v>
      </c>
      <c r="F7582" t="s">
        <v>1930</v>
      </c>
      <c r="G7582">
        <v>707</v>
      </c>
      <c r="H7582" t="s">
        <v>6</v>
      </c>
      <c r="I7582">
        <v>7</v>
      </c>
      <c r="J7582" t="s">
        <v>114</v>
      </c>
    </row>
    <row r="7583" spans="1:10" x14ac:dyDescent="0.25">
      <c r="A7583" t="s">
        <v>147</v>
      </c>
      <c r="B7583">
        <f>13799.1036048449*(1/100/100)</f>
        <v>1.37991036048449</v>
      </c>
      <c r="C7583">
        <v>85011</v>
      </c>
      <c r="D7583" t="s">
        <v>6436</v>
      </c>
      <c r="E7583">
        <v>70720</v>
      </c>
      <c r="F7583" t="s">
        <v>1944</v>
      </c>
      <c r="G7583">
        <v>707</v>
      </c>
      <c r="H7583" t="s">
        <v>6</v>
      </c>
      <c r="I7583">
        <v>7</v>
      </c>
      <c r="J7583" t="s">
        <v>114</v>
      </c>
    </row>
    <row r="7584" spans="1:10" x14ac:dyDescent="0.25">
      <c r="A7584" t="s">
        <v>147</v>
      </c>
      <c r="B7584">
        <f>23311.5883282899*(1/100/100)</f>
        <v>2.3311588328289901</v>
      </c>
      <c r="C7584">
        <v>85012</v>
      </c>
      <c r="D7584" t="s">
        <v>1453</v>
      </c>
      <c r="E7584">
        <v>70707</v>
      </c>
      <c r="F7584" t="s">
        <v>1932</v>
      </c>
      <c r="G7584">
        <v>707</v>
      </c>
      <c r="H7584" t="s">
        <v>6</v>
      </c>
      <c r="I7584">
        <v>7</v>
      </c>
      <c r="J7584" t="s">
        <v>114</v>
      </c>
    </row>
    <row r="7585" spans="1:10" x14ac:dyDescent="0.25">
      <c r="A7585" t="s">
        <v>147</v>
      </c>
      <c r="B7585">
        <f>76289.3213015797*(1/100/100)</f>
        <v>7.6289321301579696</v>
      </c>
      <c r="C7585">
        <v>85013</v>
      </c>
      <c r="D7585" t="s">
        <v>7228</v>
      </c>
      <c r="E7585">
        <v>70707</v>
      </c>
      <c r="F7585" t="s">
        <v>1932</v>
      </c>
      <c r="G7585">
        <v>707</v>
      </c>
      <c r="H7585" t="s">
        <v>6</v>
      </c>
      <c r="I7585">
        <v>7</v>
      </c>
      <c r="J7585" t="s">
        <v>114</v>
      </c>
    </row>
    <row r="7586" spans="1:10" x14ac:dyDescent="0.25">
      <c r="A7586" t="s">
        <v>147</v>
      </c>
      <c r="B7586">
        <f>11355.0533668126*(1/100/100)</f>
        <v>1.1355053366812602</v>
      </c>
      <c r="C7586">
        <v>85014</v>
      </c>
      <c r="D7586" t="s">
        <v>7219</v>
      </c>
      <c r="E7586">
        <v>70702</v>
      </c>
      <c r="F7586" t="s">
        <v>1927</v>
      </c>
      <c r="G7586">
        <v>707</v>
      </c>
      <c r="H7586" t="s">
        <v>6</v>
      </c>
      <c r="I7586">
        <v>7</v>
      </c>
      <c r="J7586" t="s">
        <v>114</v>
      </c>
    </row>
    <row r="7587" spans="1:10" x14ac:dyDescent="0.25">
      <c r="A7587" t="s">
        <v>147</v>
      </c>
      <c r="B7587">
        <f>50969.457528938*(1/100/100)</f>
        <v>5.0969457528938005</v>
      </c>
      <c r="C7587">
        <v>85015</v>
      </c>
      <c r="D7587" t="s">
        <v>7232</v>
      </c>
      <c r="E7587">
        <v>70711</v>
      </c>
      <c r="F7587" t="s">
        <v>1936</v>
      </c>
      <c r="G7587">
        <v>707</v>
      </c>
      <c r="H7587" t="s">
        <v>6</v>
      </c>
      <c r="I7587">
        <v>7</v>
      </c>
      <c r="J7587" t="s">
        <v>114</v>
      </c>
    </row>
    <row r="7588" spans="1:10" x14ac:dyDescent="0.25">
      <c r="A7588" t="s">
        <v>147</v>
      </c>
      <c r="B7588">
        <f>30527.7377059608*(1/100/100)</f>
        <v>3.05277377059608</v>
      </c>
      <c r="C7588">
        <v>85016</v>
      </c>
      <c r="D7588" t="s">
        <v>7224</v>
      </c>
      <c r="E7588">
        <v>70705</v>
      </c>
      <c r="F7588" t="s">
        <v>1930</v>
      </c>
      <c r="G7588">
        <v>707</v>
      </c>
      <c r="H7588" t="s">
        <v>6</v>
      </c>
      <c r="I7588">
        <v>7</v>
      </c>
      <c r="J7588" t="s">
        <v>114</v>
      </c>
    </row>
    <row r="7589" spans="1:10" x14ac:dyDescent="0.25">
      <c r="A7589" t="s">
        <v>147</v>
      </c>
      <c r="B7589">
        <f>60702.2009088*(1/100/100)</f>
        <v>6.0702200908800004</v>
      </c>
      <c r="C7589">
        <v>85017</v>
      </c>
      <c r="D7589" t="s">
        <v>1939</v>
      </c>
      <c r="E7589">
        <v>70714</v>
      </c>
      <c r="F7589" t="s">
        <v>1939</v>
      </c>
      <c r="G7589">
        <v>707</v>
      </c>
      <c r="H7589" t="s">
        <v>6</v>
      </c>
      <c r="I7589">
        <v>7</v>
      </c>
      <c r="J7589" t="s">
        <v>114</v>
      </c>
    </row>
    <row r="7590" spans="1:10" x14ac:dyDescent="0.25">
      <c r="A7590" t="s">
        <v>147</v>
      </c>
      <c r="B7590">
        <f>64422.9034673892*(1/100/100)</f>
        <v>6.4422903467389201</v>
      </c>
      <c r="C7590">
        <v>85018</v>
      </c>
      <c r="D7590" t="s">
        <v>1940</v>
      </c>
      <c r="E7590">
        <v>70715</v>
      </c>
      <c r="F7590" t="s">
        <v>1940</v>
      </c>
      <c r="G7590">
        <v>707</v>
      </c>
      <c r="H7590" t="s">
        <v>6</v>
      </c>
      <c r="I7590">
        <v>7</v>
      </c>
      <c r="J7590" t="s">
        <v>114</v>
      </c>
    </row>
    <row r="7591" spans="1:10" x14ac:dyDescent="0.25">
      <c r="A7591" t="s">
        <v>147</v>
      </c>
      <c r="B7591">
        <f>26416.1824546302*(1/100/100)</f>
        <v>2.6416182454630204</v>
      </c>
      <c r="C7591">
        <v>85019</v>
      </c>
      <c r="D7591" t="s">
        <v>7238</v>
      </c>
      <c r="E7591">
        <v>70718</v>
      </c>
      <c r="F7591" t="s">
        <v>1942</v>
      </c>
      <c r="G7591">
        <v>707</v>
      </c>
      <c r="H7591" t="s">
        <v>6</v>
      </c>
      <c r="I7591">
        <v>7</v>
      </c>
      <c r="J7591" t="s">
        <v>114</v>
      </c>
    </row>
    <row r="7592" spans="1:10" x14ac:dyDescent="0.25">
      <c r="A7592" t="s">
        <v>147</v>
      </c>
      <c r="B7592">
        <f>872951.895534385*(1/100/100)</f>
        <v>87.295189553438505</v>
      </c>
      <c r="C7592">
        <v>85020</v>
      </c>
      <c r="D7592" t="s">
        <v>6</v>
      </c>
      <c r="E7592">
        <v>70716</v>
      </c>
      <c r="F7592" t="s">
        <v>6</v>
      </c>
      <c r="G7592">
        <v>707</v>
      </c>
      <c r="H7592" t="s">
        <v>6</v>
      </c>
      <c r="I7592">
        <v>7</v>
      </c>
      <c r="J7592" t="s">
        <v>114</v>
      </c>
    </row>
    <row r="7593" spans="1:10" x14ac:dyDescent="0.25">
      <c r="A7593" t="s">
        <v>147</v>
      </c>
      <c r="B7593">
        <f>70441.0589551394*(1/100/100)</f>
        <v>7.0441058955139395</v>
      </c>
      <c r="C7593">
        <v>85021</v>
      </c>
      <c r="D7593" t="s">
        <v>1942</v>
      </c>
      <c r="E7593">
        <v>70718</v>
      </c>
      <c r="F7593" t="s">
        <v>1942</v>
      </c>
      <c r="G7593">
        <v>707</v>
      </c>
      <c r="H7593" t="s">
        <v>6</v>
      </c>
      <c r="I7593">
        <v>7</v>
      </c>
      <c r="J7593" t="s">
        <v>114</v>
      </c>
    </row>
    <row r="7594" spans="1:10" x14ac:dyDescent="0.25">
      <c r="A7594" t="s">
        <v>147</v>
      </c>
      <c r="B7594">
        <f>20613.2752066464*(1/100/100)</f>
        <v>2.0613275206646402</v>
      </c>
      <c r="C7594">
        <v>85022</v>
      </c>
      <c r="D7594" t="s">
        <v>7239</v>
      </c>
      <c r="E7594">
        <v>70718</v>
      </c>
      <c r="F7594" t="s">
        <v>1942</v>
      </c>
      <c r="G7594">
        <v>707</v>
      </c>
      <c r="H7594" t="s">
        <v>6</v>
      </c>
      <c r="I7594">
        <v>7</v>
      </c>
      <c r="J7594" t="s">
        <v>114</v>
      </c>
    </row>
    <row r="7595" spans="1:10" x14ac:dyDescent="0.25">
      <c r="A7595" t="s">
        <v>147</v>
      </c>
      <c r="B7595">
        <f>27478.0948800096*(1/100/100)</f>
        <v>2.7478094880009603</v>
      </c>
      <c r="C7595">
        <v>85023</v>
      </c>
      <c r="D7595" t="s">
        <v>7225</v>
      </c>
      <c r="E7595">
        <v>70705</v>
      </c>
      <c r="F7595" t="s">
        <v>1930</v>
      </c>
      <c r="G7595">
        <v>707</v>
      </c>
      <c r="H7595" t="s">
        <v>6</v>
      </c>
      <c r="I7595">
        <v>7</v>
      </c>
      <c r="J7595" t="s">
        <v>114</v>
      </c>
    </row>
    <row r="7596" spans="1:10" x14ac:dyDescent="0.25">
      <c r="A7596" t="s">
        <v>147</v>
      </c>
      <c r="B7596">
        <f>46320.9573769851*(1/100/100)</f>
        <v>4.6320957376985099</v>
      </c>
      <c r="C7596">
        <v>85024</v>
      </c>
      <c r="D7596" t="s">
        <v>7242</v>
      </c>
      <c r="E7596">
        <v>70720</v>
      </c>
      <c r="F7596" t="s">
        <v>1944</v>
      </c>
      <c r="G7596">
        <v>707</v>
      </c>
      <c r="H7596" t="s">
        <v>6</v>
      </c>
      <c r="I7596">
        <v>7</v>
      </c>
      <c r="J7596" t="s">
        <v>114</v>
      </c>
    </row>
    <row r="7597" spans="1:10" x14ac:dyDescent="0.25">
      <c r="A7597" t="s">
        <v>147</v>
      </c>
      <c r="B7597">
        <f>42547.5796911171*(1/100/100)</f>
        <v>4.2547579691117097</v>
      </c>
      <c r="C7597">
        <v>85025</v>
      </c>
      <c r="D7597" t="s">
        <v>7230</v>
      </c>
      <c r="E7597">
        <v>70708</v>
      </c>
      <c r="F7597" t="s">
        <v>1933</v>
      </c>
      <c r="G7597">
        <v>707</v>
      </c>
      <c r="H7597" t="s">
        <v>6</v>
      </c>
      <c r="I7597">
        <v>7</v>
      </c>
      <c r="J7597" t="s">
        <v>114</v>
      </c>
    </row>
    <row r="7598" spans="1:10" x14ac:dyDescent="0.25">
      <c r="A7598" t="s">
        <v>147</v>
      </c>
      <c r="B7598">
        <f>79512.9445507401*(1/100/100)</f>
        <v>7.9512944550740103</v>
      </c>
      <c r="C7598">
        <v>85026</v>
      </c>
      <c r="D7598" t="s">
        <v>1944</v>
      </c>
      <c r="E7598">
        <v>70720</v>
      </c>
      <c r="F7598" t="s">
        <v>1944</v>
      </c>
      <c r="G7598">
        <v>707</v>
      </c>
      <c r="H7598" t="s">
        <v>6</v>
      </c>
      <c r="I7598">
        <v>7</v>
      </c>
      <c r="J7598" t="s">
        <v>114</v>
      </c>
    </row>
    <row r="7599" spans="1:10" x14ac:dyDescent="0.25">
      <c r="A7599" t="s">
        <v>147</v>
      </c>
      <c r="B7599">
        <f>115371.793231202*(1/100/100)</f>
        <v>11.537179323120201</v>
      </c>
      <c r="C7599">
        <v>85027</v>
      </c>
      <c r="D7599" t="s">
        <v>7240</v>
      </c>
      <c r="E7599">
        <v>70719</v>
      </c>
      <c r="F7599" t="s">
        <v>1943</v>
      </c>
      <c r="G7599">
        <v>707</v>
      </c>
      <c r="H7599" t="s">
        <v>6</v>
      </c>
      <c r="I7599">
        <v>7</v>
      </c>
      <c r="J7599" t="s">
        <v>114</v>
      </c>
    </row>
    <row r="7600" spans="1:10" x14ac:dyDescent="0.25">
      <c r="A7600" t="s">
        <v>147</v>
      </c>
      <c r="B7600">
        <f>108852.890290964*(1/100/100)</f>
        <v>10.8852890290964</v>
      </c>
      <c r="C7600">
        <v>85028</v>
      </c>
      <c r="D7600" t="s">
        <v>7235</v>
      </c>
      <c r="E7600">
        <v>70716</v>
      </c>
      <c r="F7600" t="s">
        <v>6</v>
      </c>
      <c r="G7600">
        <v>707</v>
      </c>
      <c r="H7600" t="s">
        <v>6</v>
      </c>
      <c r="I7600">
        <v>7</v>
      </c>
      <c r="J7600" t="s">
        <v>114</v>
      </c>
    </row>
    <row r="7601" spans="1:10" x14ac:dyDescent="0.25">
      <c r="A7601" t="s">
        <v>147</v>
      </c>
      <c r="B7601">
        <f>10761.7052763299*(1/100/100)</f>
        <v>1.07617052763299</v>
      </c>
      <c r="C7601">
        <v>85029</v>
      </c>
      <c r="D7601" t="s">
        <v>5447</v>
      </c>
      <c r="E7601">
        <v>70705</v>
      </c>
      <c r="F7601" t="s">
        <v>1930</v>
      </c>
      <c r="G7601">
        <v>707</v>
      </c>
      <c r="H7601" t="s">
        <v>6</v>
      </c>
      <c r="I7601">
        <v>7</v>
      </c>
      <c r="J7601" t="s">
        <v>114</v>
      </c>
    </row>
    <row r="7602" spans="1:10" x14ac:dyDescent="0.25">
      <c r="A7602" t="s">
        <v>147</v>
      </c>
      <c r="B7602">
        <f>42420.0797510214*(1/100/100)</f>
        <v>4.2420079751021404</v>
      </c>
      <c r="C7602">
        <v>85030</v>
      </c>
      <c r="D7602" t="s">
        <v>7221</v>
      </c>
      <c r="E7602">
        <v>70704</v>
      </c>
      <c r="F7602" t="s">
        <v>1929</v>
      </c>
      <c r="G7602">
        <v>707</v>
      </c>
      <c r="H7602" t="s">
        <v>6</v>
      </c>
      <c r="I7602">
        <v>7</v>
      </c>
      <c r="J7602" t="s">
        <v>114</v>
      </c>
    </row>
    <row r="7603" spans="1:10" x14ac:dyDescent="0.25">
      <c r="A7603" t="s">
        <v>147</v>
      </c>
      <c r="B7603">
        <f>38401.8899594801*(1/100/100)</f>
        <v>3.8401889959480098</v>
      </c>
      <c r="C7603">
        <v>85031</v>
      </c>
      <c r="D7603" t="s">
        <v>7244</v>
      </c>
      <c r="E7603">
        <v>70725</v>
      </c>
      <c r="F7603" t="s">
        <v>7244</v>
      </c>
      <c r="G7603">
        <v>707</v>
      </c>
      <c r="H7603" t="s">
        <v>6</v>
      </c>
      <c r="I7603">
        <v>7</v>
      </c>
      <c r="J7603" t="s">
        <v>114</v>
      </c>
    </row>
    <row r="7604" spans="1:10" x14ac:dyDescent="0.25">
      <c r="A7604" t="s">
        <v>147</v>
      </c>
      <c r="B7604">
        <f>45824.031798143*(1/100/100)</f>
        <v>4.5824031798142997</v>
      </c>
      <c r="C7604">
        <v>85032</v>
      </c>
      <c r="D7604" t="s">
        <v>1947</v>
      </c>
      <c r="E7604">
        <v>70727</v>
      </c>
      <c r="F7604" t="s">
        <v>1947</v>
      </c>
      <c r="G7604">
        <v>707</v>
      </c>
      <c r="H7604" t="s">
        <v>6</v>
      </c>
      <c r="I7604">
        <v>7</v>
      </c>
      <c r="J7604" t="s">
        <v>114</v>
      </c>
    </row>
    <row r="7605" spans="1:10" x14ac:dyDescent="0.25">
      <c r="A7605" t="s">
        <v>147</v>
      </c>
      <c r="B7605">
        <f>14662.2454862014*(1/100/100)</f>
        <v>1.4662245486201402</v>
      </c>
      <c r="C7605">
        <v>85033</v>
      </c>
      <c r="D7605" t="s">
        <v>7226</v>
      </c>
      <c r="E7605">
        <v>70705</v>
      </c>
      <c r="F7605" t="s">
        <v>1930</v>
      </c>
      <c r="G7605">
        <v>707</v>
      </c>
      <c r="H7605" t="s">
        <v>6</v>
      </c>
      <c r="I7605">
        <v>7</v>
      </c>
      <c r="J7605" t="s">
        <v>114</v>
      </c>
    </row>
    <row r="7606" spans="1:10" x14ac:dyDescent="0.25">
      <c r="A7606" t="s">
        <v>147</v>
      </c>
      <c r="B7606">
        <f>38106.7395322349*(1/100/100)</f>
        <v>3.8106739532234899</v>
      </c>
      <c r="C7606">
        <v>85034</v>
      </c>
      <c r="D7606" t="s">
        <v>7229</v>
      </c>
      <c r="E7606">
        <v>70707</v>
      </c>
      <c r="F7606" t="s">
        <v>1932</v>
      </c>
      <c r="G7606">
        <v>707</v>
      </c>
      <c r="H7606" t="s">
        <v>6</v>
      </c>
      <c r="I7606">
        <v>7</v>
      </c>
      <c r="J7606" t="s">
        <v>114</v>
      </c>
    </row>
    <row r="7607" spans="1:10" x14ac:dyDescent="0.25">
      <c r="A7607" t="s">
        <v>147</v>
      </c>
      <c r="B7607">
        <f>19210.2807936194*(1/100/100)</f>
        <v>1.9210280793619401</v>
      </c>
      <c r="C7607">
        <v>85035</v>
      </c>
      <c r="D7607" t="s">
        <v>7233</v>
      </c>
      <c r="E7607">
        <v>70711</v>
      </c>
      <c r="F7607" t="s">
        <v>1936</v>
      </c>
      <c r="G7607">
        <v>707</v>
      </c>
      <c r="H7607" t="s">
        <v>6</v>
      </c>
      <c r="I7607">
        <v>7</v>
      </c>
      <c r="J7607" t="s">
        <v>114</v>
      </c>
    </row>
    <row r="7608" spans="1:10" x14ac:dyDescent="0.25">
      <c r="A7608" t="s">
        <v>147</v>
      </c>
      <c r="B7608">
        <f>55920.4757536297*(1/100/100)</f>
        <v>5.5920475753629697</v>
      </c>
      <c r="C7608">
        <v>85036</v>
      </c>
      <c r="D7608" t="s">
        <v>1527</v>
      </c>
      <c r="E7608">
        <v>70705</v>
      </c>
      <c r="F7608" t="s">
        <v>1930</v>
      </c>
      <c r="G7608">
        <v>707</v>
      </c>
      <c r="H7608" t="s">
        <v>6</v>
      </c>
      <c r="I7608">
        <v>7</v>
      </c>
      <c r="J7608" t="s">
        <v>114</v>
      </c>
    </row>
    <row r="7609" spans="1:10" x14ac:dyDescent="0.25">
      <c r="A7609" t="s">
        <v>147</v>
      </c>
      <c r="B7609">
        <f>61412.5360672509*(1/100/100)</f>
        <v>6.1412536067250905</v>
      </c>
      <c r="C7609">
        <v>85037</v>
      </c>
      <c r="D7609" t="s">
        <v>1950</v>
      </c>
      <c r="E7609">
        <v>70731</v>
      </c>
      <c r="F7609" t="s">
        <v>1950</v>
      </c>
      <c r="G7609">
        <v>707</v>
      </c>
      <c r="H7609" t="s">
        <v>6</v>
      </c>
      <c r="I7609">
        <v>7</v>
      </c>
      <c r="J7609" t="s">
        <v>114</v>
      </c>
    </row>
    <row r="7610" spans="1:10" x14ac:dyDescent="0.25">
      <c r="A7610" t="s">
        <v>147</v>
      </c>
      <c r="B7610">
        <f>106995.46156325*(1/100/100)</f>
        <v>10.699546156325001</v>
      </c>
      <c r="C7610">
        <v>85038</v>
      </c>
      <c r="D7610" t="s">
        <v>1951</v>
      </c>
      <c r="E7610">
        <v>70732</v>
      </c>
      <c r="F7610" t="s">
        <v>1951</v>
      </c>
      <c r="G7610">
        <v>707</v>
      </c>
      <c r="H7610" t="s">
        <v>6</v>
      </c>
      <c r="I7610">
        <v>7</v>
      </c>
      <c r="J7610" t="s">
        <v>114</v>
      </c>
    </row>
    <row r="7611" spans="1:10" x14ac:dyDescent="0.25">
      <c r="A7611" t="s">
        <v>147</v>
      </c>
      <c r="B7611">
        <f>63071.5118329971*(1/100/100)</f>
        <v>6.3071511832997107</v>
      </c>
      <c r="C7611">
        <v>85039</v>
      </c>
      <c r="D7611" t="s">
        <v>7227</v>
      </c>
      <c r="E7611">
        <v>70705</v>
      </c>
      <c r="F7611" t="s">
        <v>1930</v>
      </c>
      <c r="G7611">
        <v>707</v>
      </c>
      <c r="H7611" t="s">
        <v>6</v>
      </c>
      <c r="I7611">
        <v>7</v>
      </c>
      <c r="J7611" t="s">
        <v>114</v>
      </c>
    </row>
    <row r="7612" spans="1:10" x14ac:dyDescent="0.25">
      <c r="A7612" t="s">
        <v>147</v>
      </c>
      <c r="B7612">
        <f>44272.1674714332*(1/100/100)</f>
        <v>4.4272167471433201</v>
      </c>
      <c r="C7612">
        <v>85040</v>
      </c>
      <c r="D7612" t="s">
        <v>7231</v>
      </c>
      <c r="E7612">
        <v>70708</v>
      </c>
      <c r="F7612" t="s">
        <v>1933</v>
      </c>
      <c r="G7612">
        <v>707</v>
      </c>
      <c r="H7612" t="s">
        <v>6</v>
      </c>
      <c r="I7612">
        <v>7</v>
      </c>
      <c r="J7612" t="s">
        <v>114</v>
      </c>
    </row>
    <row r="7613" spans="1:10" x14ac:dyDescent="0.25">
      <c r="A7613" t="s">
        <v>147</v>
      </c>
      <c r="B7613">
        <f>191556.028778569*(1/100/100)</f>
        <v>19.1556028778569</v>
      </c>
      <c r="C7613">
        <v>85041</v>
      </c>
      <c r="D7613" t="s">
        <v>7241</v>
      </c>
      <c r="E7613">
        <v>70719</v>
      </c>
      <c r="F7613" t="s">
        <v>1943</v>
      </c>
      <c r="G7613">
        <v>707</v>
      </c>
      <c r="H7613" t="s">
        <v>6</v>
      </c>
      <c r="I7613">
        <v>7</v>
      </c>
      <c r="J7613" t="s">
        <v>114</v>
      </c>
    </row>
    <row r="7614" spans="1:10" x14ac:dyDescent="0.25">
      <c r="A7614" t="s">
        <v>147</v>
      </c>
      <c r="B7614">
        <f>81825.7132625555*(1/100/100)</f>
        <v>8.1825713262555499</v>
      </c>
      <c r="C7614">
        <v>85101</v>
      </c>
      <c r="D7614" t="s">
        <v>1934</v>
      </c>
      <c r="E7614">
        <v>70709</v>
      </c>
      <c r="F7614" t="s">
        <v>1934</v>
      </c>
      <c r="G7614">
        <v>707</v>
      </c>
      <c r="H7614" t="s">
        <v>6</v>
      </c>
      <c r="I7614">
        <v>7</v>
      </c>
      <c r="J7614" t="s">
        <v>114</v>
      </c>
    </row>
    <row r="7615" spans="1:10" x14ac:dyDescent="0.25">
      <c r="A7615" t="s">
        <v>147</v>
      </c>
      <c r="B7615">
        <f>154554.921601801*(1/100/100)</f>
        <v>15.455492160180102</v>
      </c>
      <c r="C7615">
        <v>85102</v>
      </c>
      <c r="D7615" t="s">
        <v>1937</v>
      </c>
      <c r="E7615">
        <v>70712</v>
      </c>
      <c r="F7615" t="s">
        <v>1937</v>
      </c>
      <c r="G7615">
        <v>707</v>
      </c>
      <c r="H7615" t="s">
        <v>6</v>
      </c>
      <c r="I7615">
        <v>7</v>
      </c>
      <c r="J7615" t="s">
        <v>114</v>
      </c>
    </row>
    <row r="7616" spans="1:10" x14ac:dyDescent="0.25">
      <c r="A7616" t="s">
        <v>147</v>
      </c>
      <c r="B7616">
        <f>285362.494322336*(1/100/100)</f>
        <v>28.5362494322336</v>
      </c>
      <c r="C7616">
        <v>85103</v>
      </c>
      <c r="D7616" t="s">
        <v>7236</v>
      </c>
      <c r="E7616">
        <v>70717</v>
      </c>
      <c r="F7616" t="s">
        <v>1941</v>
      </c>
      <c r="G7616">
        <v>707</v>
      </c>
      <c r="H7616" t="s">
        <v>6</v>
      </c>
      <c r="I7616">
        <v>7</v>
      </c>
      <c r="J7616" t="s">
        <v>114</v>
      </c>
    </row>
    <row r="7617" spans="1:10" x14ac:dyDescent="0.25">
      <c r="A7617" t="s">
        <v>147</v>
      </c>
      <c r="B7617">
        <f>184494.900468423*(1/100/100)</f>
        <v>18.4494900468423</v>
      </c>
      <c r="C7617">
        <v>85104</v>
      </c>
      <c r="D7617" t="s">
        <v>7237</v>
      </c>
      <c r="E7617">
        <v>70717</v>
      </c>
      <c r="F7617" t="s">
        <v>1941</v>
      </c>
      <c r="G7617">
        <v>707</v>
      </c>
      <c r="H7617" t="s">
        <v>6</v>
      </c>
      <c r="I7617">
        <v>7</v>
      </c>
      <c r="J7617" t="s">
        <v>114</v>
      </c>
    </row>
    <row r="7618" spans="1:10" x14ac:dyDescent="0.25">
      <c r="A7618" t="s">
        <v>147</v>
      </c>
      <c r="B7618">
        <f>97255.5733037152*(1/100/100)</f>
        <v>9.7255573303715206</v>
      </c>
      <c r="C7618">
        <v>85105</v>
      </c>
      <c r="D7618" t="s">
        <v>1946</v>
      </c>
      <c r="E7618">
        <v>70723</v>
      </c>
      <c r="F7618" t="s">
        <v>1946</v>
      </c>
      <c r="G7618">
        <v>707</v>
      </c>
      <c r="H7618" t="s">
        <v>6</v>
      </c>
      <c r="I7618">
        <v>7</v>
      </c>
      <c r="J7618" t="s">
        <v>114</v>
      </c>
    </row>
    <row r="7619" spans="1:10" x14ac:dyDescent="0.25">
      <c r="A7619" t="s">
        <v>147</v>
      </c>
      <c r="B7619">
        <f>126597.838808948*(1/100/100)</f>
        <v>12.6597838808948</v>
      </c>
      <c r="C7619">
        <v>85106</v>
      </c>
      <c r="D7619" t="s">
        <v>7243</v>
      </c>
      <c r="E7619">
        <v>70724</v>
      </c>
      <c r="F7619" t="s">
        <v>7243</v>
      </c>
      <c r="G7619">
        <v>707</v>
      </c>
      <c r="H7619" t="s">
        <v>6</v>
      </c>
      <c r="I7619">
        <v>7</v>
      </c>
      <c r="J7619" t="s">
        <v>114</v>
      </c>
    </row>
    <row r="7620" spans="1:10" x14ac:dyDescent="0.25">
      <c r="A7620" t="s">
        <v>147</v>
      </c>
      <c r="B7620">
        <f>72769.0198017885*(1/100/100)</f>
        <v>7.2769019801788497</v>
      </c>
      <c r="C7620">
        <v>85107</v>
      </c>
      <c r="D7620" t="s">
        <v>7245</v>
      </c>
      <c r="E7620">
        <v>70726</v>
      </c>
      <c r="F7620" t="s">
        <v>7245</v>
      </c>
      <c r="G7620">
        <v>707</v>
      </c>
      <c r="H7620" t="s">
        <v>6</v>
      </c>
      <c r="I7620">
        <v>7</v>
      </c>
      <c r="J7620" t="s">
        <v>114</v>
      </c>
    </row>
    <row r="7621" spans="1:10" x14ac:dyDescent="0.25">
      <c r="A7621" t="s">
        <v>147</v>
      </c>
      <c r="B7621">
        <f>184915.675131517*(1/100/100)</f>
        <v>18.491567513151701</v>
      </c>
      <c r="C7621">
        <v>85108</v>
      </c>
      <c r="D7621" t="s">
        <v>1953</v>
      </c>
      <c r="E7621">
        <v>70734</v>
      </c>
      <c r="F7621" t="s">
        <v>1953</v>
      </c>
      <c r="G7621">
        <v>707</v>
      </c>
      <c r="H7621" t="s">
        <v>6</v>
      </c>
      <c r="I7621">
        <v>7</v>
      </c>
      <c r="J7621" t="s">
        <v>114</v>
      </c>
    </row>
    <row r="7622" spans="1:10" x14ac:dyDescent="0.25">
      <c r="A7622" t="s">
        <v>147</v>
      </c>
      <c r="B7622">
        <f>94854.2936177322*(1/100/100)</f>
        <v>9.485429361773221</v>
      </c>
      <c r="C7622">
        <v>85201</v>
      </c>
      <c r="D7622" t="s">
        <v>1926</v>
      </c>
      <c r="E7622">
        <v>70701</v>
      </c>
      <c r="F7622" t="s">
        <v>1926</v>
      </c>
      <c r="G7622">
        <v>707</v>
      </c>
      <c r="H7622" t="s">
        <v>6</v>
      </c>
      <c r="I7622">
        <v>7</v>
      </c>
      <c r="J7622" t="s">
        <v>114</v>
      </c>
    </row>
    <row r="7623" spans="1:10" x14ac:dyDescent="0.25">
      <c r="A7623" t="s">
        <v>147</v>
      </c>
      <c r="B7623">
        <f>61870.8493131631*(1/100/100)</f>
        <v>6.1870849313163099</v>
      </c>
      <c r="C7623">
        <v>85202</v>
      </c>
      <c r="D7623" t="s">
        <v>7246</v>
      </c>
      <c r="E7623">
        <v>70728</v>
      </c>
      <c r="F7623" t="s">
        <v>1948</v>
      </c>
      <c r="G7623">
        <v>707</v>
      </c>
      <c r="H7623" t="s">
        <v>6</v>
      </c>
      <c r="I7623">
        <v>7</v>
      </c>
      <c r="J7623" t="s">
        <v>114</v>
      </c>
    </row>
    <row r="7624" spans="1:10" x14ac:dyDescent="0.25">
      <c r="A7624" t="s">
        <v>147</v>
      </c>
      <c r="B7624">
        <f>81284.1225154001*(1/100/100)</f>
        <v>8.128412251540011</v>
      </c>
      <c r="C7624">
        <v>85203</v>
      </c>
      <c r="D7624" t="s">
        <v>1931</v>
      </c>
      <c r="E7624">
        <v>70706</v>
      </c>
      <c r="F7624" t="s">
        <v>1931</v>
      </c>
      <c r="G7624">
        <v>707</v>
      </c>
      <c r="H7624" t="s">
        <v>6</v>
      </c>
      <c r="I7624">
        <v>7</v>
      </c>
      <c r="J7624" t="s">
        <v>114</v>
      </c>
    </row>
    <row r="7625" spans="1:10" x14ac:dyDescent="0.25">
      <c r="A7625" t="s">
        <v>147</v>
      </c>
      <c r="B7625">
        <f>9251.86028519714*(1/100/100)</f>
        <v>0.92518602851971399</v>
      </c>
      <c r="C7625">
        <v>85204</v>
      </c>
      <c r="D7625" t="s">
        <v>7234</v>
      </c>
      <c r="E7625">
        <v>70713</v>
      </c>
      <c r="F7625" t="s">
        <v>1938</v>
      </c>
      <c r="G7625">
        <v>707</v>
      </c>
      <c r="H7625" t="s">
        <v>6</v>
      </c>
      <c r="I7625">
        <v>7</v>
      </c>
      <c r="J7625" t="s">
        <v>114</v>
      </c>
    </row>
    <row r="7626" spans="1:10" x14ac:dyDescent="0.25">
      <c r="A7626" t="s">
        <v>147</v>
      </c>
      <c r="B7626">
        <f>94011.30645674*(1/100/100)</f>
        <v>9.4011306456739998</v>
      </c>
      <c r="C7626">
        <v>85205</v>
      </c>
      <c r="D7626" t="s">
        <v>1935</v>
      </c>
      <c r="E7626">
        <v>70710</v>
      </c>
      <c r="F7626" t="s">
        <v>1935</v>
      </c>
      <c r="G7626">
        <v>707</v>
      </c>
      <c r="H7626" t="s">
        <v>6</v>
      </c>
      <c r="I7626">
        <v>7</v>
      </c>
      <c r="J7626" t="s">
        <v>114</v>
      </c>
    </row>
    <row r="7627" spans="1:10" x14ac:dyDescent="0.25">
      <c r="A7627" t="s">
        <v>147</v>
      </c>
      <c r="B7627">
        <f>86384.4566505181*(1/100/100)</f>
        <v>8.63844566505181</v>
      </c>
      <c r="C7627">
        <v>85206</v>
      </c>
      <c r="D7627" t="s">
        <v>1938</v>
      </c>
      <c r="E7627">
        <v>70713</v>
      </c>
      <c r="F7627" t="s">
        <v>1938</v>
      </c>
      <c r="G7627">
        <v>707</v>
      </c>
      <c r="H7627" t="s">
        <v>6</v>
      </c>
      <c r="I7627">
        <v>7</v>
      </c>
      <c r="J7627" t="s">
        <v>114</v>
      </c>
    </row>
    <row r="7628" spans="1:10" x14ac:dyDescent="0.25">
      <c r="A7628" t="s">
        <v>147</v>
      </c>
      <c r="B7628">
        <f>97086.8215482789*(1/100/100)</f>
        <v>9.7086821548278905</v>
      </c>
      <c r="C7628">
        <v>85207</v>
      </c>
      <c r="D7628" t="s">
        <v>1945</v>
      </c>
      <c r="E7628">
        <v>70721</v>
      </c>
      <c r="F7628" t="s">
        <v>1945</v>
      </c>
      <c r="G7628">
        <v>707</v>
      </c>
      <c r="H7628" t="s">
        <v>6</v>
      </c>
      <c r="I7628">
        <v>7</v>
      </c>
      <c r="J7628" t="s">
        <v>114</v>
      </c>
    </row>
    <row r="7629" spans="1:10" x14ac:dyDescent="0.25">
      <c r="A7629" t="s">
        <v>147</v>
      </c>
      <c r="B7629">
        <f>116190.826333086*(1/100/100)</f>
        <v>11.619082633308601</v>
      </c>
      <c r="C7629">
        <v>85208</v>
      </c>
      <c r="D7629" t="s">
        <v>7248</v>
      </c>
      <c r="E7629">
        <v>70735</v>
      </c>
      <c r="F7629" t="s">
        <v>1954</v>
      </c>
      <c r="G7629">
        <v>707</v>
      </c>
      <c r="H7629" t="s">
        <v>6</v>
      </c>
      <c r="I7629">
        <v>7</v>
      </c>
      <c r="J7629" t="s">
        <v>114</v>
      </c>
    </row>
    <row r="7630" spans="1:10" x14ac:dyDescent="0.25">
      <c r="A7630" t="s">
        <v>147</v>
      </c>
      <c r="B7630">
        <f>139503.385377081*(1/100/100)</f>
        <v>13.950338537708101</v>
      </c>
      <c r="C7630">
        <v>85209</v>
      </c>
      <c r="D7630" t="s">
        <v>1948</v>
      </c>
      <c r="E7630">
        <v>70728</v>
      </c>
      <c r="F7630" t="s">
        <v>1948</v>
      </c>
      <c r="G7630">
        <v>707</v>
      </c>
      <c r="H7630" t="s">
        <v>6</v>
      </c>
      <c r="I7630">
        <v>7</v>
      </c>
      <c r="J7630" t="s">
        <v>114</v>
      </c>
    </row>
    <row r="7631" spans="1:10" x14ac:dyDescent="0.25">
      <c r="A7631" t="s">
        <v>147</v>
      </c>
      <c r="B7631">
        <f>21270.6048194748*(1/100/100)</f>
        <v>2.1270604819474803</v>
      </c>
      <c r="C7631">
        <v>85210</v>
      </c>
      <c r="D7631" t="s">
        <v>7247</v>
      </c>
      <c r="E7631">
        <v>70728</v>
      </c>
      <c r="F7631" t="s">
        <v>1948</v>
      </c>
      <c r="G7631">
        <v>707</v>
      </c>
      <c r="H7631" t="s">
        <v>6</v>
      </c>
      <c r="I7631">
        <v>7</v>
      </c>
      <c r="J7631" t="s">
        <v>114</v>
      </c>
    </row>
    <row r="7632" spans="1:10" x14ac:dyDescent="0.25">
      <c r="A7632" t="s">
        <v>147</v>
      </c>
      <c r="B7632">
        <f>100215.5393612*(1/100/100)</f>
        <v>10.02155393612</v>
      </c>
      <c r="C7632">
        <v>85211</v>
      </c>
      <c r="D7632" t="s">
        <v>1949</v>
      </c>
      <c r="E7632">
        <v>70729</v>
      </c>
      <c r="F7632" t="s">
        <v>1949</v>
      </c>
      <c r="G7632">
        <v>707</v>
      </c>
      <c r="H7632" t="s">
        <v>6</v>
      </c>
      <c r="I7632">
        <v>7</v>
      </c>
      <c r="J7632" t="s">
        <v>114</v>
      </c>
    </row>
    <row r="7633" spans="1:10" x14ac:dyDescent="0.25">
      <c r="A7633" t="s">
        <v>147</v>
      </c>
      <c r="B7633">
        <f>21328.5877323055*(1/100/100)</f>
        <v>2.13285877323055</v>
      </c>
      <c r="C7633">
        <v>85212</v>
      </c>
      <c r="D7633" t="s">
        <v>7249</v>
      </c>
      <c r="E7633">
        <v>70735</v>
      </c>
      <c r="F7633" t="s">
        <v>1954</v>
      </c>
      <c r="G7633">
        <v>707</v>
      </c>
      <c r="H7633" t="s">
        <v>6</v>
      </c>
      <c r="I7633">
        <v>7</v>
      </c>
      <c r="J7633" t="s">
        <v>114</v>
      </c>
    </row>
    <row r="7634" spans="1:10" x14ac:dyDescent="0.25">
      <c r="A7634" t="s">
        <v>147</v>
      </c>
      <c r="B7634">
        <f>33659.0489647354*(1/100/100)</f>
        <v>3.3659048964735399</v>
      </c>
      <c r="C7634">
        <v>85213</v>
      </c>
      <c r="D7634" t="s">
        <v>1952</v>
      </c>
      <c r="E7634">
        <v>70733</v>
      </c>
      <c r="F7634" t="s">
        <v>1952</v>
      </c>
      <c r="G7634">
        <v>707</v>
      </c>
      <c r="H7634" t="s">
        <v>6</v>
      </c>
      <c r="I7634">
        <v>7</v>
      </c>
      <c r="J7634" t="s">
        <v>114</v>
      </c>
    </row>
    <row r="7635" spans="1:10" x14ac:dyDescent="0.25">
      <c r="A7635" t="s">
        <v>147</v>
      </c>
      <c r="B7635">
        <f>106325.794808865*(1/100/100)</f>
        <v>10.6325794808865</v>
      </c>
      <c r="C7635">
        <v>86001</v>
      </c>
      <c r="D7635" t="s">
        <v>1955</v>
      </c>
      <c r="E7635">
        <v>70801</v>
      </c>
      <c r="F7635" t="s">
        <v>1955</v>
      </c>
      <c r="G7635">
        <v>708</v>
      </c>
      <c r="H7635" t="s">
        <v>7</v>
      </c>
      <c r="I7635">
        <v>7</v>
      </c>
      <c r="J7635" t="s">
        <v>114</v>
      </c>
    </row>
    <row r="7636" spans="1:10" x14ac:dyDescent="0.25">
      <c r="A7636" t="s">
        <v>147</v>
      </c>
      <c r="B7636">
        <f>61435.4461493976*(1/100/100)</f>
        <v>6.1435446149397599</v>
      </c>
      <c r="C7636">
        <v>86002</v>
      </c>
      <c r="D7636" t="s">
        <v>1956</v>
      </c>
      <c r="E7636">
        <v>70802</v>
      </c>
      <c r="F7636" t="s">
        <v>1956</v>
      </c>
      <c r="G7636">
        <v>708</v>
      </c>
      <c r="H7636" t="s">
        <v>7</v>
      </c>
      <c r="I7636">
        <v>7</v>
      </c>
      <c r="J7636" t="s">
        <v>114</v>
      </c>
    </row>
    <row r="7637" spans="1:10" x14ac:dyDescent="0.25">
      <c r="A7637" t="s">
        <v>147</v>
      </c>
      <c r="B7637">
        <f>92455.5730332174*(1/100/100)</f>
        <v>9.2455573033217409</v>
      </c>
      <c r="C7637">
        <v>86003</v>
      </c>
      <c r="D7637" t="s">
        <v>1957</v>
      </c>
      <c r="E7637">
        <v>70803</v>
      </c>
      <c r="F7637" t="s">
        <v>1957</v>
      </c>
      <c r="G7637">
        <v>708</v>
      </c>
      <c r="H7637" t="s">
        <v>7</v>
      </c>
      <c r="I7637">
        <v>7</v>
      </c>
      <c r="J7637" t="s">
        <v>114</v>
      </c>
    </row>
    <row r="7638" spans="1:10" x14ac:dyDescent="0.25">
      <c r="A7638" t="s">
        <v>147</v>
      </c>
      <c r="B7638">
        <f>94041.6672377986*(1/100/100)</f>
        <v>9.4041667237798592</v>
      </c>
      <c r="C7638">
        <v>86004</v>
      </c>
      <c r="D7638" t="s">
        <v>1958</v>
      </c>
      <c r="E7638">
        <v>70804</v>
      </c>
      <c r="F7638" t="s">
        <v>1958</v>
      </c>
      <c r="G7638">
        <v>708</v>
      </c>
      <c r="H7638" t="s">
        <v>7</v>
      </c>
      <c r="I7638">
        <v>7</v>
      </c>
      <c r="J7638" t="s">
        <v>114</v>
      </c>
    </row>
    <row r="7639" spans="1:10" x14ac:dyDescent="0.25">
      <c r="A7639" t="s">
        <v>147</v>
      </c>
      <c r="B7639">
        <f>5489.35125447163*(1/100/100)</f>
        <v>0.54893512544716305</v>
      </c>
      <c r="C7639">
        <v>86005</v>
      </c>
      <c r="D7639" t="s">
        <v>7250</v>
      </c>
      <c r="E7639">
        <v>70802</v>
      </c>
      <c r="F7639" t="s">
        <v>1956</v>
      </c>
      <c r="G7639">
        <v>708</v>
      </c>
      <c r="H7639" t="s">
        <v>7</v>
      </c>
      <c r="I7639">
        <v>7</v>
      </c>
      <c r="J7639" t="s">
        <v>114</v>
      </c>
    </row>
    <row r="7640" spans="1:10" x14ac:dyDescent="0.25">
      <c r="A7640" t="s">
        <v>147</v>
      </c>
      <c r="B7640">
        <f>197400.426093671*(1/100/100)</f>
        <v>19.740042609367102</v>
      </c>
      <c r="C7640">
        <v>86006</v>
      </c>
      <c r="D7640" t="s">
        <v>1959</v>
      </c>
      <c r="E7640">
        <v>70805</v>
      </c>
      <c r="F7640" t="s">
        <v>1959</v>
      </c>
      <c r="G7640">
        <v>708</v>
      </c>
      <c r="H7640" t="s">
        <v>7</v>
      </c>
      <c r="I7640">
        <v>7</v>
      </c>
      <c r="J7640" t="s">
        <v>114</v>
      </c>
    </row>
    <row r="7641" spans="1:10" x14ac:dyDescent="0.25">
      <c r="A7641" t="s">
        <v>147</v>
      </c>
      <c r="B7641">
        <f>90304.1550036315*(1/100/100)</f>
        <v>9.0304155003631514</v>
      </c>
      <c r="C7641">
        <v>86007</v>
      </c>
      <c r="D7641" t="s">
        <v>1960</v>
      </c>
      <c r="E7641">
        <v>70806</v>
      </c>
      <c r="F7641" t="s">
        <v>1960</v>
      </c>
      <c r="G7641">
        <v>708</v>
      </c>
      <c r="H7641" t="s">
        <v>7</v>
      </c>
      <c r="I7641">
        <v>7</v>
      </c>
      <c r="J7641" t="s">
        <v>114</v>
      </c>
    </row>
    <row r="7642" spans="1:10" x14ac:dyDescent="0.25">
      <c r="A7642" t="s">
        <v>147</v>
      </c>
      <c r="B7642">
        <f>297157.311107597*(1/100/100)</f>
        <v>29.715731110759705</v>
      </c>
      <c r="C7642">
        <v>86008</v>
      </c>
      <c r="D7642" t="s">
        <v>1961</v>
      </c>
      <c r="E7642">
        <v>70807</v>
      </c>
      <c r="F7642" t="s">
        <v>1961</v>
      </c>
      <c r="G7642">
        <v>708</v>
      </c>
      <c r="H7642" t="s">
        <v>7</v>
      </c>
      <c r="I7642">
        <v>7</v>
      </c>
      <c r="J7642" t="s">
        <v>114</v>
      </c>
    </row>
    <row r="7643" spans="1:10" x14ac:dyDescent="0.25">
      <c r="A7643" t="s">
        <v>147</v>
      </c>
      <c r="B7643">
        <f>120579.956220086*(1/100/100)</f>
        <v>12.057995622008599</v>
      </c>
      <c r="C7643">
        <v>86009</v>
      </c>
      <c r="D7643" t="s">
        <v>1962</v>
      </c>
      <c r="E7643">
        <v>70808</v>
      </c>
      <c r="F7643" t="s">
        <v>1962</v>
      </c>
      <c r="G7643">
        <v>708</v>
      </c>
      <c r="H7643" t="s">
        <v>7</v>
      </c>
      <c r="I7643">
        <v>7</v>
      </c>
      <c r="J7643" t="s">
        <v>114</v>
      </c>
    </row>
    <row r="7644" spans="1:10" x14ac:dyDescent="0.25">
      <c r="A7644" t="s">
        <v>147</v>
      </c>
      <c r="B7644">
        <f>50894.6664696689*(1/100/100)</f>
        <v>5.0894666469668897</v>
      </c>
      <c r="C7644">
        <v>86010</v>
      </c>
      <c r="D7644" t="s">
        <v>1963</v>
      </c>
      <c r="E7644">
        <v>70809</v>
      </c>
      <c r="F7644" t="s">
        <v>1963</v>
      </c>
      <c r="G7644">
        <v>708</v>
      </c>
      <c r="H7644" t="s">
        <v>7</v>
      </c>
      <c r="I7644">
        <v>7</v>
      </c>
      <c r="J7644" t="s">
        <v>114</v>
      </c>
    </row>
    <row r="7645" spans="1:10" x14ac:dyDescent="0.25">
      <c r="A7645" t="s">
        <v>147</v>
      </c>
      <c r="B7645">
        <f>41367.1914122842*(1/100/100)</f>
        <v>4.1367191412284203</v>
      </c>
      <c r="C7645">
        <v>86011</v>
      </c>
      <c r="D7645" t="s">
        <v>1964</v>
      </c>
      <c r="E7645">
        <v>70810</v>
      </c>
      <c r="F7645" t="s">
        <v>1964</v>
      </c>
      <c r="G7645">
        <v>708</v>
      </c>
      <c r="H7645" t="s">
        <v>7</v>
      </c>
      <c r="I7645">
        <v>7</v>
      </c>
      <c r="J7645" t="s">
        <v>114</v>
      </c>
    </row>
    <row r="7646" spans="1:10" x14ac:dyDescent="0.25">
      <c r="A7646" t="s">
        <v>147</v>
      </c>
      <c r="B7646">
        <f>8291.77113881124*(1/100/100)</f>
        <v>0.82917711388112403</v>
      </c>
      <c r="C7646">
        <v>86012</v>
      </c>
      <c r="D7646" t="s">
        <v>1966</v>
      </c>
      <c r="E7646">
        <v>70812</v>
      </c>
      <c r="F7646" t="s">
        <v>1966</v>
      </c>
      <c r="G7646">
        <v>708</v>
      </c>
      <c r="H7646" t="s">
        <v>7</v>
      </c>
      <c r="I7646">
        <v>7</v>
      </c>
      <c r="J7646" t="s">
        <v>114</v>
      </c>
    </row>
    <row r="7647" spans="1:10" x14ac:dyDescent="0.25">
      <c r="A7647" t="s">
        <v>147</v>
      </c>
      <c r="B7647">
        <f>102700.902888776*(1/100/100)</f>
        <v>10.270090288877601</v>
      </c>
      <c r="C7647">
        <v>86013</v>
      </c>
      <c r="D7647" t="s">
        <v>1965</v>
      </c>
      <c r="E7647">
        <v>70811</v>
      </c>
      <c r="F7647" t="s">
        <v>1965</v>
      </c>
      <c r="G7647">
        <v>708</v>
      </c>
      <c r="H7647" t="s">
        <v>7</v>
      </c>
      <c r="I7647">
        <v>7</v>
      </c>
      <c r="J7647" t="s">
        <v>114</v>
      </c>
    </row>
    <row r="7648" spans="1:10" x14ac:dyDescent="0.25">
      <c r="A7648" t="s">
        <v>147</v>
      </c>
      <c r="B7648">
        <f>91984.9992534845*(1/100/100)</f>
        <v>9.1984999253484503</v>
      </c>
      <c r="C7648">
        <v>86014</v>
      </c>
      <c r="D7648" t="s">
        <v>1967</v>
      </c>
      <c r="E7648">
        <v>70813</v>
      </c>
      <c r="F7648" t="s">
        <v>1967</v>
      </c>
      <c r="G7648">
        <v>708</v>
      </c>
      <c r="H7648" t="s">
        <v>7</v>
      </c>
      <c r="I7648">
        <v>7</v>
      </c>
      <c r="J7648" t="s">
        <v>114</v>
      </c>
    </row>
    <row r="7649" spans="1:10" x14ac:dyDescent="0.25">
      <c r="A7649" t="s">
        <v>147</v>
      </c>
      <c r="B7649">
        <f>70648.068572111*(1/100/100)</f>
        <v>7.0648068572111011</v>
      </c>
      <c r="C7649">
        <v>86015</v>
      </c>
      <c r="D7649" t="s">
        <v>1968</v>
      </c>
      <c r="E7649">
        <v>70814</v>
      </c>
      <c r="F7649" t="s">
        <v>1968</v>
      </c>
      <c r="G7649">
        <v>708</v>
      </c>
      <c r="H7649" t="s">
        <v>7</v>
      </c>
      <c r="I7649">
        <v>7</v>
      </c>
      <c r="J7649" t="s">
        <v>114</v>
      </c>
    </row>
    <row r="7650" spans="1:10" x14ac:dyDescent="0.25">
      <c r="A7650" t="s">
        <v>147</v>
      </c>
      <c r="B7650">
        <f>15306.4382314644*(1/100/100)</f>
        <v>1.5306438231464401</v>
      </c>
      <c r="C7650">
        <v>86016</v>
      </c>
      <c r="D7650" t="s">
        <v>1969</v>
      </c>
      <c r="E7650">
        <v>70815</v>
      </c>
      <c r="F7650" t="s">
        <v>1969</v>
      </c>
      <c r="G7650">
        <v>708</v>
      </c>
      <c r="H7650" t="s">
        <v>7</v>
      </c>
      <c r="I7650">
        <v>7</v>
      </c>
      <c r="J7650" t="s">
        <v>114</v>
      </c>
    </row>
    <row r="7651" spans="1:10" x14ac:dyDescent="0.25">
      <c r="A7651" t="s">
        <v>147</v>
      </c>
      <c r="B7651">
        <f>144878.483725597*(1/100/100)</f>
        <v>14.487848372559702</v>
      </c>
      <c r="C7651">
        <v>86017</v>
      </c>
      <c r="D7651" t="s">
        <v>1970</v>
      </c>
      <c r="E7651">
        <v>70816</v>
      </c>
      <c r="F7651" t="s">
        <v>1970</v>
      </c>
      <c r="G7651">
        <v>708</v>
      </c>
      <c r="H7651" t="s">
        <v>7</v>
      </c>
      <c r="I7651">
        <v>7</v>
      </c>
      <c r="J7651" t="s">
        <v>114</v>
      </c>
    </row>
    <row r="7652" spans="1:10" x14ac:dyDescent="0.25">
      <c r="A7652" t="s">
        <v>147</v>
      </c>
      <c r="B7652">
        <f>71875.668241947*(1/100/100)</f>
        <v>7.1875668241947004</v>
      </c>
      <c r="C7652">
        <v>86018</v>
      </c>
      <c r="D7652" t="s">
        <v>1971</v>
      </c>
      <c r="E7652">
        <v>70817</v>
      </c>
      <c r="F7652" t="s">
        <v>1971</v>
      </c>
      <c r="G7652">
        <v>708</v>
      </c>
      <c r="H7652" t="s">
        <v>7</v>
      </c>
      <c r="I7652">
        <v>7</v>
      </c>
      <c r="J7652" t="s">
        <v>114</v>
      </c>
    </row>
    <row r="7653" spans="1:10" x14ac:dyDescent="0.25">
      <c r="A7653" t="s">
        <v>147</v>
      </c>
      <c r="B7653">
        <f>45779.0573212992*(1/100/100)</f>
        <v>4.5779057321299206</v>
      </c>
      <c r="C7653">
        <v>86019</v>
      </c>
      <c r="D7653" t="s">
        <v>1972</v>
      </c>
      <c r="E7653">
        <v>70818</v>
      </c>
      <c r="F7653" t="s">
        <v>1972</v>
      </c>
      <c r="G7653">
        <v>708</v>
      </c>
      <c r="H7653" t="s">
        <v>7</v>
      </c>
      <c r="I7653">
        <v>7</v>
      </c>
      <c r="J7653" t="s">
        <v>114</v>
      </c>
    </row>
    <row r="7654" spans="1:10" x14ac:dyDescent="0.25">
      <c r="A7654" t="s">
        <v>147</v>
      </c>
      <c r="B7654">
        <f>16387.5700696101*(1/100/100)</f>
        <v>1.6387570069610102</v>
      </c>
      <c r="C7654">
        <v>86020</v>
      </c>
      <c r="D7654" t="s">
        <v>1973</v>
      </c>
      <c r="E7654">
        <v>70819</v>
      </c>
      <c r="F7654" t="s">
        <v>1973</v>
      </c>
      <c r="G7654">
        <v>708</v>
      </c>
      <c r="H7654" t="s">
        <v>7</v>
      </c>
      <c r="I7654">
        <v>7</v>
      </c>
      <c r="J7654" t="s">
        <v>114</v>
      </c>
    </row>
    <row r="7655" spans="1:10" x14ac:dyDescent="0.25">
      <c r="A7655" t="s">
        <v>147</v>
      </c>
      <c r="B7655">
        <f>174137.046834362*(1/100/100)</f>
        <v>17.413704683436201</v>
      </c>
      <c r="C7655">
        <v>86021</v>
      </c>
      <c r="D7655" t="s">
        <v>1974</v>
      </c>
      <c r="E7655">
        <v>70820</v>
      </c>
      <c r="F7655" t="s">
        <v>1974</v>
      </c>
      <c r="G7655">
        <v>708</v>
      </c>
      <c r="H7655" t="s">
        <v>7</v>
      </c>
      <c r="I7655">
        <v>7</v>
      </c>
      <c r="J7655" t="s">
        <v>114</v>
      </c>
    </row>
    <row r="7656" spans="1:10" x14ac:dyDescent="0.25">
      <c r="A7656" t="s">
        <v>147</v>
      </c>
      <c r="B7656">
        <f>167551.343375219*(1/100/100)</f>
        <v>16.755134337521902</v>
      </c>
      <c r="C7656">
        <v>86022</v>
      </c>
      <c r="D7656" t="s">
        <v>1975</v>
      </c>
      <c r="E7656">
        <v>70821</v>
      </c>
      <c r="F7656" t="s">
        <v>1975</v>
      </c>
      <c r="G7656">
        <v>708</v>
      </c>
      <c r="H7656" t="s">
        <v>7</v>
      </c>
      <c r="I7656">
        <v>7</v>
      </c>
      <c r="J7656" t="s">
        <v>114</v>
      </c>
    </row>
    <row r="7657" spans="1:10" x14ac:dyDescent="0.25">
      <c r="A7657" t="s">
        <v>147</v>
      </c>
      <c r="B7657">
        <f>4254.92086647692*(1/100/100)</f>
        <v>0.42549208664769206</v>
      </c>
      <c r="C7657">
        <v>86023</v>
      </c>
      <c r="D7657" t="s">
        <v>2888</v>
      </c>
      <c r="E7657">
        <v>70802</v>
      </c>
      <c r="F7657" t="s">
        <v>1956</v>
      </c>
      <c r="G7657">
        <v>708</v>
      </c>
      <c r="H7657" t="s">
        <v>7</v>
      </c>
      <c r="I7657">
        <v>7</v>
      </c>
      <c r="J7657" t="s">
        <v>114</v>
      </c>
    </row>
    <row r="7658" spans="1:10" x14ac:dyDescent="0.25">
      <c r="A7658" t="s">
        <v>147</v>
      </c>
      <c r="B7658">
        <f>45495.7761537563*(1/100/100)</f>
        <v>4.5495776153756298</v>
      </c>
      <c r="C7658">
        <v>86024</v>
      </c>
      <c r="D7658" t="s">
        <v>1976</v>
      </c>
      <c r="E7658">
        <v>70822</v>
      </c>
      <c r="F7658" t="s">
        <v>1976</v>
      </c>
      <c r="G7658">
        <v>708</v>
      </c>
      <c r="H7658" t="s">
        <v>7</v>
      </c>
      <c r="I7658">
        <v>7</v>
      </c>
      <c r="J7658" t="s">
        <v>114</v>
      </c>
    </row>
    <row r="7659" spans="1:10" x14ac:dyDescent="0.25">
      <c r="A7659" t="s">
        <v>147</v>
      </c>
      <c r="B7659">
        <f>15152.4277106374*(1/100/100)</f>
        <v>1.5152427710637399</v>
      </c>
      <c r="C7659">
        <v>86025</v>
      </c>
      <c r="D7659" t="s">
        <v>1977</v>
      </c>
      <c r="E7659">
        <v>70823</v>
      </c>
      <c r="F7659" t="s">
        <v>1977</v>
      </c>
      <c r="G7659">
        <v>708</v>
      </c>
      <c r="H7659" t="s">
        <v>7</v>
      </c>
      <c r="I7659">
        <v>7</v>
      </c>
      <c r="J7659" t="s">
        <v>114</v>
      </c>
    </row>
    <row r="7660" spans="1:10" x14ac:dyDescent="0.25">
      <c r="A7660" t="s">
        <v>147</v>
      </c>
      <c r="B7660">
        <f>73722.7324099447*(1/100/100)</f>
        <v>7.3722732409944705</v>
      </c>
      <c r="C7660">
        <v>86026</v>
      </c>
      <c r="D7660" t="s">
        <v>1978</v>
      </c>
      <c r="E7660">
        <v>70824</v>
      </c>
      <c r="F7660" t="s">
        <v>1978</v>
      </c>
      <c r="G7660">
        <v>708</v>
      </c>
      <c r="H7660" t="s">
        <v>7</v>
      </c>
      <c r="I7660">
        <v>7</v>
      </c>
      <c r="J7660" t="s">
        <v>114</v>
      </c>
    </row>
    <row r="7661" spans="1:10" x14ac:dyDescent="0.25">
      <c r="A7661" t="s">
        <v>147</v>
      </c>
      <c r="B7661">
        <f>36568.5960548215*(1/100/100)</f>
        <v>3.6568596054821501</v>
      </c>
      <c r="C7661">
        <v>86027</v>
      </c>
      <c r="D7661" t="s">
        <v>7253</v>
      </c>
      <c r="E7661">
        <v>70826</v>
      </c>
      <c r="F7661" t="s">
        <v>1980</v>
      </c>
      <c r="G7661">
        <v>708</v>
      </c>
      <c r="H7661" t="s">
        <v>7</v>
      </c>
      <c r="I7661">
        <v>7</v>
      </c>
      <c r="J7661" t="s">
        <v>114</v>
      </c>
    </row>
    <row r="7662" spans="1:10" x14ac:dyDescent="0.25">
      <c r="A7662" t="s">
        <v>147</v>
      </c>
      <c r="B7662">
        <f>15723.0159567457*(1/100/100)</f>
        <v>1.5723015956745701</v>
      </c>
      <c r="C7662">
        <v>86028</v>
      </c>
      <c r="D7662" t="s">
        <v>7255</v>
      </c>
      <c r="E7662">
        <v>70827</v>
      </c>
      <c r="F7662" t="s">
        <v>1981</v>
      </c>
      <c r="G7662">
        <v>708</v>
      </c>
      <c r="H7662" t="s">
        <v>7</v>
      </c>
      <c r="I7662">
        <v>7</v>
      </c>
      <c r="J7662" t="s">
        <v>114</v>
      </c>
    </row>
    <row r="7663" spans="1:10" x14ac:dyDescent="0.25">
      <c r="A7663" t="s">
        <v>147</v>
      </c>
      <c r="B7663">
        <f>22467.1866724702*(1/100/100)</f>
        <v>2.2467186672470203</v>
      </c>
      <c r="C7663">
        <v>86029</v>
      </c>
      <c r="D7663" t="s">
        <v>1979</v>
      </c>
      <c r="E7663">
        <v>70825</v>
      </c>
      <c r="F7663" t="s">
        <v>1979</v>
      </c>
      <c r="G7663">
        <v>708</v>
      </c>
      <c r="H7663" t="s">
        <v>7</v>
      </c>
      <c r="I7663">
        <v>7</v>
      </c>
      <c r="J7663" t="s">
        <v>114</v>
      </c>
    </row>
    <row r="7664" spans="1:10" x14ac:dyDescent="0.25">
      <c r="A7664" t="s">
        <v>147</v>
      </c>
      <c r="B7664">
        <f>83667.9864032666*(1/100/100)</f>
        <v>8.3667986403266603</v>
      </c>
      <c r="C7664">
        <v>86030</v>
      </c>
      <c r="D7664" t="s">
        <v>1980</v>
      </c>
      <c r="E7664">
        <v>70826</v>
      </c>
      <c r="F7664" t="s">
        <v>1980</v>
      </c>
      <c r="G7664">
        <v>708</v>
      </c>
      <c r="H7664" t="s">
        <v>7</v>
      </c>
      <c r="I7664">
        <v>7</v>
      </c>
      <c r="J7664" t="s">
        <v>114</v>
      </c>
    </row>
    <row r="7665" spans="1:10" x14ac:dyDescent="0.25">
      <c r="A7665" t="s">
        <v>147</v>
      </c>
      <c r="B7665">
        <f>487710.698701802*(1/100/100)</f>
        <v>48.771069870180206</v>
      </c>
      <c r="C7665">
        <v>86031</v>
      </c>
      <c r="D7665" t="s">
        <v>7</v>
      </c>
      <c r="E7665">
        <v>70828</v>
      </c>
      <c r="F7665" t="s">
        <v>7</v>
      </c>
      <c r="G7665">
        <v>708</v>
      </c>
      <c r="H7665" t="s">
        <v>7</v>
      </c>
      <c r="I7665">
        <v>7</v>
      </c>
      <c r="J7665" t="s">
        <v>114</v>
      </c>
    </row>
    <row r="7666" spans="1:10" x14ac:dyDescent="0.25">
      <c r="A7666" t="s">
        <v>147</v>
      </c>
      <c r="B7666">
        <f>22890.1984113791*(1/100/100)</f>
        <v>2.2890198411379101</v>
      </c>
      <c r="C7666">
        <v>86032</v>
      </c>
      <c r="D7666" t="s">
        <v>7251</v>
      </c>
      <c r="E7666">
        <v>70802</v>
      </c>
      <c r="F7666" t="s">
        <v>1956</v>
      </c>
      <c r="G7666">
        <v>708</v>
      </c>
      <c r="H7666" t="s">
        <v>7</v>
      </c>
      <c r="I7666">
        <v>7</v>
      </c>
      <c r="J7666" t="s">
        <v>114</v>
      </c>
    </row>
    <row r="7667" spans="1:10" x14ac:dyDescent="0.25">
      <c r="A7667" t="s">
        <v>147</v>
      </c>
      <c r="B7667">
        <f>62009.3296690366*(1/100/100)</f>
        <v>6.2009329669036601</v>
      </c>
      <c r="C7667">
        <v>86033</v>
      </c>
      <c r="D7667" t="s">
        <v>1982</v>
      </c>
      <c r="E7667">
        <v>70829</v>
      </c>
      <c r="F7667" t="s">
        <v>1982</v>
      </c>
      <c r="G7667">
        <v>708</v>
      </c>
      <c r="H7667" t="s">
        <v>7</v>
      </c>
      <c r="I7667">
        <v>7</v>
      </c>
      <c r="J7667" t="s">
        <v>114</v>
      </c>
    </row>
    <row r="7668" spans="1:10" x14ac:dyDescent="0.25">
      <c r="A7668" t="s">
        <v>147</v>
      </c>
      <c r="B7668">
        <f>81825.477546582*(1/100/100)</f>
        <v>8.1825477546582004</v>
      </c>
      <c r="C7668">
        <v>86034</v>
      </c>
      <c r="D7668" t="s">
        <v>1983</v>
      </c>
      <c r="E7668">
        <v>70830</v>
      </c>
      <c r="F7668" t="s">
        <v>1983</v>
      </c>
      <c r="G7668">
        <v>708</v>
      </c>
      <c r="H7668" t="s">
        <v>7</v>
      </c>
      <c r="I7668">
        <v>7</v>
      </c>
      <c r="J7668" t="s">
        <v>114</v>
      </c>
    </row>
    <row r="7669" spans="1:10" x14ac:dyDescent="0.25">
      <c r="A7669" t="s">
        <v>147</v>
      </c>
      <c r="B7669">
        <f>91875.4608401479*(1/100/100)</f>
        <v>9.1875460840147909</v>
      </c>
      <c r="C7669">
        <v>86035</v>
      </c>
      <c r="D7669" t="s">
        <v>1984</v>
      </c>
      <c r="E7669">
        <v>70831</v>
      </c>
      <c r="F7669" t="s">
        <v>1984</v>
      </c>
      <c r="G7669">
        <v>708</v>
      </c>
      <c r="H7669" t="s">
        <v>7</v>
      </c>
      <c r="I7669">
        <v>7</v>
      </c>
      <c r="J7669" t="s">
        <v>114</v>
      </c>
    </row>
    <row r="7670" spans="1:10" x14ac:dyDescent="0.25">
      <c r="A7670" t="s">
        <v>147</v>
      </c>
      <c r="B7670">
        <f>161014.329082689*(1/100/100)</f>
        <v>16.101432908268901</v>
      </c>
      <c r="C7670">
        <v>86036</v>
      </c>
      <c r="D7670" t="s">
        <v>1985</v>
      </c>
      <c r="E7670">
        <v>70832</v>
      </c>
      <c r="F7670" t="s">
        <v>1985</v>
      </c>
      <c r="G7670">
        <v>708</v>
      </c>
      <c r="H7670" t="s">
        <v>7</v>
      </c>
      <c r="I7670">
        <v>7</v>
      </c>
      <c r="J7670" t="s">
        <v>114</v>
      </c>
    </row>
    <row r="7671" spans="1:10" x14ac:dyDescent="0.25">
      <c r="A7671" t="s">
        <v>147</v>
      </c>
      <c r="B7671">
        <f>36367.4061459397*(1/100/100)</f>
        <v>3.63674061459397</v>
      </c>
      <c r="C7671">
        <v>86037</v>
      </c>
      <c r="D7671" t="s">
        <v>7256</v>
      </c>
      <c r="E7671">
        <v>70827</v>
      </c>
      <c r="F7671" t="s">
        <v>1981</v>
      </c>
      <c r="G7671">
        <v>708</v>
      </c>
      <c r="H7671" t="s">
        <v>7</v>
      </c>
      <c r="I7671">
        <v>7</v>
      </c>
      <c r="J7671" t="s">
        <v>114</v>
      </c>
    </row>
    <row r="7672" spans="1:10" x14ac:dyDescent="0.25">
      <c r="A7672" t="s">
        <v>147</v>
      </c>
      <c r="B7672">
        <f>193528.919299166*(1/100/100)</f>
        <v>19.352891929916602</v>
      </c>
      <c r="C7672">
        <v>86038</v>
      </c>
      <c r="D7672" t="s">
        <v>1986</v>
      </c>
      <c r="E7672">
        <v>70833</v>
      </c>
      <c r="F7672" t="s">
        <v>1986</v>
      </c>
      <c r="G7672">
        <v>708</v>
      </c>
      <c r="H7672" t="s">
        <v>7</v>
      </c>
      <c r="I7672">
        <v>7</v>
      </c>
      <c r="J7672" t="s">
        <v>114</v>
      </c>
    </row>
    <row r="7673" spans="1:10" x14ac:dyDescent="0.25">
      <c r="A7673" t="s">
        <v>147</v>
      </c>
      <c r="B7673">
        <f>34612.1070057475*(1/100/100)</f>
        <v>3.4612107005747501</v>
      </c>
      <c r="C7673">
        <v>86039</v>
      </c>
      <c r="D7673" t="s">
        <v>1987</v>
      </c>
      <c r="E7673">
        <v>70834</v>
      </c>
      <c r="F7673" t="s">
        <v>1987</v>
      </c>
      <c r="G7673">
        <v>708</v>
      </c>
      <c r="H7673" t="s">
        <v>7</v>
      </c>
      <c r="I7673">
        <v>7</v>
      </c>
      <c r="J7673" t="s">
        <v>114</v>
      </c>
    </row>
    <row r="7674" spans="1:10" x14ac:dyDescent="0.25">
      <c r="A7674" t="s">
        <v>147</v>
      </c>
      <c r="B7674">
        <f>82843.5320803201*(1/100/100)</f>
        <v>8.2843532080320106</v>
      </c>
      <c r="C7674">
        <v>86040</v>
      </c>
      <c r="D7674" t="s">
        <v>1988</v>
      </c>
      <c r="E7674">
        <v>70835</v>
      </c>
      <c r="F7674" t="s">
        <v>1988</v>
      </c>
      <c r="G7674">
        <v>708</v>
      </c>
      <c r="H7674" t="s">
        <v>7</v>
      </c>
      <c r="I7674">
        <v>7</v>
      </c>
      <c r="J7674" t="s">
        <v>114</v>
      </c>
    </row>
    <row r="7675" spans="1:10" x14ac:dyDescent="0.25">
      <c r="A7675" t="s">
        <v>147</v>
      </c>
      <c r="B7675">
        <f>148043.990695015*(1/100/100)</f>
        <v>14.804399069501502</v>
      </c>
      <c r="C7675">
        <v>86041</v>
      </c>
      <c r="D7675" t="s">
        <v>2867</v>
      </c>
      <c r="E7675">
        <v>70836</v>
      </c>
      <c r="F7675" t="s">
        <v>1989</v>
      </c>
      <c r="G7675">
        <v>708</v>
      </c>
      <c r="H7675" t="s">
        <v>7</v>
      </c>
      <c r="I7675">
        <v>7</v>
      </c>
      <c r="J7675" t="s">
        <v>114</v>
      </c>
    </row>
    <row r="7676" spans="1:10" x14ac:dyDescent="0.25">
      <c r="A7676" t="s">
        <v>147</v>
      </c>
      <c r="B7676">
        <f>28481.3143338*(1/100/100)</f>
        <v>2.8481314333800003</v>
      </c>
      <c r="C7676">
        <v>86042</v>
      </c>
      <c r="D7676" t="s">
        <v>1990</v>
      </c>
      <c r="E7676">
        <v>70837</v>
      </c>
      <c r="F7676" t="s">
        <v>1990</v>
      </c>
      <c r="G7676">
        <v>708</v>
      </c>
      <c r="H7676" t="s">
        <v>7</v>
      </c>
      <c r="I7676">
        <v>7</v>
      </c>
      <c r="J7676" t="s">
        <v>114</v>
      </c>
    </row>
    <row r="7677" spans="1:10" x14ac:dyDescent="0.25">
      <c r="A7677" t="s">
        <v>147</v>
      </c>
      <c r="B7677">
        <f>10191.6782059683*(1/100/100)</f>
        <v>1.01916782059683</v>
      </c>
      <c r="C7677">
        <v>86043</v>
      </c>
      <c r="D7677" t="s">
        <v>7254</v>
      </c>
      <c r="E7677">
        <v>70826</v>
      </c>
      <c r="F7677" t="s">
        <v>1980</v>
      </c>
      <c r="G7677">
        <v>708</v>
      </c>
      <c r="H7677" t="s">
        <v>7</v>
      </c>
      <c r="I7677">
        <v>7</v>
      </c>
      <c r="J7677" t="s">
        <v>114</v>
      </c>
    </row>
    <row r="7678" spans="1:10" x14ac:dyDescent="0.25">
      <c r="A7678" t="s">
        <v>147</v>
      </c>
      <c r="B7678">
        <f>3864.9494746023*(1/100/100)</f>
        <v>0.38649494746023005</v>
      </c>
      <c r="C7678">
        <v>86044</v>
      </c>
      <c r="D7678" t="s">
        <v>7257</v>
      </c>
      <c r="E7678">
        <v>70835</v>
      </c>
      <c r="F7678" t="s">
        <v>1988</v>
      </c>
      <c r="G7678">
        <v>708</v>
      </c>
      <c r="H7678" t="s">
        <v>7</v>
      </c>
      <c r="I7678">
        <v>7</v>
      </c>
      <c r="J7678" t="s">
        <v>114</v>
      </c>
    </row>
    <row r="7679" spans="1:10" x14ac:dyDescent="0.25">
      <c r="A7679" t="s">
        <v>147</v>
      </c>
      <c r="B7679">
        <f>947.68793297546*(1/100/100)</f>
        <v>9.4768793297546006E-2</v>
      </c>
      <c r="C7679">
        <v>86045</v>
      </c>
      <c r="D7679" t="s">
        <v>7252</v>
      </c>
      <c r="E7679">
        <v>70820</v>
      </c>
      <c r="F7679" t="s">
        <v>1974</v>
      </c>
      <c r="G7679">
        <v>708</v>
      </c>
      <c r="H7679" t="s">
        <v>7</v>
      </c>
      <c r="I7679">
        <v>7</v>
      </c>
      <c r="J7679" t="s">
        <v>114</v>
      </c>
    </row>
    <row r="7680" spans="1:10" x14ac:dyDescent="0.25">
      <c r="A7680" t="s">
        <v>147</v>
      </c>
      <c r="B7680">
        <f>305935.682880453*(1/100/100)</f>
        <v>30.593568288045301</v>
      </c>
      <c r="C7680">
        <v>87001</v>
      </c>
      <c r="D7680" t="s">
        <v>7258</v>
      </c>
      <c r="E7680">
        <v>70901</v>
      </c>
      <c r="F7680" t="s">
        <v>1991</v>
      </c>
      <c r="G7680">
        <v>709</v>
      </c>
      <c r="H7680" t="s">
        <v>8</v>
      </c>
      <c r="I7680">
        <v>7</v>
      </c>
      <c r="J7680" t="s">
        <v>114</v>
      </c>
    </row>
    <row r="7681" spans="1:10" x14ac:dyDescent="0.25">
      <c r="A7681" t="s">
        <v>147</v>
      </c>
      <c r="B7681">
        <f>197128.229371091*(1/100/100)</f>
        <v>19.712822937109102</v>
      </c>
      <c r="C7681">
        <v>87002</v>
      </c>
      <c r="D7681" t="s">
        <v>2060</v>
      </c>
      <c r="E7681">
        <v>70905</v>
      </c>
      <c r="F7681" t="s">
        <v>1995</v>
      </c>
      <c r="G7681">
        <v>709</v>
      </c>
      <c r="H7681" t="s">
        <v>8</v>
      </c>
      <c r="I7681">
        <v>7</v>
      </c>
      <c r="J7681" t="s">
        <v>114</v>
      </c>
    </row>
    <row r="7682" spans="1:10" x14ac:dyDescent="0.25">
      <c r="A7682" t="s">
        <v>147</v>
      </c>
      <c r="B7682">
        <f>387154.524922958*(1/100/100)</f>
        <v>38.715452492295803</v>
      </c>
      <c r="C7682">
        <v>87003</v>
      </c>
      <c r="D7682" t="s">
        <v>5297</v>
      </c>
      <c r="E7682">
        <v>70907</v>
      </c>
      <c r="F7682" t="s">
        <v>1996</v>
      </c>
      <c r="G7682">
        <v>709</v>
      </c>
      <c r="H7682" t="s">
        <v>8</v>
      </c>
      <c r="I7682">
        <v>7</v>
      </c>
      <c r="J7682" t="s">
        <v>114</v>
      </c>
    </row>
    <row r="7683" spans="1:10" x14ac:dyDescent="0.25">
      <c r="A7683" t="s">
        <v>147</v>
      </c>
      <c r="B7683">
        <f>55573.1150229066*(1/100/100)</f>
        <v>5.5573115022906601</v>
      </c>
      <c r="C7683">
        <v>87004</v>
      </c>
      <c r="D7683" t="s">
        <v>2000</v>
      </c>
      <c r="E7683">
        <v>70911</v>
      </c>
      <c r="F7683" t="s">
        <v>2000</v>
      </c>
      <c r="G7683">
        <v>709</v>
      </c>
      <c r="H7683" t="s">
        <v>8</v>
      </c>
      <c r="I7683">
        <v>7</v>
      </c>
      <c r="J7683" t="s">
        <v>114</v>
      </c>
    </row>
    <row r="7684" spans="1:10" x14ac:dyDescent="0.25">
      <c r="A7684" t="s">
        <v>147</v>
      </c>
      <c r="B7684">
        <f>466250.550121322*(1/100/100)</f>
        <v>46.625055012132201</v>
      </c>
      <c r="C7684">
        <v>87005</v>
      </c>
      <c r="D7684" t="s">
        <v>2006</v>
      </c>
      <c r="E7684">
        <v>70917</v>
      </c>
      <c r="F7684" t="s">
        <v>2006</v>
      </c>
      <c r="G7684">
        <v>709</v>
      </c>
      <c r="H7684" t="s">
        <v>8</v>
      </c>
      <c r="I7684">
        <v>7</v>
      </c>
      <c r="J7684" t="s">
        <v>114</v>
      </c>
    </row>
    <row r="7685" spans="1:10" x14ac:dyDescent="0.25">
      <c r="A7685" t="s">
        <v>147</v>
      </c>
      <c r="B7685">
        <f>135137.801137685*(1/100/100)</f>
        <v>13.513780113768499</v>
      </c>
      <c r="C7685">
        <v>87006</v>
      </c>
      <c r="D7685" t="s">
        <v>2009</v>
      </c>
      <c r="E7685">
        <v>70921</v>
      </c>
      <c r="F7685" t="s">
        <v>2009</v>
      </c>
      <c r="G7685">
        <v>709</v>
      </c>
      <c r="H7685" t="s">
        <v>8</v>
      </c>
      <c r="I7685">
        <v>7</v>
      </c>
      <c r="J7685" t="s">
        <v>114</v>
      </c>
    </row>
    <row r="7686" spans="1:10" x14ac:dyDescent="0.25">
      <c r="A7686" t="s">
        <v>147</v>
      </c>
      <c r="B7686">
        <f>788867.3343463*(1/100/100)</f>
        <v>78.886733434630003</v>
      </c>
      <c r="C7686">
        <v>87007</v>
      </c>
      <c r="D7686" t="s">
        <v>8</v>
      </c>
      <c r="E7686">
        <v>70926</v>
      </c>
      <c r="F7686" t="s">
        <v>8</v>
      </c>
      <c r="G7686">
        <v>709</v>
      </c>
      <c r="H7686" t="s">
        <v>8</v>
      </c>
      <c r="I7686">
        <v>7</v>
      </c>
      <c r="J7686" t="s">
        <v>114</v>
      </c>
    </row>
    <row r="7687" spans="1:10" x14ac:dyDescent="0.25">
      <c r="A7687" t="s">
        <v>147</v>
      </c>
      <c r="B7687">
        <f>198796.264893157*(1/100/100)</f>
        <v>19.879626489315701</v>
      </c>
      <c r="C7687">
        <v>87008</v>
      </c>
      <c r="D7687" t="s">
        <v>2015</v>
      </c>
      <c r="E7687">
        <v>70928</v>
      </c>
      <c r="F7687" t="s">
        <v>2015</v>
      </c>
      <c r="G7687">
        <v>709</v>
      </c>
      <c r="H7687" t="s">
        <v>8</v>
      </c>
      <c r="I7687">
        <v>7</v>
      </c>
      <c r="J7687" t="s">
        <v>114</v>
      </c>
    </row>
    <row r="7688" spans="1:10" x14ac:dyDescent="0.25">
      <c r="A7688" t="s">
        <v>147</v>
      </c>
      <c r="B7688">
        <f>136061.488470968*(1/100/100)</f>
        <v>13.606148847096801</v>
      </c>
      <c r="C7688">
        <v>87009</v>
      </c>
      <c r="D7688" t="s">
        <v>3820</v>
      </c>
      <c r="E7688">
        <v>70930</v>
      </c>
      <c r="F7688" t="s">
        <v>2017</v>
      </c>
      <c r="G7688">
        <v>709</v>
      </c>
      <c r="H7688" t="s">
        <v>8</v>
      </c>
      <c r="I7688">
        <v>7</v>
      </c>
      <c r="J7688" t="s">
        <v>114</v>
      </c>
    </row>
    <row r="7689" spans="1:10" x14ac:dyDescent="0.25">
      <c r="A7689" t="s">
        <v>147</v>
      </c>
      <c r="B7689">
        <f>220449.510314475*(1/100/100)</f>
        <v>22.0449510314475</v>
      </c>
      <c r="C7689">
        <v>87010</v>
      </c>
      <c r="D7689" t="s">
        <v>2020</v>
      </c>
      <c r="E7689">
        <v>70933</v>
      </c>
      <c r="F7689" t="s">
        <v>2020</v>
      </c>
      <c r="G7689">
        <v>709</v>
      </c>
      <c r="H7689" t="s">
        <v>8</v>
      </c>
      <c r="I7689">
        <v>7</v>
      </c>
      <c r="J7689" t="s">
        <v>114</v>
      </c>
    </row>
    <row r="7690" spans="1:10" x14ac:dyDescent="0.25">
      <c r="A7690" t="s">
        <v>147</v>
      </c>
      <c r="B7690">
        <f>545325.431168743*(1/100/100)</f>
        <v>54.532543116874294</v>
      </c>
      <c r="C7690">
        <v>87011</v>
      </c>
      <c r="D7690" t="s">
        <v>2023</v>
      </c>
      <c r="E7690">
        <v>70936</v>
      </c>
      <c r="F7690" t="s">
        <v>2023</v>
      </c>
      <c r="G7690">
        <v>709</v>
      </c>
      <c r="H7690" t="s">
        <v>8</v>
      </c>
      <c r="I7690">
        <v>7</v>
      </c>
      <c r="J7690" t="s">
        <v>114</v>
      </c>
    </row>
    <row r="7691" spans="1:10" x14ac:dyDescent="0.25">
      <c r="A7691" t="s">
        <v>147</v>
      </c>
      <c r="B7691">
        <f>150266.947611804*(1/100/100)</f>
        <v>15.026694761180401</v>
      </c>
      <c r="C7691">
        <v>87012</v>
      </c>
      <c r="D7691" t="s">
        <v>2024</v>
      </c>
      <c r="E7691">
        <v>70937</v>
      </c>
      <c r="F7691" t="s">
        <v>2024</v>
      </c>
      <c r="G7691">
        <v>709</v>
      </c>
      <c r="H7691" t="s">
        <v>8</v>
      </c>
      <c r="I7691">
        <v>7</v>
      </c>
      <c r="J7691" t="s">
        <v>114</v>
      </c>
    </row>
    <row r="7692" spans="1:10" x14ac:dyDescent="0.25">
      <c r="A7692" t="s">
        <v>147</v>
      </c>
      <c r="B7692">
        <f>225477.488704919*(1/100/100)</f>
        <v>22.547748870491901</v>
      </c>
      <c r="C7692">
        <v>87013</v>
      </c>
      <c r="D7692" t="s">
        <v>2025</v>
      </c>
      <c r="E7692">
        <v>70938</v>
      </c>
      <c r="F7692" t="s">
        <v>2025</v>
      </c>
      <c r="G7692">
        <v>709</v>
      </c>
      <c r="H7692" t="s">
        <v>8</v>
      </c>
      <c r="I7692">
        <v>7</v>
      </c>
      <c r="J7692" t="s">
        <v>114</v>
      </c>
    </row>
    <row r="7693" spans="1:10" x14ac:dyDescent="0.25">
      <c r="A7693" t="s">
        <v>147</v>
      </c>
      <c r="B7693">
        <f>173127.288019074*(1/100/100)</f>
        <v>17.312728801907401</v>
      </c>
      <c r="C7693">
        <v>87014</v>
      </c>
      <c r="D7693" t="s">
        <v>2026</v>
      </c>
      <c r="E7693">
        <v>70939</v>
      </c>
      <c r="F7693" t="s">
        <v>2026</v>
      </c>
      <c r="G7693">
        <v>709</v>
      </c>
      <c r="H7693" t="s">
        <v>8</v>
      </c>
      <c r="I7693">
        <v>7</v>
      </c>
      <c r="J7693" t="s">
        <v>114</v>
      </c>
    </row>
    <row r="7694" spans="1:10" x14ac:dyDescent="0.25">
      <c r="A7694" t="s">
        <v>147</v>
      </c>
      <c r="B7694">
        <f>82535.7470816319*(1/100/100)</f>
        <v>8.2535747081631907</v>
      </c>
      <c r="C7694">
        <v>87015</v>
      </c>
      <c r="D7694" t="s">
        <v>1994</v>
      </c>
      <c r="E7694">
        <v>70904</v>
      </c>
      <c r="F7694" t="s">
        <v>1994</v>
      </c>
      <c r="G7694">
        <v>709</v>
      </c>
      <c r="H7694" t="s">
        <v>8</v>
      </c>
      <c r="I7694">
        <v>7</v>
      </c>
      <c r="J7694" t="s">
        <v>114</v>
      </c>
    </row>
    <row r="7695" spans="1:10" x14ac:dyDescent="0.25">
      <c r="A7695" t="s">
        <v>147</v>
      </c>
      <c r="B7695">
        <f>51681.9207416805*(1/100/100)</f>
        <v>5.1681920741680507</v>
      </c>
      <c r="C7695">
        <v>87016</v>
      </c>
      <c r="D7695" t="s">
        <v>2230</v>
      </c>
      <c r="E7695">
        <v>70929</v>
      </c>
      <c r="F7695" t="s">
        <v>2016</v>
      </c>
      <c r="G7695">
        <v>709</v>
      </c>
      <c r="H7695" t="s">
        <v>8</v>
      </c>
      <c r="I7695">
        <v>7</v>
      </c>
      <c r="J7695" t="s">
        <v>114</v>
      </c>
    </row>
    <row r="7696" spans="1:10" x14ac:dyDescent="0.25">
      <c r="A7696" t="s">
        <v>147</v>
      </c>
      <c r="B7696">
        <f>141672.909505822*(1/100/100)</f>
        <v>14.167290950582201</v>
      </c>
      <c r="C7696">
        <v>87101</v>
      </c>
      <c r="D7696" t="s">
        <v>2270</v>
      </c>
      <c r="E7696">
        <v>70902</v>
      </c>
      <c r="F7696" t="s">
        <v>1992</v>
      </c>
      <c r="G7696">
        <v>709</v>
      </c>
      <c r="H7696" t="s">
        <v>8</v>
      </c>
      <c r="I7696">
        <v>7</v>
      </c>
      <c r="J7696" t="s">
        <v>114</v>
      </c>
    </row>
    <row r="7697" spans="1:10" x14ac:dyDescent="0.25">
      <c r="A7697" t="s">
        <v>147</v>
      </c>
      <c r="B7697">
        <f>60680.0133581856*(1/100/100)</f>
        <v>6.0680013358185603</v>
      </c>
      <c r="C7697">
        <v>87102</v>
      </c>
      <c r="D7697" t="s">
        <v>1993</v>
      </c>
      <c r="E7697">
        <v>70903</v>
      </c>
      <c r="F7697" t="s">
        <v>1993</v>
      </c>
      <c r="G7697">
        <v>709</v>
      </c>
      <c r="H7697" t="s">
        <v>8</v>
      </c>
      <c r="I7697">
        <v>7</v>
      </c>
      <c r="J7697" t="s">
        <v>114</v>
      </c>
    </row>
    <row r="7698" spans="1:10" x14ac:dyDescent="0.25">
      <c r="A7698" t="s">
        <v>147</v>
      </c>
      <c r="B7698">
        <f>61063.871445701*(1/100/100)</f>
        <v>6.1063871445701006</v>
      </c>
      <c r="C7698">
        <v>87103</v>
      </c>
      <c r="D7698" t="s">
        <v>7259</v>
      </c>
      <c r="E7698">
        <v>70902</v>
      </c>
      <c r="F7698" t="s">
        <v>1992</v>
      </c>
      <c r="G7698">
        <v>709</v>
      </c>
      <c r="H7698" t="s">
        <v>8</v>
      </c>
      <c r="I7698">
        <v>7</v>
      </c>
      <c r="J7698" t="s">
        <v>114</v>
      </c>
    </row>
    <row r="7699" spans="1:10" x14ac:dyDescent="0.25">
      <c r="A7699" t="s">
        <v>147</v>
      </c>
      <c r="B7699">
        <f>187419.9835633*(1/100/100)</f>
        <v>18.741998356330001</v>
      </c>
      <c r="C7699">
        <v>87104</v>
      </c>
      <c r="D7699" t="s">
        <v>1997</v>
      </c>
      <c r="E7699">
        <v>70908</v>
      </c>
      <c r="F7699" t="s">
        <v>1997</v>
      </c>
      <c r="G7699">
        <v>709</v>
      </c>
      <c r="H7699" t="s">
        <v>8</v>
      </c>
      <c r="I7699">
        <v>7</v>
      </c>
      <c r="J7699" t="s">
        <v>114</v>
      </c>
    </row>
    <row r="7700" spans="1:10" x14ac:dyDescent="0.25">
      <c r="A7700" t="s">
        <v>147</v>
      </c>
      <c r="B7700">
        <f>389873.674799145*(1/100/100)</f>
        <v>38.987367479914504</v>
      </c>
      <c r="C7700">
        <v>87105</v>
      </c>
      <c r="D7700" t="s">
        <v>1998</v>
      </c>
      <c r="E7700">
        <v>70909</v>
      </c>
      <c r="F7700" t="s">
        <v>1998</v>
      </c>
      <c r="G7700">
        <v>709</v>
      </c>
      <c r="H7700" t="s">
        <v>8</v>
      </c>
      <c r="I7700">
        <v>7</v>
      </c>
      <c r="J7700" t="s">
        <v>114</v>
      </c>
    </row>
    <row r="7701" spans="1:10" x14ac:dyDescent="0.25">
      <c r="A7701" t="s">
        <v>147</v>
      </c>
      <c r="B7701">
        <f>214679.700389093*(1/100/100)</f>
        <v>21.4679700389093</v>
      </c>
      <c r="C7701">
        <v>87106</v>
      </c>
      <c r="D7701" t="s">
        <v>1999</v>
      </c>
      <c r="E7701">
        <v>70910</v>
      </c>
      <c r="F7701" t="s">
        <v>1999</v>
      </c>
      <c r="G7701">
        <v>709</v>
      </c>
      <c r="H7701" t="s">
        <v>8</v>
      </c>
      <c r="I7701">
        <v>7</v>
      </c>
      <c r="J7701" t="s">
        <v>114</v>
      </c>
    </row>
    <row r="7702" spans="1:10" x14ac:dyDescent="0.25">
      <c r="A7702" t="s">
        <v>147</v>
      </c>
      <c r="B7702">
        <f>177319.675417672*(1/100/100)</f>
        <v>17.731967541767201</v>
      </c>
      <c r="C7702">
        <v>87107</v>
      </c>
      <c r="D7702" t="s">
        <v>2001</v>
      </c>
      <c r="E7702">
        <v>70912</v>
      </c>
      <c r="F7702" t="s">
        <v>2001</v>
      </c>
      <c r="G7702">
        <v>709</v>
      </c>
      <c r="H7702" t="s">
        <v>8</v>
      </c>
      <c r="I7702">
        <v>7</v>
      </c>
      <c r="J7702" t="s">
        <v>114</v>
      </c>
    </row>
    <row r="7703" spans="1:10" x14ac:dyDescent="0.25">
      <c r="A7703" t="s">
        <v>147</v>
      </c>
      <c r="B7703">
        <f>59869.9331846177*(1/100/100)</f>
        <v>5.9869933184617707</v>
      </c>
      <c r="C7703">
        <v>87108</v>
      </c>
      <c r="D7703" t="s">
        <v>2002</v>
      </c>
      <c r="E7703">
        <v>70913</v>
      </c>
      <c r="F7703" t="s">
        <v>2002</v>
      </c>
      <c r="G7703">
        <v>709</v>
      </c>
      <c r="H7703" t="s">
        <v>8</v>
      </c>
      <c r="I7703">
        <v>7</v>
      </c>
      <c r="J7703" t="s">
        <v>114</v>
      </c>
    </row>
    <row r="7704" spans="1:10" x14ac:dyDescent="0.25">
      <c r="A7704" t="s">
        <v>147</v>
      </c>
      <c r="B7704">
        <f>72932.7295256373*(1/100/100)</f>
        <v>7.293272952563731</v>
      </c>
      <c r="C7704">
        <v>87109</v>
      </c>
      <c r="D7704" t="s">
        <v>2003</v>
      </c>
      <c r="E7704">
        <v>70914</v>
      </c>
      <c r="F7704" t="s">
        <v>2003</v>
      </c>
      <c r="G7704">
        <v>709</v>
      </c>
      <c r="H7704" t="s">
        <v>8</v>
      </c>
      <c r="I7704">
        <v>7</v>
      </c>
      <c r="J7704" t="s">
        <v>114</v>
      </c>
    </row>
    <row r="7705" spans="1:10" x14ac:dyDescent="0.25">
      <c r="A7705" t="s">
        <v>147</v>
      </c>
      <c r="B7705">
        <f>179317.589404622*(1/100/100)</f>
        <v>17.931758940462203</v>
      </c>
      <c r="C7705">
        <v>87110</v>
      </c>
      <c r="D7705" t="s">
        <v>2630</v>
      </c>
      <c r="E7705">
        <v>70915</v>
      </c>
      <c r="F7705" t="s">
        <v>2004</v>
      </c>
      <c r="G7705">
        <v>709</v>
      </c>
      <c r="H7705" t="s">
        <v>8</v>
      </c>
      <c r="I7705">
        <v>7</v>
      </c>
      <c r="J7705" t="s">
        <v>114</v>
      </c>
    </row>
    <row r="7706" spans="1:10" x14ac:dyDescent="0.25">
      <c r="A7706" t="s">
        <v>147</v>
      </c>
      <c r="B7706">
        <f>181800.221673592*(1/100/100)</f>
        <v>18.180022167359201</v>
      </c>
      <c r="C7706">
        <v>87111</v>
      </c>
      <c r="D7706" t="s">
        <v>2007</v>
      </c>
      <c r="E7706">
        <v>70918</v>
      </c>
      <c r="F7706" t="s">
        <v>2007</v>
      </c>
      <c r="G7706">
        <v>709</v>
      </c>
      <c r="H7706" t="s">
        <v>8</v>
      </c>
      <c r="I7706">
        <v>7</v>
      </c>
      <c r="J7706" t="s">
        <v>114</v>
      </c>
    </row>
    <row r="7707" spans="1:10" x14ac:dyDescent="0.25">
      <c r="A7707" t="s">
        <v>147</v>
      </c>
      <c r="B7707">
        <f>65447.4486076032*(1/100/100)</f>
        <v>6.5447448607603205</v>
      </c>
      <c r="C7707">
        <v>87112</v>
      </c>
      <c r="D7707" t="s">
        <v>7260</v>
      </c>
      <c r="E7707">
        <v>70916</v>
      </c>
      <c r="F7707" t="s">
        <v>2005</v>
      </c>
      <c r="G7707">
        <v>709</v>
      </c>
      <c r="H7707" t="s">
        <v>8</v>
      </c>
      <c r="I7707">
        <v>7</v>
      </c>
      <c r="J7707" t="s">
        <v>114</v>
      </c>
    </row>
    <row r="7708" spans="1:10" x14ac:dyDescent="0.25">
      <c r="A7708" t="s">
        <v>147</v>
      </c>
      <c r="B7708">
        <f>395269.727265509*(1/100/100)</f>
        <v>39.526972726550902</v>
      </c>
      <c r="C7708">
        <v>87113</v>
      </c>
      <c r="D7708" t="s">
        <v>2008</v>
      </c>
      <c r="E7708">
        <v>70920</v>
      </c>
      <c r="F7708" t="s">
        <v>2008</v>
      </c>
      <c r="G7708">
        <v>709</v>
      </c>
      <c r="H7708" t="s">
        <v>8</v>
      </c>
      <c r="I7708">
        <v>7</v>
      </c>
      <c r="J7708" t="s">
        <v>114</v>
      </c>
    </row>
    <row r="7709" spans="1:10" x14ac:dyDescent="0.25">
      <c r="A7709" t="s">
        <v>147</v>
      </c>
      <c r="B7709">
        <f>152474.313308928*(1/100/100)</f>
        <v>15.2474313308928</v>
      </c>
      <c r="C7709">
        <v>87114</v>
      </c>
      <c r="D7709" t="s">
        <v>7262</v>
      </c>
      <c r="E7709">
        <v>70922</v>
      </c>
      <c r="F7709" t="s">
        <v>2010</v>
      </c>
      <c r="G7709">
        <v>709</v>
      </c>
      <c r="H7709" t="s">
        <v>8</v>
      </c>
      <c r="I7709">
        <v>7</v>
      </c>
      <c r="J7709" t="s">
        <v>114</v>
      </c>
    </row>
    <row r="7710" spans="1:10" x14ac:dyDescent="0.25">
      <c r="A7710" t="s">
        <v>147</v>
      </c>
      <c r="B7710">
        <f>117485.997060966*(1/100/100)</f>
        <v>11.7485997060966</v>
      </c>
      <c r="C7710">
        <v>87115</v>
      </c>
      <c r="D7710" t="s">
        <v>86</v>
      </c>
      <c r="E7710">
        <v>70923</v>
      </c>
      <c r="F7710" t="s">
        <v>2011</v>
      </c>
      <c r="G7710">
        <v>709</v>
      </c>
      <c r="H7710" t="s">
        <v>8</v>
      </c>
      <c r="I7710">
        <v>7</v>
      </c>
      <c r="J7710" t="s">
        <v>114</v>
      </c>
    </row>
    <row r="7711" spans="1:10" x14ac:dyDescent="0.25">
      <c r="A7711" t="s">
        <v>147</v>
      </c>
      <c r="B7711">
        <f>84698.2228430289*(1/100/100)</f>
        <v>8.4698222843028894</v>
      </c>
      <c r="C7711">
        <v>87116</v>
      </c>
      <c r="D7711" t="s">
        <v>2012</v>
      </c>
      <c r="E7711">
        <v>70924</v>
      </c>
      <c r="F7711" t="s">
        <v>2012</v>
      </c>
      <c r="G7711">
        <v>709</v>
      </c>
      <c r="H7711" t="s">
        <v>8</v>
      </c>
      <c r="I7711">
        <v>7</v>
      </c>
      <c r="J7711" t="s">
        <v>114</v>
      </c>
    </row>
    <row r="7712" spans="1:10" x14ac:dyDescent="0.25">
      <c r="A7712" t="s">
        <v>147</v>
      </c>
      <c r="B7712">
        <f>143566.16788435*(1/100/100)</f>
        <v>14.356616788435</v>
      </c>
      <c r="C7712">
        <v>87117</v>
      </c>
      <c r="D7712" t="s">
        <v>2013</v>
      </c>
      <c r="E7712">
        <v>70925</v>
      </c>
      <c r="F7712" t="s">
        <v>2013</v>
      </c>
      <c r="G7712">
        <v>709</v>
      </c>
      <c r="H7712" t="s">
        <v>8</v>
      </c>
      <c r="I7712">
        <v>7</v>
      </c>
      <c r="J7712" t="s">
        <v>114</v>
      </c>
    </row>
    <row r="7713" spans="1:10" x14ac:dyDescent="0.25">
      <c r="A7713" t="s">
        <v>147</v>
      </c>
      <c r="B7713">
        <f>162765.864629102*(1/100/100)</f>
        <v>16.276586462910199</v>
      </c>
      <c r="C7713">
        <v>87118</v>
      </c>
      <c r="D7713" t="s">
        <v>2014</v>
      </c>
      <c r="E7713">
        <v>70927</v>
      </c>
      <c r="F7713" t="s">
        <v>2014</v>
      </c>
      <c r="G7713">
        <v>709</v>
      </c>
      <c r="H7713" t="s">
        <v>8</v>
      </c>
      <c r="I7713">
        <v>7</v>
      </c>
      <c r="J7713" t="s">
        <v>114</v>
      </c>
    </row>
    <row r="7714" spans="1:10" x14ac:dyDescent="0.25">
      <c r="A7714" t="s">
        <v>147</v>
      </c>
      <c r="B7714">
        <f>85979.4149984489*(1/100/100)</f>
        <v>8.5979414998448913</v>
      </c>
      <c r="C7714">
        <v>87119</v>
      </c>
      <c r="D7714" t="s">
        <v>7261</v>
      </c>
      <c r="E7714">
        <v>70916</v>
      </c>
      <c r="F7714" t="s">
        <v>2005</v>
      </c>
      <c r="G7714">
        <v>709</v>
      </c>
      <c r="H7714" t="s">
        <v>8</v>
      </c>
      <c r="I7714">
        <v>7</v>
      </c>
      <c r="J7714" t="s">
        <v>114</v>
      </c>
    </row>
    <row r="7715" spans="1:10" x14ac:dyDescent="0.25">
      <c r="A7715" t="s">
        <v>147</v>
      </c>
      <c r="B7715">
        <f>164039.455228272*(1/100/100)</f>
        <v>16.4039455228272</v>
      </c>
      <c r="C7715">
        <v>87120</v>
      </c>
      <c r="D7715" t="s">
        <v>2018</v>
      </c>
      <c r="E7715">
        <v>70931</v>
      </c>
      <c r="F7715" t="s">
        <v>2018</v>
      </c>
      <c r="G7715">
        <v>709</v>
      </c>
      <c r="H7715" t="s">
        <v>8</v>
      </c>
      <c r="I7715">
        <v>7</v>
      </c>
      <c r="J7715" t="s">
        <v>114</v>
      </c>
    </row>
    <row r="7716" spans="1:10" x14ac:dyDescent="0.25">
      <c r="A7716" t="s">
        <v>147</v>
      </c>
      <c r="B7716">
        <f>112777.124997916*(1/100/100)</f>
        <v>11.277712499791601</v>
      </c>
      <c r="C7716">
        <v>87121</v>
      </c>
      <c r="D7716" t="s">
        <v>2019</v>
      </c>
      <c r="E7716">
        <v>70932</v>
      </c>
      <c r="F7716" t="s">
        <v>2019</v>
      </c>
      <c r="G7716">
        <v>709</v>
      </c>
      <c r="H7716" t="s">
        <v>8</v>
      </c>
      <c r="I7716">
        <v>7</v>
      </c>
      <c r="J7716" t="s">
        <v>114</v>
      </c>
    </row>
    <row r="7717" spans="1:10" x14ac:dyDescent="0.25">
      <c r="A7717" t="s">
        <v>147</v>
      </c>
      <c r="B7717">
        <f>265409.097052638*(1/100/100)</f>
        <v>26.540909705263804</v>
      </c>
      <c r="C7717">
        <v>87122</v>
      </c>
      <c r="D7717" t="s">
        <v>2021</v>
      </c>
      <c r="E7717">
        <v>70934</v>
      </c>
      <c r="F7717" t="s">
        <v>2021</v>
      </c>
      <c r="G7717">
        <v>709</v>
      </c>
      <c r="H7717" t="s">
        <v>8</v>
      </c>
      <c r="I7717">
        <v>7</v>
      </c>
      <c r="J7717" t="s">
        <v>114</v>
      </c>
    </row>
    <row r="7718" spans="1:10" x14ac:dyDescent="0.25">
      <c r="A7718" t="s">
        <v>147</v>
      </c>
      <c r="B7718">
        <f>148396.826368863*(1/100/100)</f>
        <v>14.8396826368863</v>
      </c>
      <c r="C7718">
        <v>87123</v>
      </c>
      <c r="D7718" t="s">
        <v>2022</v>
      </c>
      <c r="E7718">
        <v>70935</v>
      </c>
      <c r="F7718" t="s">
        <v>2022</v>
      </c>
      <c r="G7718">
        <v>709</v>
      </c>
      <c r="H7718" t="s">
        <v>8</v>
      </c>
      <c r="I7718">
        <v>7</v>
      </c>
      <c r="J7718" t="s">
        <v>114</v>
      </c>
    </row>
    <row r="7719" spans="1:10" x14ac:dyDescent="0.25">
      <c r="A7719" t="s">
        <v>147</v>
      </c>
      <c r="B7719">
        <f>169688.590722144*(1/100/100)</f>
        <v>16.9688590722144</v>
      </c>
      <c r="C7719">
        <v>87124</v>
      </c>
      <c r="D7719" t="s">
        <v>2027</v>
      </c>
      <c r="E7719">
        <v>70940</v>
      </c>
      <c r="F7719" t="s">
        <v>2027</v>
      </c>
      <c r="G7719">
        <v>709</v>
      </c>
      <c r="H7719" t="s">
        <v>8</v>
      </c>
      <c r="I7719">
        <v>7</v>
      </c>
      <c r="J7719" t="s">
        <v>114</v>
      </c>
    </row>
    <row r="7720" spans="1:10" x14ac:dyDescent="0.25">
      <c r="A7720" t="s">
        <v>147</v>
      </c>
      <c r="B7720">
        <f>93664.7806076984*(1/100/100)</f>
        <v>9.3664780607698397</v>
      </c>
      <c r="C7720">
        <v>87125</v>
      </c>
      <c r="D7720" t="s">
        <v>2028</v>
      </c>
      <c r="E7720">
        <v>70941</v>
      </c>
      <c r="F7720" t="s">
        <v>2028</v>
      </c>
      <c r="G7720">
        <v>709</v>
      </c>
      <c r="H7720" t="s">
        <v>8</v>
      </c>
      <c r="I7720">
        <v>7</v>
      </c>
      <c r="J7720" t="s">
        <v>114</v>
      </c>
    </row>
    <row r="7721" spans="1:10" x14ac:dyDescent="0.25">
      <c r="A7721" t="s">
        <v>148</v>
      </c>
      <c r="B7721">
        <f>49035.8095258041*(1/100/100)</f>
        <v>4.9035809525804099</v>
      </c>
      <c r="C7721">
        <v>90001</v>
      </c>
      <c r="D7721" t="s">
        <v>2030</v>
      </c>
      <c r="E7721">
        <v>80102</v>
      </c>
      <c r="F7721" t="s">
        <v>2030</v>
      </c>
      <c r="G7721">
        <v>801</v>
      </c>
      <c r="H7721" t="s">
        <v>115</v>
      </c>
      <c r="I7721">
        <v>8</v>
      </c>
      <c r="J7721" t="s">
        <v>116</v>
      </c>
    </row>
    <row r="7722" spans="1:10" x14ac:dyDescent="0.25">
      <c r="A7722" t="s">
        <v>148</v>
      </c>
      <c r="B7722">
        <f>797664.658166733*(1/100/100)</f>
        <v>79.766465816673303</v>
      </c>
      <c r="C7722">
        <v>90002</v>
      </c>
      <c r="D7722" t="s">
        <v>115</v>
      </c>
      <c r="E7722">
        <v>80103</v>
      </c>
      <c r="F7722" t="s">
        <v>115</v>
      </c>
      <c r="G7722">
        <v>801</v>
      </c>
      <c r="H7722" t="s">
        <v>115</v>
      </c>
      <c r="I7722">
        <v>8</v>
      </c>
      <c r="J7722" t="s">
        <v>116</v>
      </c>
    </row>
    <row r="7723" spans="1:10" x14ac:dyDescent="0.25">
      <c r="A7723" t="s">
        <v>148</v>
      </c>
      <c r="B7723">
        <f>161429.616203244*(1/100/100)</f>
        <v>16.1429616203244</v>
      </c>
      <c r="C7723">
        <v>90003</v>
      </c>
      <c r="D7723" t="s">
        <v>2031</v>
      </c>
      <c r="E7723">
        <v>80104</v>
      </c>
      <c r="F7723" t="s">
        <v>2031</v>
      </c>
      <c r="G7723">
        <v>801</v>
      </c>
      <c r="H7723" t="s">
        <v>115</v>
      </c>
      <c r="I7723">
        <v>8</v>
      </c>
      <c r="J7723" t="s">
        <v>116</v>
      </c>
    </row>
    <row r="7724" spans="1:10" x14ac:dyDescent="0.25">
      <c r="A7724" t="s">
        <v>148</v>
      </c>
      <c r="B7724">
        <f>101106.770416604*(1/100/100)</f>
        <v>10.1106770416604</v>
      </c>
      <c r="C7724">
        <v>90004</v>
      </c>
      <c r="D7724" t="s">
        <v>2032</v>
      </c>
      <c r="E7724">
        <v>80105</v>
      </c>
      <c r="F7724" t="s">
        <v>2032</v>
      </c>
      <c r="G7724">
        <v>801</v>
      </c>
      <c r="H7724" t="s">
        <v>115</v>
      </c>
      <c r="I7724">
        <v>8</v>
      </c>
      <c r="J7724" t="s">
        <v>116</v>
      </c>
    </row>
    <row r="7725" spans="1:10" x14ac:dyDescent="0.25">
      <c r="A7725" t="s">
        <v>148</v>
      </c>
      <c r="B7725">
        <f>268276.511983599*(1/100/100)</f>
        <v>26.827651198359899</v>
      </c>
      <c r="C7725">
        <v>90005</v>
      </c>
      <c r="D7725" t="s">
        <v>2033</v>
      </c>
      <c r="E7725">
        <v>80106</v>
      </c>
      <c r="F7725" t="s">
        <v>2033</v>
      </c>
      <c r="G7725">
        <v>801</v>
      </c>
      <c r="H7725" t="s">
        <v>115</v>
      </c>
      <c r="I7725">
        <v>8</v>
      </c>
      <c r="J7725" t="s">
        <v>116</v>
      </c>
    </row>
    <row r="7726" spans="1:10" x14ac:dyDescent="0.25">
      <c r="A7726" t="s">
        <v>148</v>
      </c>
      <c r="B7726">
        <f>88414.3309357824*(1/100/100)</f>
        <v>8.8414330935782406</v>
      </c>
      <c r="C7726">
        <v>90006</v>
      </c>
      <c r="D7726" t="s">
        <v>2034</v>
      </c>
      <c r="E7726">
        <v>80107</v>
      </c>
      <c r="F7726" t="s">
        <v>2034</v>
      </c>
      <c r="G7726">
        <v>801</v>
      </c>
      <c r="H7726" t="s">
        <v>115</v>
      </c>
      <c r="I7726">
        <v>8</v>
      </c>
      <c r="J7726" t="s">
        <v>116</v>
      </c>
    </row>
    <row r="7727" spans="1:10" x14ac:dyDescent="0.25">
      <c r="A7727" t="s">
        <v>148</v>
      </c>
      <c r="B7727">
        <f>166576.41484276*(1/100/100)</f>
        <v>16.657641484275999</v>
      </c>
      <c r="C7727">
        <v>90007</v>
      </c>
      <c r="D7727" t="s">
        <v>2035</v>
      </c>
      <c r="E7727">
        <v>80108</v>
      </c>
      <c r="F7727" t="s">
        <v>2035</v>
      </c>
      <c r="G7727">
        <v>801</v>
      </c>
      <c r="H7727" t="s">
        <v>115</v>
      </c>
      <c r="I7727">
        <v>8</v>
      </c>
      <c r="J7727" t="s">
        <v>116</v>
      </c>
    </row>
    <row r="7728" spans="1:10" x14ac:dyDescent="0.25">
      <c r="A7728" t="s">
        <v>148</v>
      </c>
      <c r="B7728">
        <f>70651.6205876731*(1/100/100)</f>
        <v>7.0651620587673101</v>
      </c>
      <c r="C7728">
        <v>90008</v>
      </c>
      <c r="D7728" t="s">
        <v>2036</v>
      </c>
      <c r="E7728">
        <v>80109</v>
      </c>
      <c r="F7728" t="s">
        <v>2036</v>
      </c>
      <c r="G7728">
        <v>801</v>
      </c>
      <c r="H7728" t="s">
        <v>115</v>
      </c>
      <c r="I7728">
        <v>8</v>
      </c>
      <c r="J7728" t="s">
        <v>116</v>
      </c>
    </row>
    <row r="7729" spans="1:10" x14ac:dyDescent="0.25">
      <c r="A7729" t="s">
        <v>148</v>
      </c>
      <c r="B7729">
        <f>76257.5468557112*(1/100/100)</f>
        <v>7.6257546855711205</v>
      </c>
      <c r="C7729">
        <v>90009</v>
      </c>
      <c r="D7729" t="s">
        <v>2038</v>
      </c>
      <c r="E7729">
        <v>80111</v>
      </c>
      <c r="F7729" t="s">
        <v>2038</v>
      </c>
      <c r="G7729">
        <v>801</v>
      </c>
      <c r="H7729" t="s">
        <v>115</v>
      </c>
      <c r="I7729">
        <v>8</v>
      </c>
      <c r="J7729" t="s">
        <v>116</v>
      </c>
    </row>
    <row r="7730" spans="1:10" x14ac:dyDescent="0.25">
      <c r="A7730" t="s">
        <v>148</v>
      </c>
      <c r="B7730">
        <f>92662.3463745988*(1/100/100)</f>
        <v>9.2662346374598794</v>
      </c>
      <c r="C7730">
        <v>90010</v>
      </c>
      <c r="D7730" t="s">
        <v>2039</v>
      </c>
      <c r="E7730">
        <v>80112</v>
      </c>
      <c r="F7730" t="s">
        <v>2039</v>
      </c>
      <c r="G7730">
        <v>801</v>
      </c>
      <c r="H7730" t="s">
        <v>115</v>
      </c>
      <c r="I7730">
        <v>8</v>
      </c>
      <c r="J7730" t="s">
        <v>116</v>
      </c>
    </row>
    <row r="7731" spans="1:10" x14ac:dyDescent="0.25">
      <c r="A7731" t="s">
        <v>148</v>
      </c>
      <c r="B7731">
        <f>290331.121689419*(1/100/100)</f>
        <v>29.033112168941898</v>
      </c>
      <c r="C7731">
        <v>90011</v>
      </c>
      <c r="D7731" t="s">
        <v>2040</v>
      </c>
      <c r="E7731">
        <v>80113</v>
      </c>
      <c r="F7731" t="s">
        <v>2040</v>
      </c>
      <c r="G7731">
        <v>801</v>
      </c>
      <c r="H7731" t="s">
        <v>115</v>
      </c>
      <c r="I7731">
        <v>8</v>
      </c>
      <c r="J7731" t="s">
        <v>116</v>
      </c>
    </row>
    <row r="7732" spans="1:10" x14ac:dyDescent="0.25">
      <c r="A7732" t="s">
        <v>148</v>
      </c>
      <c r="B7732">
        <f>259849.279610086*(1/100/100)</f>
        <v>25.984927961008601</v>
      </c>
      <c r="C7732">
        <v>90012</v>
      </c>
      <c r="D7732" t="s">
        <v>2042</v>
      </c>
      <c r="E7732">
        <v>80115</v>
      </c>
      <c r="F7732" t="s">
        <v>2042</v>
      </c>
      <c r="G7732">
        <v>801</v>
      </c>
      <c r="H7732" t="s">
        <v>115</v>
      </c>
      <c r="I7732">
        <v>8</v>
      </c>
      <c r="J7732" t="s">
        <v>116</v>
      </c>
    </row>
    <row r="7733" spans="1:10" x14ac:dyDescent="0.25">
      <c r="A7733" t="s">
        <v>148</v>
      </c>
      <c r="B7733">
        <f>610071.994210507*(1/100/100)</f>
        <v>61.007199421050707</v>
      </c>
      <c r="C7733">
        <v>90013</v>
      </c>
      <c r="D7733" t="s">
        <v>2043</v>
      </c>
      <c r="E7733">
        <v>80116</v>
      </c>
      <c r="F7733" t="s">
        <v>2043</v>
      </c>
      <c r="G7733">
        <v>801</v>
      </c>
      <c r="H7733" t="s">
        <v>115</v>
      </c>
      <c r="I7733">
        <v>8</v>
      </c>
      <c r="J7733" t="s">
        <v>116</v>
      </c>
    </row>
    <row r="7734" spans="1:10" x14ac:dyDescent="0.25">
      <c r="A7734" t="s">
        <v>148</v>
      </c>
      <c r="B7734">
        <f>396689.501328459*(1/100/100)</f>
        <v>39.6689501328459</v>
      </c>
      <c r="C7734">
        <v>90014</v>
      </c>
      <c r="D7734" t="s">
        <v>2044</v>
      </c>
      <c r="E7734">
        <v>80117</v>
      </c>
      <c r="F7734" t="s">
        <v>2044</v>
      </c>
      <c r="G7734">
        <v>801</v>
      </c>
      <c r="H7734" t="s">
        <v>115</v>
      </c>
      <c r="I7734">
        <v>8</v>
      </c>
      <c r="J7734" t="s">
        <v>116</v>
      </c>
    </row>
    <row r="7735" spans="1:10" x14ac:dyDescent="0.25">
      <c r="A7735" t="s">
        <v>148</v>
      </c>
      <c r="B7735">
        <f>93311.2737294679*(1/100/100)</f>
        <v>9.3311273729467903</v>
      </c>
      <c r="C7735">
        <v>90015</v>
      </c>
      <c r="D7735" t="s">
        <v>2045</v>
      </c>
      <c r="E7735">
        <v>80118</v>
      </c>
      <c r="F7735" t="s">
        <v>2045</v>
      </c>
      <c r="G7735">
        <v>801</v>
      </c>
      <c r="H7735" t="s">
        <v>115</v>
      </c>
      <c r="I7735">
        <v>8</v>
      </c>
      <c r="J7735" t="s">
        <v>116</v>
      </c>
    </row>
    <row r="7736" spans="1:10" x14ac:dyDescent="0.25">
      <c r="A7736" t="s">
        <v>148</v>
      </c>
      <c r="B7736">
        <f>114143.916461735*(1/100/100)</f>
        <v>11.414391646173501</v>
      </c>
      <c r="C7736">
        <v>90016</v>
      </c>
      <c r="D7736" t="s">
        <v>2048</v>
      </c>
      <c r="E7736">
        <v>80124</v>
      </c>
      <c r="F7736" t="s">
        <v>2048</v>
      </c>
      <c r="G7736">
        <v>801</v>
      </c>
      <c r="H7736" t="s">
        <v>115</v>
      </c>
      <c r="I7736">
        <v>8</v>
      </c>
      <c r="J7736" t="s">
        <v>116</v>
      </c>
    </row>
    <row r="7737" spans="1:10" x14ac:dyDescent="0.25">
      <c r="A7737" t="s">
        <v>148</v>
      </c>
      <c r="B7737">
        <f>42406.3587034907*(1/100/100)</f>
        <v>4.2406358703490703</v>
      </c>
      <c r="C7737">
        <v>90017</v>
      </c>
      <c r="D7737" t="s">
        <v>7266</v>
      </c>
      <c r="E7737">
        <v>80121</v>
      </c>
      <c r="F7737" t="s">
        <v>7266</v>
      </c>
      <c r="G7737">
        <v>801</v>
      </c>
      <c r="H7737" t="s">
        <v>115</v>
      </c>
      <c r="I7737">
        <v>8</v>
      </c>
      <c r="J7737" t="s">
        <v>116</v>
      </c>
    </row>
    <row r="7738" spans="1:10" x14ac:dyDescent="0.25">
      <c r="A7738" t="s">
        <v>148</v>
      </c>
      <c r="B7738">
        <f>188320.952561085*(1/100/100)</f>
        <v>18.832095256108502</v>
      </c>
      <c r="C7738">
        <v>90018</v>
      </c>
      <c r="D7738" t="s">
        <v>2050</v>
      </c>
      <c r="E7738">
        <v>80126</v>
      </c>
      <c r="F7738" t="s">
        <v>2050</v>
      </c>
      <c r="G7738">
        <v>801</v>
      </c>
      <c r="H7738" t="s">
        <v>115</v>
      </c>
      <c r="I7738">
        <v>8</v>
      </c>
      <c r="J7738" t="s">
        <v>116</v>
      </c>
    </row>
    <row r="7739" spans="1:10" x14ac:dyDescent="0.25">
      <c r="A7739" t="s">
        <v>148</v>
      </c>
      <c r="B7739">
        <f>72781.5077298774*(1/100/100)</f>
        <v>7.2781507729877397</v>
      </c>
      <c r="C7739">
        <v>90019</v>
      </c>
      <c r="D7739" t="s">
        <v>2051</v>
      </c>
      <c r="E7739">
        <v>80127</v>
      </c>
      <c r="F7739" t="s">
        <v>2051</v>
      </c>
      <c r="G7739">
        <v>801</v>
      </c>
      <c r="H7739" t="s">
        <v>115</v>
      </c>
      <c r="I7739">
        <v>8</v>
      </c>
      <c r="J7739" t="s">
        <v>116</v>
      </c>
    </row>
    <row r="7740" spans="1:10" x14ac:dyDescent="0.25">
      <c r="A7740" t="s">
        <v>148</v>
      </c>
      <c r="B7740">
        <f>255616.393397227*(1/100/100)</f>
        <v>25.561639339722699</v>
      </c>
      <c r="C7740">
        <v>90101</v>
      </c>
      <c r="D7740" t="s">
        <v>2029</v>
      </c>
      <c r="E7740">
        <v>80101</v>
      </c>
      <c r="F7740" t="s">
        <v>2029</v>
      </c>
      <c r="G7740">
        <v>801</v>
      </c>
      <c r="H7740" t="s">
        <v>115</v>
      </c>
      <c r="I7740">
        <v>8</v>
      </c>
      <c r="J7740" t="s">
        <v>116</v>
      </c>
    </row>
    <row r="7741" spans="1:10" x14ac:dyDescent="0.25">
      <c r="A7741" t="s">
        <v>148</v>
      </c>
      <c r="B7741">
        <f>237162.196912319*(1/100/100)</f>
        <v>23.716219691231899</v>
      </c>
      <c r="C7741">
        <v>90102</v>
      </c>
      <c r="D7741" t="s">
        <v>2037</v>
      </c>
      <c r="E7741">
        <v>80110</v>
      </c>
      <c r="F7741" t="s">
        <v>2037</v>
      </c>
      <c r="G7741">
        <v>801</v>
      </c>
      <c r="H7741" t="s">
        <v>115</v>
      </c>
      <c r="I7741">
        <v>8</v>
      </c>
      <c r="J7741" t="s">
        <v>116</v>
      </c>
    </row>
    <row r="7742" spans="1:10" x14ac:dyDescent="0.25">
      <c r="A7742" t="s">
        <v>148</v>
      </c>
      <c r="B7742">
        <f>29479.1766171186*(1/100/100)</f>
        <v>2.9479176617118599</v>
      </c>
      <c r="C7742">
        <v>90103</v>
      </c>
      <c r="D7742" t="s">
        <v>2041</v>
      </c>
      <c r="E7742">
        <v>80114</v>
      </c>
      <c r="F7742" t="s">
        <v>2041</v>
      </c>
      <c r="G7742">
        <v>801</v>
      </c>
      <c r="H7742" t="s">
        <v>115</v>
      </c>
      <c r="I7742">
        <v>8</v>
      </c>
      <c r="J7742" t="s">
        <v>116</v>
      </c>
    </row>
    <row r="7743" spans="1:10" x14ac:dyDescent="0.25">
      <c r="A7743" t="s">
        <v>148</v>
      </c>
      <c r="B7743">
        <f>342430.675335302*(1/100/100)</f>
        <v>34.243067533530201</v>
      </c>
      <c r="C7743">
        <v>90104</v>
      </c>
      <c r="D7743" t="s">
        <v>2046</v>
      </c>
      <c r="E7743">
        <v>80122</v>
      </c>
      <c r="F7743" t="s">
        <v>2046</v>
      </c>
      <c r="G7743">
        <v>801</v>
      </c>
      <c r="H7743" t="s">
        <v>115</v>
      </c>
      <c r="I7743">
        <v>8</v>
      </c>
      <c r="J7743" t="s">
        <v>116</v>
      </c>
    </row>
    <row r="7744" spans="1:10" x14ac:dyDescent="0.25">
      <c r="A7744" t="s">
        <v>148</v>
      </c>
      <c r="B7744">
        <f>111676.839433263*(1/100/100)</f>
        <v>11.167683943326301</v>
      </c>
      <c r="C7744">
        <v>90105</v>
      </c>
      <c r="D7744" t="s">
        <v>2047</v>
      </c>
      <c r="E7744">
        <v>80123</v>
      </c>
      <c r="F7744" t="s">
        <v>2047</v>
      </c>
      <c r="G7744">
        <v>801</v>
      </c>
      <c r="H7744" t="s">
        <v>115</v>
      </c>
      <c r="I7744">
        <v>8</v>
      </c>
      <c r="J7744" t="s">
        <v>116</v>
      </c>
    </row>
    <row r="7745" spans="1:10" x14ac:dyDescent="0.25">
      <c r="A7745" t="s">
        <v>148</v>
      </c>
      <c r="B7745">
        <f>43539.8787756537*(1/100/100)</f>
        <v>4.3539878775653698</v>
      </c>
      <c r="C7745">
        <v>90106</v>
      </c>
      <c r="D7745" t="s">
        <v>7263</v>
      </c>
      <c r="E7745">
        <v>80119</v>
      </c>
      <c r="F7745" t="s">
        <v>7264</v>
      </c>
      <c r="G7745">
        <v>801</v>
      </c>
      <c r="H7745" t="s">
        <v>115</v>
      </c>
      <c r="I7745">
        <v>8</v>
      </c>
      <c r="J7745" t="s">
        <v>116</v>
      </c>
    </row>
    <row r="7746" spans="1:10" x14ac:dyDescent="0.25">
      <c r="A7746" t="s">
        <v>148</v>
      </c>
      <c r="B7746">
        <f>319942.214978438*(1/100/100)</f>
        <v>31.9942214978438</v>
      </c>
      <c r="C7746">
        <v>90107</v>
      </c>
      <c r="D7746" t="s">
        <v>7265</v>
      </c>
      <c r="E7746">
        <v>80120</v>
      </c>
      <c r="F7746" t="s">
        <v>7265</v>
      </c>
      <c r="G7746">
        <v>801</v>
      </c>
      <c r="H7746" t="s">
        <v>115</v>
      </c>
      <c r="I7746">
        <v>8</v>
      </c>
      <c r="J7746" t="s">
        <v>116</v>
      </c>
    </row>
    <row r="7747" spans="1:10" x14ac:dyDescent="0.25">
      <c r="A7747" t="s">
        <v>148</v>
      </c>
      <c r="B7747">
        <f>259082.198559413*(1/100/100)</f>
        <v>25.908219855941301</v>
      </c>
      <c r="C7747">
        <v>90108</v>
      </c>
      <c r="D7747" t="s">
        <v>2052</v>
      </c>
      <c r="E7747">
        <v>80128</v>
      </c>
      <c r="F7747" t="s">
        <v>2052</v>
      </c>
      <c r="G7747">
        <v>801</v>
      </c>
      <c r="H7747" t="s">
        <v>115</v>
      </c>
      <c r="I7747">
        <v>8</v>
      </c>
      <c r="J7747" t="s">
        <v>116</v>
      </c>
    </row>
    <row r="7748" spans="1:10" x14ac:dyDescent="0.25">
      <c r="A7748" t="s">
        <v>148</v>
      </c>
      <c r="B7748">
        <f>224104.603506978*(1/100/100)</f>
        <v>22.4104603506978</v>
      </c>
      <c r="C7748">
        <v>90109</v>
      </c>
      <c r="D7748" t="s">
        <v>2053</v>
      </c>
      <c r="E7748">
        <v>80129</v>
      </c>
      <c r="F7748" t="s">
        <v>2053</v>
      </c>
      <c r="G7748">
        <v>801</v>
      </c>
      <c r="H7748" t="s">
        <v>115</v>
      </c>
      <c r="I7748">
        <v>8</v>
      </c>
      <c r="J7748" t="s">
        <v>116</v>
      </c>
    </row>
    <row r="7749" spans="1:10" x14ac:dyDescent="0.25">
      <c r="A7749" t="s">
        <v>148</v>
      </c>
      <c r="B7749">
        <f>26529.2303708908*(1/100/100)</f>
        <v>2.6529230370890802</v>
      </c>
      <c r="C7749">
        <v>90110</v>
      </c>
      <c r="D7749" t="s">
        <v>2049</v>
      </c>
      <c r="E7749">
        <v>80125</v>
      </c>
      <c r="F7749" t="s">
        <v>2049</v>
      </c>
      <c r="G7749">
        <v>801</v>
      </c>
      <c r="H7749" t="s">
        <v>115</v>
      </c>
      <c r="I7749">
        <v>8</v>
      </c>
      <c r="J7749" t="s">
        <v>116</v>
      </c>
    </row>
    <row r="7750" spans="1:10" x14ac:dyDescent="0.25">
      <c r="A7750" t="s">
        <v>148</v>
      </c>
      <c r="B7750">
        <f>224557.138710931*(1/100/100)</f>
        <v>22.455713871093103</v>
      </c>
      <c r="C7750">
        <v>91001</v>
      </c>
      <c r="D7750" t="s">
        <v>2055</v>
      </c>
      <c r="E7750">
        <v>80202</v>
      </c>
      <c r="F7750" t="s">
        <v>2055</v>
      </c>
      <c r="G7750">
        <v>802</v>
      </c>
      <c r="H7750" t="s">
        <v>117</v>
      </c>
      <c r="I7750">
        <v>8</v>
      </c>
      <c r="J7750" t="s">
        <v>116</v>
      </c>
    </row>
    <row r="7751" spans="1:10" x14ac:dyDescent="0.25">
      <c r="A7751" t="s">
        <v>148</v>
      </c>
      <c r="B7751">
        <f>205727.176278543*(1/100/100)</f>
        <v>20.572717627854299</v>
      </c>
      <c r="C7751">
        <v>91002</v>
      </c>
      <c r="D7751" t="s">
        <v>2056</v>
      </c>
      <c r="E7751">
        <v>80203</v>
      </c>
      <c r="F7751" t="s">
        <v>2056</v>
      </c>
      <c r="G7751">
        <v>802</v>
      </c>
      <c r="H7751" t="s">
        <v>117</v>
      </c>
      <c r="I7751">
        <v>8</v>
      </c>
      <c r="J7751" t="s">
        <v>116</v>
      </c>
    </row>
    <row r="7752" spans="1:10" x14ac:dyDescent="0.25">
      <c r="A7752" t="s">
        <v>148</v>
      </c>
      <c r="B7752">
        <f>215081.454367253*(1/100/100)</f>
        <v>21.5081454367253</v>
      </c>
      <c r="C7752">
        <v>91003</v>
      </c>
      <c r="D7752" t="s">
        <v>2057</v>
      </c>
      <c r="E7752">
        <v>80204</v>
      </c>
      <c r="F7752" t="s">
        <v>2057</v>
      </c>
      <c r="G7752">
        <v>802</v>
      </c>
      <c r="H7752" t="s">
        <v>117</v>
      </c>
      <c r="I7752">
        <v>8</v>
      </c>
      <c r="J7752" t="s">
        <v>116</v>
      </c>
    </row>
    <row r="7753" spans="1:10" x14ac:dyDescent="0.25">
      <c r="A7753" t="s">
        <v>148</v>
      </c>
      <c r="B7753">
        <f>118499.01632084*(1/100/100)</f>
        <v>11.849901632084</v>
      </c>
      <c r="C7753">
        <v>91004</v>
      </c>
      <c r="D7753" t="s">
        <v>2059</v>
      </c>
      <c r="E7753">
        <v>80206</v>
      </c>
      <c r="F7753" t="s">
        <v>2059</v>
      </c>
      <c r="G7753">
        <v>802</v>
      </c>
      <c r="H7753" t="s">
        <v>117</v>
      </c>
      <c r="I7753">
        <v>8</v>
      </c>
      <c r="J7753" t="s">
        <v>116</v>
      </c>
    </row>
    <row r="7754" spans="1:10" x14ac:dyDescent="0.25">
      <c r="A7754" t="s">
        <v>148</v>
      </c>
      <c r="B7754">
        <f>64481.0145251548*(1/100/100)</f>
        <v>6.4481014525154805</v>
      </c>
      <c r="C7754">
        <v>91005</v>
      </c>
      <c r="D7754" t="s">
        <v>7271</v>
      </c>
      <c r="E7754">
        <v>80216</v>
      </c>
      <c r="F7754" t="s">
        <v>2068</v>
      </c>
      <c r="G7754">
        <v>802</v>
      </c>
      <c r="H7754" t="s">
        <v>117</v>
      </c>
      <c r="I7754">
        <v>8</v>
      </c>
      <c r="J7754" t="s">
        <v>116</v>
      </c>
    </row>
    <row r="7755" spans="1:10" x14ac:dyDescent="0.25">
      <c r="A7755" t="s">
        <v>148</v>
      </c>
      <c r="B7755">
        <f>69691.0178966891*(1/100/100)</f>
        <v>6.96910178966891</v>
      </c>
      <c r="C7755">
        <v>91006</v>
      </c>
      <c r="D7755" t="s">
        <v>2061</v>
      </c>
      <c r="E7755">
        <v>80209</v>
      </c>
      <c r="F7755" t="s">
        <v>2061</v>
      </c>
      <c r="G7755">
        <v>802</v>
      </c>
      <c r="H7755" t="s">
        <v>117</v>
      </c>
      <c r="I7755">
        <v>8</v>
      </c>
      <c r="J7755" t="s">
        <v>116</v>
      </c>
    </row>
    <row r="7756" spans="1:10" x14ac:dyDescent="0.25">
      <c r="A7756" t="s">
        <v>148</v>
      </c>
      <c r="B7756">
        <f>369070.316552508*(1/100/100)</f>
        <v>36.907031655250798</v>
      </c>
      <c r="C7756">
        <v>91007</v>
      </c>
      <c r="D7756" t="s">
        <v>2063</v>
      </c>
      <c r="E7756">
        <v>80211</v>
      </c>
      <c r="F7756" t="s">
        <v>2063</v>
      </c>
      <c r="G7756">
        <v>802</v>
      </c>
      <c r="H7756" t="s">
        <v>117</v>
      </c>
      <c r="I7756">
        <v>8</v>
      </c>
      <c r="J7756" t="s">
        <v>116</v>
      </c>
    </row>
    <row r="7757" spans="1:10" x14ac:dyDescent="0.25">
      <c r="A7757" t="s">
        <v>148</v>
      </c>
      <c r="B7757">
        <f>173206.216791996*(1/100/100)</f>
        <v>17.320621679199601</v>
      </c>
      <c r="C7757">
        <v>91008</v>
      </c>
      <c r="D7757" t="s">
        <v>2068</v>
      </c>
      <c r="E7757">
        <v>80216</v>
      </c>
      <c r="F7757" t="s">
        <v>2068</v>
      </c>
      <c r="G7757">
        <v>802</v>
      </c>
      <c r="H7757" t="s">
        <v>117</v>
      </c>
      <c r="I7757">
        <v>8</v>
      </c>
      <c r="J7757" t="s">
        <v>116</v>
      </c>
    </row>
    <row r="7758" spans="1:10" x14ac:dyDescent="0.25">
      <c r="A7758" t="s">
        <v>148</v>
      </c>
      <c r="B7758">
        <f>100318.808363428*(1/100/100)</f>
        <v>10.0318808363428</v>
      </c>
      <c r="C7758">
        <v>91009</v>
      </c>
      <c r="D7758" t="s">
        <v>943</v>
      </c>
      <c r="E7758">
        <v>80221</v>
      </c>
      <c r="F7758" t="s">
        <v>943</v>
      </c>
      <c r="G7758">
        <v>802</v>
      </c>
      <c r="H7758" t="s">
        <v>117</v>
      </c>
      <c r="I7758">
        <v>8</v>
      </c>
      <c r="J7758" t="s">
        <v>116</v>
      </c>
    </row>
    <row r="7759" spans="1:10" x14ac:dyDescent="0.25">
      <c r="A7759" t="s">
        <v>148</v>
      </c>
      <c r="B7759">
        <f>148059.878571436*(1/100/100)</f>
        <v>14.805987857143602</v>
      </c>
      <c r="C7759">
        <v>91010</v>
      </c>
      <c r="D7759" t="s">
        <v>2076</v>
      </c>
      <c r="E7759">
        <v>80225</v>
      </c>
      <c r="F7759" t="s">
        <v>2076</v>
      </c>
      <c r="G7759">
        <v>802</v>
      </c>
      <c r="H7759" t="s">
        <v>117</v>
      </c>
      <c r="I7759">
        <v>8</v>
      </c>
      <c r="J7759" t="s">
        <v>116</v>
      </c>
    </row>
    <row r="7760" spans="1:10" x14ac:dyDescent="0.25">
      <c r="A7760" t="s">
        <v>148</v>
      </c>
      <c r="B7760">
        <f>140667.529667287*(1/100/100)</f>
        <v>14.0667529667287</v>
      </c>
      <c r="C7760">
        <v>91011</v>
      </c>
      <c r="D7760" t="s">
        <v>2078</v>
      </c>
      <c r="E7760">
        <v>80227</v>
      </c>
      <c r="F7760" t="s">
        <v>2078</v>
      </c>
      <c r="G7760">
        <v>802</v>
      </c>
      <c r="H7760" t="s">
        <v>117</v>
      </c>
      <c r="I7760">
        <v>8</v>
      </c>
      <c r="J7760" t="s">
        <v>116</v>
      </c>
    </row>
    <row r="7761" spans="1:10" x14ac:dyDescent="0.25">
      <c r="A7761" t="s">
        <v>148</v>
      </c>
      <c r="B7761">
        <f>436532.331329256*(1/100/100)</f>
        <v>43.6532331329256</v>
      </c>
      <c r="C7761">
        <v>91012</v>
      </c>
      <c r="D7761" t="s">
        <v>2079</v>
      </c>
      <c r="E7761">
        <v>80228</v>
      </c>
      <c r="F7761" t="s">
        <v>2079</v>
      </c>
      <c r="G7761">
        <v>802</v>
      </c>
      <c r="H7761" t="s">
        <v>117</v>
      </c>
      <c r="I7761">
        <v>8</v>
      </c>
      <c r="J7761" t="s">
        <v>116</v>
      </c>
    </row>
    <row r="7762" spans="1:10" x14ac:dyDescent="0.25">
      <c r="A7762" t="s">
        <v>148</v>
      </c>
      <c r="B7762">
        <f>58965.1009566065*(1/100/100)</f>
        <v>5.8965100956606502</v>
      </c>
      <c r="C7762">
        <v>91013</v>
      </c>
      <c r="D7762" t="s">
        <v>7273</v>
      </c>
      <c r="E7762">
        <v>80223</v>
      </c>
      <c r="F7762" t="s">
        <v>2074</v>
      </c>
      <c r="G7762">
        <v>802</v>
      </c>
      <c r="H7762" t="s">
        <v>117</v>
      </c>
      <c r="I7762">
        <v>8</v>
      </c>
      <c r="J7762" t="s">
        <v>116</v>
      </c>
    </row>
    <row r="7763" spans="1:10" x14ac:dyDescent="0.25">
      <c r="A7763" t="s">
        <v>148</v>
      </c>
      <c r="B7763">
        <f>106069.166921788*(1/100/100)</f>
        <v>10.6069166921788</v>
      </c>
      <c r="C7763">
        <v>91014</v>
      </c>
      <c r="D7763" t="s">
        <v>2081</v>
      </c>
      <c r="E7763">
        <v>80230</v>
      </c>
      <c r="F7763" t="s">
        <v>2081</v>
      </c>
      <c r="G7763">
        <v>802</v>
      </c>
      <c r="H7763" t="s">
        <v>117</v>
      </c>
      <c r="I7763">
        <v>8</v>
      </c>
      <c r="J7763" t="s">
        <v>116</v>
      </c>
    </row>
    <row r="7764" spans="1:10" x14ac:dyDescent="0.25">
      <c r="A7764" t="s">
        <v>148</v>
      </c>
      <c r="B7764">
        <f>64556.6122403834*(1/100/100)</f>
        <v>6.4556612240383409</v>
      </c>
      <c r="C7764">
        <v>91015</v>
      </c>
      <c r="D7764" t="s">
        <v>2083</v>
      </c>
      <c r="E7764">
        <v>80232</v>
      </c>
      <c r="F7764" t="s">
        <v>2083</v>
      </c>
      <c r="G7764">
        <v>802</v>
      </c>
      <c r="H7764" t="s">
        <v>117</v>
      </c>
      <c r="I7764">
        <v>8</v>
      </c>
      <c r="J7764" t="s">
        <v>116</v>
      </c>
    </row>
    <row r="7765" spans="1:10" x14ac:dyDescent="0.25">
      <c r="A7765" t="s">
        <v>148</v>
      </c>
      <c r="B7765">
        <f>107719.358235073*(1/100/100)</f>
        <v>10.771935823507301</v>
      </c>
      <c r="C7765">
        <v>91016</v>
      </c>
      <c r="D7765" t="s">
        <v>2084</v>
      </c>
      <c r="E7765">
        <v>80233</v>
      </c>
      <c r="F7765" t="s">
        <v>2084</v>
      </c>
      <c r="G7765">
        <v>802</v>
      </c>
      <c r="H7765" t="s">
        <v>117</v>
      </c>
      <c r="I7765">
        <v>8</v>
      </c>
      <c r="J7765" t="s">
        <v>116</v>
      </c>
    </row>
    <row r="7766" spans="1:10" x14ac:dyDescent="0.25">
      <c r="A7766" t="s">
        <v>148</v>
      </c>
      <c r="B7766">
        <f>35983.8804190146*(1/100/100)</f>
        <v>3.59838804190146</v>
      </c>
      <c r="C7766">
        <v>91017</v>
      </c>
      <c r="D7766" t="s">
        <v>2085</v>
      </c>
      <c r="E7766">
        <v>80234</v>
      </c>
      <c r="F7766" t="s">
        <v>2085</v>
      </c>
      <c r="G7766">
        <v>802</v>
      </c>
      <c r="H7766" t="s">
        <v>117</v>
      </c>
      <c r="I7766">
        <v>8</v>
      </c>
      <c r="J7766" t="s">
        <v>116</v>
      </c>
    </row>
    <row r="7767" spans="1:10" x14ac:dyDescent="0.25">
      <c r="A7767" t="s">
        <v>148</v>
      </c>
      <c r="B7767">
        <f>225970.814901932*(1/100/100)</f>
        <v>22.597081490193201</v>
      </c>
      <c r="C7767">
        <v>91018</v>
      </c>
      <c r="D7767" t="s">
        <v>2087</v>
      </c>
      <c r="E7767">
        <v>80236</v>
      </c>
      <c r="F7767" t="s">
        <v>2087</v>
      </c>
      <c r="G7767">
        <v>802</v>
      </c>
      <c r="H7767" t="s">
        <v>117</v>
      </c>
      <c r="I7767">
        <v>8</v>
      </c>
      <c r="J7767" t="s">
        <v>116</v>
      </c>
    </row>
    <row r="7768" spans="1:10" x14ac:dyDescent="0.25">
      <c r="A7768" t="s">
        <v>148</v>
      </c>
      <c r="B7768">
        <f>64125.5065523426*(1/100/100)</f>
        <v>6.4125506552342602</v>
      </c>
      <c r="C7768">
        <v>91019</v>
      </c>
      <c r="D7768" t="s">
        <v>2088</v>
      </c>
      <c r="E7768">
        <v>80237</v>
      </c>
      <c r="F7768" t="s">
        <v>2088</v>
      </c>
      <c r="G7768">
        <v>802</v>
      </c>
      <c r="H7768" t="s">
        <v>117</v>
      </c>
      <c r="I7768">
        <v>8</v>
      </c>
      <c r="J7768" t="s">
        <v>116</v>
      </c>
    </row>
    <row r="7769" spans="1:10" x14ac:dyDescent="0.25">
      <c r="A7769" t="s">
        <v>148</v>
      </c>
      <c r="B7769">
        <f>65696.8091669602*(1/100/100)</f>
        <v>6.5696809166960204</v>
      </c>
      <c r="C7769">
        <v>91020</v>
      </c>
      <c r="D7769" t="s">
        <v>7274</v>
      </c>
      <c r="E7769">
        <v>80223</v>
      </c>
      <c r="F7769" t="s">
        <v>2074</v>
      </c>
      <c r="G7769">
        <v>802</v>
      </c>
      <c r="H7769" t="s">
        <v>117</v>
      </c>
      <c r="I7769">
        <v>8</v>
      </c>
      <c r="J7769" t="s">
        <v>116</v>
      </c>
    </row>
    <row r="7770" spans="1:10" x14ac:dyDescent="0.25">
      <c r="A7770" t="s">
        <v>148</v>
      </c>
      <c r="B7770">
        <f>50849.4459780753*(1/100/100)</f>
        <v>5.0849445978075307</v>
      </c>
      <c r="C7770">
        <v>91021</v>
      </c>
      <c r="D7770" t="s">
        <v>829</v>
      </c>
      <c r="E7770">
        <v>80239</v>
      </c>
      <c r="F7770" t="s">
        <v>829</v>
      </c>
      <c r="G7770">
        <v>802</v>
      </c>
      <c r="H7770" t="s">
        <v>117</v>
      </c>
      <c r="I7770">
        <v>8</v>
      </c>
      <c r="J7770" t="s">
        <v>116</v>
      </c>
    </row>
    <row r="7771" spans="1:10" x14ac:dyDescent="0.25">
      <c r="A7771" t="s">
        <v>148</v>
      </c>
      <c r="B7771">
        <f>296205.291653728*(1/100/100)</f>
        <v>29.620529165372801</v>
      </c>
      <c r="C7771">
        <v>91101</v>
      </c>
      <c r="D7771" t="s">
        <v>2054</v>
      </c>
      <c r="E7771">
        <v>80201</v>
      </c>
      <c r="F7771" t="s">
        <v>2054</v>
      </c>
      <c r="G7771">
        <v>802</v>
      </c>
      <c r="H7771" t="s">
        <v>117</v>
      </c>
      <c r="I7771">
        <v>8</v>
      </c>
      <c r="J7771" t="s">
        <v>116</v>
      </c>
    </row>
    <row r="7772" spans="1:10" x14ac:dyDescent="0.25">
      <c r="A7772" t="s">
        <v>148</v>
      </c>
      <c r="B7772">
        <f>74903.5159841044*(1/100/100)</f>
        <v>7.4903515984104398</v>
      </c>
      <c r="C7772">
        <v>91102</v>
      </c>
      <c r="D7772" t="s">
        <v>2058</v>
      </c>
      <c r="E7772">
        <v>80205</v>
      </c>
      <c r="F7772" t="s">
        <v>2058</v>
      </c>
      <c r="G7772">
        <v>802</v>
      </c>
      <c r="H7772" t="s">
        <v>117</v>
      </c>
      <c r="I7772">
        <v>8</v>
      </c>
      <c r="J7772" t="s">
        <v>116</v>
      </c>
    </row>
    <row r="7773" spans="1:10" x14ac:dyDescent="0.25">
      <c r="A7773" t="s">
        <v>148</v>
      </c>
      <c r="B7773">
        <f>388581.655882624*(1/100/100)</f>
        <v>38.858165588262402</v>
      </c>
      <c r="C7773">
        <v>91103</v>
      </c>
      <c r="D7773" t="s">
        <v>117</v>
      </c>
      <c r="E7773">
        <v>80207</v>
      </c>
      <c r="F7773" t="s">
        <v>117</v>
      </c>
      <c r="G7773">
        <v>802</v>
      </c>
      <c r="H7773" t="s">
        <v>117</v>
      </c>
      <c r="I7773">
        <v>8</v>
      </c>
      <c r="J7773" t="s">
        <v>116</v>
      </c>
    </row>
    <row r="7774" spans="1:10" x14ac:dyDescent="0.25">
      <c r="A7774" t="s">
        <v>148</v>
      </c>
      <c r="B7774">
        <f>50481.199181386*(1/100/100)</f>
        <v>5.0481199181386005</v>
      </c>
      <c r="C7774">
        <v>91104</v>
      </c>
      <c r="D7774" t="s">
        <v>2060</v>
      </c>
      <c r="E7774">
        <v>80208</v>
      </c>
      <c r="F7774" t="s">
        <v>2060</v>
      </c>
      <c r="G7774">
        <v>802</v>
      </c>
      <c r="H7774" t="s">
        <v>117</v>
      </c>
      <c r="I7774">
        <v>8</v>
      </c>
      <c r="J7774" t="s">
        <v>116</v>
      </c>
    </row>
    <row r="7775" spans="1:10" x14ac:dyDescent="0.25">
      <c r="A7775" t="s">
        <v>148</v>
      </c>
      <c r="B7775">
        <f>117075.405278879*(1/100/100)</f>
        <v>11.7075405278879</v>
      </c>
      <c r="C7775">
        <v>91105</v>
      </c>
      <c r="D7775" t="s">
        <v>2062</v>
      </c>
      <c r="E7775">
        <v>80210</v>
      </c>
      <c r="F7775" t="s">
        <v>2062</v>
      </c>
      <c r="G7775">
        <v>802</v>
      </c>
      <c r="H7775" t="s">
        <v>117</v>
      </c>
      <c r="I7775">
        <v>8</v>
      </c>
      <c r="J7775" t="s">
        <v>116</v>
      </c>
    </row>
    <row r="7776" spans="1:10" x14ac:dyDescent="0.25">
      <c r="A7776" t="s">
        <v>148</v>
      </c>
      <c r="B7776">
        <f>50714.4673842487*(1/100/100)</f>
        <v>5.0714467384248705</v>
      </c>
      <c r="C7776">
        <v>91106</v>
      </c>
      <c r="D7776" t="s">
        <v>2064</v>
      </c>
      <c r="E7776">
        <v>80212</v>
      </c>
      <c r="F7776" t="s">
        <v>2064</v>
      </c>
      <c r="G7776">
        <v>802</v>
      </c>
      <c r="H7776" t="s">
        <v>117</v>
      </c>
      <c r="I7776">
        <v>8</v>
      </c>
      <c r="J7776" t="s">
        <v>116</v>
      </c>
    </row>
    <row r="7777" spans="1:10" x14ac:dyDescent="0.25">
      <c r="A7777" t="s">
        <v>148</v>
      </c>
      <c r="B7777">
        <f>32141.9664675091*(1/100/100)</f>
        <v>3.2141966467509104</v>
      </c>
      <c r="C7777">
        <v>91107</v>
      </c>
      <c r="D7777" t="s">
        <v>7267</v>
      </c>
      <c r="E7777">
        <v>80207</v>
      </c>
      <c r="F7777" t="s">
        <v>117</v>
      </c>
      <c r="G7777">
        <v>802</v>
      </c>
      <c r="H7777" t="s">
        <v>117</v>
      </c>
      <c r="I7777">
        <v>8</v>
      </c>
      <c r="J7777" t="s">
        <v>116</v>
      </c>
    </row>
    <row r="7778" spans="1:10" x14ac:dyDescent="0.25">
      <c r="A7778" t="s">
        <v>148</v>
      </c>
      <c r="B7778">
        <f>329825.830162146*(1/100/100)</f>
        <v>32.982583016214605</v>
      </c>
      <c r="C7778">
        <v>91108</v>
      </c>
      <c r="D7778" t="s">
        <v>7269</v>
      </c>
      <c r="E7778">
        <v>80213</v>
      </c>
      <c r="F7778" t="s">
        <v>2065</v>
      </c>
      <c r="G7778">
        <v>802</v>
      </c>
      <c r="H7778" t="s">
        <v>117</v>
      </c>
      <c r="I7778">
        <v>8</v>
      </c>
      <c r="J7778" t="s">
        <v>116</v>
      </c>
    </row>
    <row r="7779" spans="1:10" x14ac:dyDescent="0.25">
      <c r="A7779" t="s">
        <v>148</v>
      </c>
      <c r="B7779">
        <f>135955.969119678*(1/100/100)</f>
        <v>13.5955969119678</v>
      </c>
      <c r="C7779">
        <v>91109</v>
      </c>
      <c r="D7779" t="s">
        <v>7270</v>
      </c>
      <c r="E7779">
        <v>80214</v>
      </c>
      <c r="F7779" t="s">
        <v>2066</v>
      </c>
      <c r="G7779">
        <v>802</v>
      </c>
      <c r="H7779" t="s">
        <v>117</v>
      </c>
      <c r="I7779">
        <v>8</v>
      </c>
      <c r="J7779" t="s">
        <v>116</v>
      </c>
    </row>
    <row r="7780" spans="1:10" x14ac:dyDescent="0.25">
      <c r="A7780" t="s">
        <v>148</v>
      </c>
      <c r="B7780">
        <f>841734.305404148*(1/100/100)</f>
        <v>84.173430540414799</v>
      </c>
      <c r="C7780">
        <v>91110</v>
      </c>
      <c r="D7780" t="s">
        <v>2067</v>
      </c>
      <c r="E7780">
        <v>80215</v>
      </c>
      <c r="F7780" t="s">
        <v>2067</v>
      </c>
      <c r="G7780">
        <v>802</v>
      </c>
      <c r="H7780" t="s">
        <v>117</v>
      </c>
      <c r="I7780">
        <v>8</v>
      </c>
      <c r="J7780" t="s">
        <v>116</v>
      </c>
    </row>
    <row r="7781" spans="1:10" x14ac:dyDescent="0.25">
      <c r="A7781" t="s">
        <v>148</v>
      </c>
      <c r="B7781">
        <f>599212.259806693*(1/100/100)</f>
        <v>59.921225980669298</v>
      </c>
      <c r="C7781">
        <v>91111</v>
      </c>
      <c r="D7781" t="s">
        <v>2069</v>
      </c>
      <c r="E7781">
        <v>80217</v>
      </c>
      <c r="F7781" t="s">
        <v>2069</v>
      </c>
      <c r="G7781">
        <v>802</v>
      </c>
      <c r="H7781" t="s">
        <v>117</v>
      </c>
      <c r="I7781">
        <v>8</v>
      </c>
      <c r="J7781" t="s">
        <v>116</v>
      </c>
    </row>
    <row r="7782" spans="1:10" x14ac:dyDescent="0.25">
      <c r="A7782" t="s">
        <v>148</v>
      </c>
      <c r="B7782">
        <f>100965.002009663*(1/100/100)</f>
        <v>10.0965002009663</v>
      </c>
      <c r="C7782">
        <v>91112</v>
      </c>
      <c r="D7782" t="s">
        <v>2071</v>
      </c>
      <c r="E7782">
        <v>80219</v>
      </c>
      <c r="F7782" t="s">
        <v>2071</v>
      </c>
      <c r="G7782">
        <v>802</v>
      </c>
      <c r="H7782" t="s">
        <v>117</v>
      </c>
      <c r="I7782">
        <v>8</v>
      </c>
      <c r="J7782" t="s">
        <v>116</v>
      </c>
    </row>
    <row r="7783" spans="1:10" x14ac:dyDescent="0.25">
      <c r="A7783" t="s">
        <v>148</v>
      </c>
      <c r="B7783">
        <f>440566.823173184*(1/100/100)</f>
        <v>44.056682317318405</v>
      </c>
      <c r="C7783">
        <v>91113</v>
      </c>
      <c r="D7783" t="s">
        <v>2070</v>
      </c>
      <c r="E7783">
        <v>80218</v>
      </c>
      <c r="F7783" t="s">
        <v>2070</v>
      </c>
      <c r="G7783">
        <v>802</v>
      </c>
      <c r="H7783" t="s">
        <v>117</v>
      </c>
      <c r="I7783">
        <v>8</v>
      </c>
      <c r="J7783" t="s">
        <v>116</v>
      </c>
    </row>
    <row r="7784" spans="1:10" x14ac:dyDescent="0.25">
      <c r="A7784" t="s">
        <v>148</v>
      </c>
      <c r="B7784">
        <f>119733.577796859*(1/100/100)</f>
        <v>11.9733577796859</v>
      </c>
      <c r="C7784">
        <v>91114</v>
      </c>
      <c r="D7784" t="s">
        <v>2072</v>
      </c>
      <c r="E7784">
        <v>80220</v>
      </c>
      <c r="F7784" t="s">
        <v>2072</v>
      </c>
      <c r="G7784">
        <v>802</v>
      </c>
      <c r="H7784" t="s">
        <v>117</v>
      </c>
      <c r="I7784">
        <v>8</v>
      </c>
      <c r="J7784" t="s">
        <v>116</v>
      </c>
    </row>
    <row r="7785" spans="1:10" x14ac:dyDescent="0.25">
      <c r="A7785" t="s">
        <v>148</v>
      </c>
      <c r="B7785">
        <f>154379.727616671*(1/100/100)</f>
        <v>15.437972761667101</v>
      </c>
      <c r="C7785">
        <v>91115</v>
      </c>
      <c r="D7785" t="s">
        <v>7272</v>
      </c>
      <c r="E7785">
        <v>80222</v>
      </c>
      <c r="F7785" t="s">
        <v>2073</v>
      </c>
      <c r="G7785">
        <v>802</v>
      </c>
      <c r="H7785" t="s">
        <v>117</v>
      </c>
      <c r="I7785">
        <v>8</v>
      </c>
      <c r="J7785" t="s">
        <v>116</v>
      </c>
    </row>
    <row r="7786" spans="1:10" x14ac:dyDescent="0.25">
      <c r="A7786" t="s">
        <v>148</v>
      </c>
      <c r="B7786">
        <f>691260.165625594*(1/100/100)</f>
        <v>69.1260165625594</v>
      </c>
      <c r="C7786">
        <v>91116</v>
      </c>
      <c r="D7786" t="s">
        <v>2075</v>
      </c>
      <c r="E7786">
        <v>80224</v>
      </c>
      <c r="F7786" t="s">
        <v>2075</v>
      </c>
      <c r="G7786">
        <v>802</v>
      </c>
      <c r="H7786" t="s">
        <v>117</v>
      </c>
      <c r="I7786">
        <v>8</v>
      </c>
      <c r="J7786" t="s">
        <v>116</v>
      </c>
    </row>
    <row r="7787" spans="1:10" x14ac:dyDescent="0.25">
      <c r="A7787" t="s">
        <v>148</v>
      </c>
      <c r="B7787">
        <f>306422.733423335*(1/100/100)</f>
        <v>30.642273342333503</v>
      </c>
      <c r="C7787">
        <v>91117</v>
      </c>
      <c r="D7787" t="s">
        <v>2077</v>
      </c>
      <c r="E7787">
        <v>80226</v>
      </c>
      <c r="F7787" t="s">
        <v>2077</v>
      </c>
      <c r="G7787">
        <v>802</v>
      </c>
      <c r="H7787" t="s">
        <v>117</v>
      </c>
      <c r="I7787">
        <v>8</v>
      </c>
      <c r="J7787" t="s">
        <v>116</v>
      </c>
    </row>
    <row r="7788" spans="1:10" x14ac:dyDescent="0.25">
      <c r="A7788" t="s">
        <v>148</v>
      </c>
      <c r="B7788">
        <f>66809.77763043*(1/100/100)</f>
        <v>6.6809777630430007</v>
      </c>
      <c r="C7788">
        <v>91118</v>
      </c>
      <c r="D7788" t="s">
        <v>2080</v>
      </c>
      <c r="E7788">
        <v>80229</v>
      </c>
      <c r="F7788" t="s">
        <v>2080</v>
      </c>
      <c r="G7788">
        <v>802</v>
      </c>
      <c r="H7788" t="s">
        <v>117</v>
      </c>
      <c r="I7788">
        <v>8</v>
      </c>
      <c r="J7788" t="s">
        <v>116</v>
      </c>
    </row>
    <row r="7789" spans="1:10" x14ac:dyDescent="0.25">
      <c r="A7789" t="s">
        <v>148</v>
      </c>
      <c r="B7789">
        <f>755963.770064378*(1/100/100)</f>
        <v>75.596377006437805</v>
      </c>
      <c r="C7789">
        <v>91119</v>
      </c>
      <c r="D7789" t="s">
        <v>7268</v>
      </c>
      <c r="E7789">
        <v>80207</v>
      </c>
      <c r="F7789" t="s">
        <v>117</v>
      </c>
      <c r="G7789">
        <v>802</v>
      </c>
      <c r="H7789" t="s">
        <v>117</v>
      </c>
      <c r="I7789">
        <v>8</v>
      </c>
      <c r="J7789" t="s">
        <v>116</v>
      </c>
    </row>
    <row r="7790" spans="1:10" x14ac:dyDescent="0.25">
      <c r="A7790" t="s">
        <v>148</v>
      </c>
      <c r="B7790">
        <f>121676.401107466*(1/100/100)</f>
        <v>12.1676401107466</v>
      </c>
      <c r="C7790">
        <v>91120</v>
      </c>
      <c r="D7790" t="s">
        <v>2082</v>
      </c>
      <c r="E7790">
        <v>80231</v>
      </c>
      <c r="F7790" t="s">
        <v>2082</v>
      </c>
      <c r="G7790">
        <v>802</v>
      </c>
      <c r="H7790" t="s">
        <v>117</v>
      </c>
      <c r="I7790">
        <v>8</v>
      </c>
      <c r="J7790" t="s">
        <v>116</v>
      </c>
    </row>
    <row r="7791" spans="1:10" x14ac:dyDescent="0.25">
      <c r="A7791" t="s">
        <v>148</v>
      </c>
      <c r="B7791">
        <f>292443.080586093*(1/100/100)</f>
        <v>29.244308058609302</v>
      </c>
      <c r="C7791">
        <v>91121</v>
      </c>
      <c r="D7791" t="s">
        <v>2086</v>
      </c>
      <c r="E7791">
        <v>80235</v>
      </c>
      <c r="F7791" t="s">
        <v>2086</v>
      </c>
      <c r="G7791">
        <v>802</v>
      </c>
      <c r="H7791" t="s">
        <v>117</v>
      </c>
      <c r="I7791">
        <v>8</v>
      </c>
      <c r="J7791" t="s">
        <v>116</v>
      </c>
    </row>
    <row r="7792" spans="1:10" x14ac:dyDescent="0.25">
      <c r="A7792" t="s">
        <v>148</v>
      </c>
      <c r="B7792">
        <f>205700.505031169*(1/100/100)</f>
        <v>20.570050503116903</v>
      </c>
      <c r="C7792">
        <v>91122</v>
      </c>
      <c r="D7792" t="s">
        <v>2089</v>
      </c>
      <c r="E7792">
        <v>80238</v>
      </c>
      <c r="F7792" t="s">
        <v>2089</v>
      </c>
      <c r="G7792">
        <v>802</v>
      </c>
      <c r="H7792" t="s">
        <v>117</v>
      </c>
      <c r="I7792">
        <v>8</v>
      </c>
      <c r="J7792" t="s">
        <v>116</v>
      </c>
    </row>
    <row r="7793" spans="1:10" x14ac:dyDescent="0.25">
      <c r="A7793" t="s">
        <v>148</v>
      </c>
      <c r="B7793">
        <f>669757.672272337*(1/100/100)</f>
        <v>66.975767227233703</v>
      </c>
      <c r="C7793">
        <v>91123</v>
      </c>
      <c r="D7793" t="s">
        <v>2090</v>
      </c>
      <c r="E7793">
        <v>80240</v>
      </c>
      <c r="F7793" t="s">
        <v>2090</v>
      </c>
      <c r="G7793">
        <v>802</v>
      </c>
      <c r="H7793" t="s">
        <v>117</v>
      </c>
      <c r="I7793">
        <v>8</v>
      </c>
      <c r="J7793" t="s">
        <v>116</v>
      </c>
    </row>
    <row r="7794" spans="1:10" x14ac:dyDescent="0.25">
      <c r="A7794" t="s">
        <v>148</v>
      </c>
      <c r="B7794">
        <f>2927968.43936977*(1/100/100)</f>
        <v>292.79684393697704</v>
      </c>
      <c r="C7794">
        <v>92001</v>
      </c>
      <c r="D7794" t="s">
        <v>118</v>
      </c>
      <c r="E7794">
        <v>80301</v>
      </c>
      <c r="F7794" t="s">
        <v>118</v>
      </c>
      <c r="G7794">
        <v>803</v>
      </c>
      <c r="H7794" t="s">
        <v>118</v>
      </c>
      <c r="I7794">
        <v>8</v>
      </c>
      <c r="J7794" t="s">
        <v>116</v>
      </c>
    </row>
    <row r="7795" spans="1:10" x14ac:dyDescent="0.25">
      <c r="A7795" t="s">
        <v>148</v>
      </c>
      <c r="B7795">
        <f>23602.9040323211*(1/100/100)</f>
        <v>2.3602904032321104</v>
      </c>
      <c r="C7795">
        <v>92002</v>
      </c>
      <c r="D7795" t="s">
        <v>7275</v>
      </c>
      <c r="E7795">
        <v>80301</v>
      </c>
      <c r="F7795" t="s">
        <v>118</v>
      </c>
      <c r="G7795">
        <v>803</v>
      </c>
      <c r="H7795" t="s">
        <v>118</v>
      </c>
      <c r="I7795">
        <v>8</v>
      </c>
      <c r="J7795" t="s">
        <v>116</v>
      </c>
    </row>
    <row r="7796" spans="1:10" x14ac:dyDescent="0.25">
      <c r="A7796" t="s">
        <v>148</v>
      </c>
      <c r="B7796">
        <f>2703.24115379832*(1/100/100)</f>
        <v>0.27032411537983198</v>
      </c>
      <c r="C7796">
        <v>92003</v>
      </c>
      <c r="D7796" t="s">
        <v>7276</v>
      </c>
      <c r="E7796">
        <v>80301</v>
      </c>
      <c r="F7796" t="s">
        <v>118</v>
      </c>
      <c r="G7796">
        <v>803</v>
      </c>
      <c r="H7796" t="s">
        <v>118</v>
      </c>
      <c r="I7796">
        <v>8</v>
      </c>
      <c r="J7796" t="s">
        <v>116</v>
      </c>
    </row>
    <row r="7797" spans="1:10" x14ac:dyDescent="0.25">
      <c r="A7797" t="s">
        <v>148</v>
      </c>
      <c r="B7797">
        <f>1019241.9483028*(1/100/100)</f>
        <v>101.92419483028</v>
      </c>
      <c r="C7797">
        <v>92004</v>
      </c>
      <c r="D7797" t="s">
        <v>2091</v>
      </c>
      <c r="E7797">
        <v>80302</v>
      </c>
      <c r="F7797" t="s">
        <v>2091</v>
      </c>
      <c r="G7797">
        <v>803</v>
      </c>
      <c r="H7797" t="s">
        <v>118</v>
      </c>
      <c r="I7797">
        <v>8</v>
      </c>
      <c r="J7797" t="s">
        <v>116</v>
      </c>
    </row>
    <row r="7798" spans="1:10" x14ac:dyDescent="0.25">
      <c r="A7798" t="s">
        <v>148</v>
      </c>
      <c r="B7798">
        <f>1336993.21976967*(1/100/100)</f>
        <v>133.69932197696701</v>
      </c>
      <c r="C7798">
        <v>92005</v>
      </c>
      <c r="D7798" t="s">
        <v>2092</v>
      </c>
      <c r="E7798">
        <v>80303</v>
      </c>
      <c r="F7798" t="s">
        <v>2092</v>
      </c>
      <c r="G7798">
        <v>803</v>
      </c>
      <c r="H7798" t="s">
        <v>118</v>
      </c>
      <c r="I7798">
        <v>8</v>
      </c>
      <c r="J7798" t="s">
        <v>116</v>
      </c>
    </row>
    <row r="7799" spans="1:10" x14ac:dyDescent="0.25">
      <c r="A7799" t="s">
        <v>148</v>
      </c>
      <c r="B7799">
        <f>401127.17109476*(1/100/100)</f>
        <v>40.112717109476002</v>
      </c>
      <c r="C7799">
        <v>92101</v>
      </c>
      <c r="D7799" t="s">
        <v>2093</v>
      </c>
      <c r="E7799">
        <v>80401</v>
      </c>
      <c r="F7799" t="s">
        <v>2093</v>
      </c>
      <c r="G7799">
        <v>804</v>
      </c>
      <c r="H7799" t="s">
        <v>119</v>
      </c>
      <c r="I7799">
        <v>8</v>
      </c>
      <c r="J7799" t="s">
        <v>116</v>
      </c>
    </row>
    <row r="7800" spans="1:10" x14ac:dyDescent="0.25">
      <c r="A7800" t="s">
        <v>148</v>
      </c>
      <c r="B7800">
        <f>960007.709286992*(1/100/100)</f>
        <v>96.000770928699197</v>
      </c>
      <c r="C7800">
        <v>92102</v>
      </c>
      <c r="D7800" t="s">
        <v>7277</v>
      </c>
      <c r="E7800">
        <v>80404</v>
      </c>
      <c r="F7800" t="s">
        <v>119</v>
      </c>
      <c r="G7800">
        <v>804</v>
      </c>
      <c r="H7800" t="s">
        <v>119</v>
      </c>
      <c r="I7800">
        <v>8</v>
      </c>
      <c r="J7800" t="s">
        <v>116</v>
      </c>
    </row>
    <row r="7801" spans="1:10" x14ac:dyDescent="0.25">
      <c r="A7801" t="s">
        <v>148</v>
      </c>
      <c r="B7801">
        <f>40713.2583618176*(1/100/100)</f>
        <v>4.0713258361817601</v>
      </c>
      <c r="C7801">
        <v>92103</v>
      </c>
      <c r="D7801" t="s">
        <v>2094</v>
      </c>
      <c r="E7801">
        <v>80402</v>
      </c>
      <c r="F7801" t="s">
        <v>2094</v>
      </c>
      <c r="G7801">
        <v>804</v>
      </c>
      <c r="H7801" t="s">
        <v>119</v>
      </c>
      <c r="I7801">
        <v>8</v>
      </c>
      <c r="J7801" t="s">
        <v>116</v>
      </c>
    </row>
    <row r="7802" spans="1:10" x14ac:dyDescent="0.25">
      <c r="A7802" t="s">
        <v>148</v>
      </c>
      <c r="B7802">
        <f>20629.4102838747*(1/100/100)</f>
        <v>2.0629410283874701</v>
      </c>
      <c r="C7802">
        <v>92104</v>
      </c>
      <c r="D7802" t="s">
        <v>2095</v>
      </c>
      <c r="E7802">
        <v>80403</v>
      </c>
      <c r="F7802" t="s">
        <v>2095</v>
      </c>
      <c r="G7802">
        <v>804</v>
      </c>
      <c r="H7802" t="s">
        <v>119</v>
      </c>
      <c r="I7802">
        <v>8</v>
      </c>
      <c r="J7802" t="s">
        <v>116</v>
      </c>
    </row>
    <row r="7803" spans="1:10" x14ac:dyDescent="0.25">
      <c r="A7803" t="s">
        <v>148</v>
      </c>
      <c r="B7803">
        <f>171402.863463566*(1/100/100)</f>
        <v>17.1402863463566</v>
      </c>
      <c r="C7803">
        <v>92105</v>
      </c>
      <c r="D7803" t="s">
        <v>119</v>
      </c>
      <c r="E7803">
        <v>80404</v>
      </c>
      <c r="F7803" t="s">
        <v>119</v>
      </c>
      <c r="G7803">
        <v>804</v>
      </c>
      <c r="H7803" t="s">
        <v>119</v>
      </c>
      <c r="I7803">
        <v>8</v>
      </c>
      <c r="J7803" t="s">
        <v>116</v>
      </c>
    </row>
    <row r="7804" spans="1:10" x14ac:dyDescent="0.25">
      <c r="A7804" t="s">
        <v>148</v>
      </c>
      <c r="B7804">
        <f>486931.315912508*(1/100/100)</f>
        <v>48.693131591250804</v>
      </c>
      <c r="C7804">
        <v>92106</v>
      </c>
      <c r="D7804" t="s">
        <v>7281</v>
      </c>
      <c r="E7804">
        <v>80405</v>
      </c>
      <c r="F7804" t="s">
        <v>2096</v>
      </c>
      <c r="G7804">
        <v>804</v>
      </c>
      <c r="H7804" t="s">
        <v>119</v>
      </c>
      <c r="I7804">
        <v>8</v>
      </c>
      <c r="J7804" t="s">
        <v>116</v>
      </c>
    </row>
    <row r="7805" spans="1:10" x14ac:dyDescent="0.25">
      <c r="A7805" t="s">
        <v>148</v>
      </c>
      <c r="B7805">
        <f>25218.2683892798*(1/100/100)</f>
        <v>2.5218268389279803</v>
      </c>
      <c r="C7805">
        <v>92107</v>
      </c>
      <c r="D7805" t="s">
        <v>7282</v>
      </c>
      <c r="E7805">
        <v>80405</v>
      </c>
      <c r="F7805" t="s">
        <v>2096</v>
      </c>
      <c r="G7805">
        <v>804</v>
      </c>
      <c r="H7805" t="s">
        <v>119</v>
      </c>
      <c r="I7805">
        <v>8</v>
      </c>
      <c r="J7805" t="s">
        <v>116</v>
      </c>
    </row>
    <row r="7806" spans="1:10" x14ac:dyDescent="0.25">
      <c r="A7806" t="s">
        <v>148</v>
      </c>
      <c r="B7806">
        <f>48616.7346106217*(1/100/100)</f>
        <v>4.8616734610621704</v>
      </c>
      <c r="C7806">
        <v>92108</v>
      </c>
      <c r="D7806" t="s">
        <v>2097</v>
      </c>
      <c r="E7806">
        <v>80406</v>
      </c>
      <c r="F7806" t="s">
        <v>2097</v>
      </c>
      <c r="G7806">
        <v>804</v>
      </c>
      <c r="H7806" t="s">
        <v>119</v>
      </c>
      <c r="I7806">
        <v>8</v>
      </c>
      <c r="J7806" t="s">
        <v>116</v>
      </c>
    </row>
    <row r="7807" spans="1:10" x14ac:dyDescent="0.25">
      <c r="A7807" t="s">
        <v>148</v>
      </c>
      <c r="B7807">
        <f>214633.968380269*(1/100/100)</f>
        <v>21.463396838026902</v>
      </c>
      <c r="C7807">
        <v>92109</v>
      </c>
      <c r="D7807" t="s">
        <v>2098</v>
      </c>
      <c r="E7807">
        <v>80407</v>
      </c>
      <c r="F7807" t="s">
        <v>2098</v>
      </c>
      <c r="G7807">
        <v>804</v>
      </c>
      <c r="H7807" t="s">
        <v>119</v>
      </c>
      <c r="I7807">
        <v>8</v>
      </c>
      <c r="J7807" t="s">
        <v>116</v>
      </c>
    </row>
    <row r="7808" spans="1:10" x14ac:dyDescent="0.25">
      <c r="A7808" t="s">
        <v>148</v>
      </c>
      <c r="B7808">
        <f>687733.277114238*(1/100/100)</f>
        <v>68.773327711423804</v>
      </c>
      <c r="C7808">
        <v>92110</v>
      </c>
      <c r="D7808" t="s">
        <v>2099</v>
      </c>
      <c r="E7808">
        <v>80408</v>
      </c>
      <c r="F7808" t="s">
        <v>2099</v>
      </c>
      <c r="G7808">
        <v>804</v>
      </c>
      <c r="H7808" t="s">
        <v>119</v>
      </c>
      <c r="I7808">
        <v>8</v>
      </c>
      <c r="J7808" t="s">
        <v>116</v>
      </c>
    </row>
    <row r="7809" spans="1:10" x14ac:dyDescent="0.25">
      <c r="A7809" t="s">
        <v>148</v>
      </c>
      <c r="B7809">
        <f>279820.278239257*(1/100/100)</f>
        <v>27.982027823925701</v>
      </c>
      <c r="C7809">
        <v>92111</v>
      </c>
      <c r="D7809" t="s">
        <v>2100</v>
      </c>
      <c r="E7809">
        <v>80409</v>
      </c>
      <c r="F7809" t="s">
        <v>2100</v>
      </c>
      <c r="G7809">
        <v>804</v>
      </c>
      <c r="H7809" t="s">
        <v>119</v>
      </c>
      <c r="I7809">
        <v>8</v>
      </c>
      <c r="J7809" t="s">
        <v>116</v>
      </c>
    </row>
    <row r="7810" spans="1:10" x14ac:dyDescent="0.25">
      <c r="A7810" t="s">
        <v>148</v>
      </c>
      <c r="B7810">
        <f>344455.920911894*(1/100/100)</f>
        <v>34.445592091189404</v>
      </c>
      <c r="C7810">
        <v>92112</v>
      </c>
      <c r="D7810" t="s">
        <v>2101</v>
      </c>
      <c r="E7810">
        <v>80410</v>
      </c>
      <c r="F7810" t="s">
        <v>2101</v>
      </c>
      <c r="G7810">
        <v>804</v>
      </c>
      <c r="H7810" t="s">
        <v>119</v>
      </c>
      <c r="I7810">
        <v>8</v>
      </c>
      <c r="J7810" t="s">
        <v>116</v>
      </c>
    </row>
    <row r="7811" spans="1:10" x14ac:dyDescent="0.25">
      <c r="A7811" t="s">
        <v>148</v>
      </c>
      <c r="B7811">
        <f>87236.8428605396*(1/100/100)</f>
        <v>8.7236842860539614</v>
      </c>
      <c r="C7811">
        <v>92113</v>
      </c>
      <c r="D7811" t="s">
        <v>2102</v>
      </c>
      <c r="E7811">
        <v>80411</v>
      </c>
      <c r="F7811" t="s">
        <v>2102</v>
      </c>
      <c r="G7811">
        <v>804</v>
      </c>
      <c r="H7811" t="s">
        <v>119</v>
      </c>
      <c r="I7811">
        <v>8</v>
      </c>
      <c r="J7811" t="s">
        <v>116</v>
      </c>
    </row>
    <row r="7812" spans="1:10" x14ac:dyDescent="0.25">
      <c r="A7812" t="s">
        <v>148</v>
      </c>
      <c r="B7812">
        <f>281779.737692491*(1/100/100)</f>
        <v>28.1779737692491</v>
      </c>
      <c r="C7812">
        <v>92114</v>
      </c>
      <c r="D7812" t="s">
        <v>2103</v>
      </c>
      <c r="E7812">
        <v>80412</v>
      </c>
      <c r="F7812" t="s">
        <v>2103</v>
      </c>
      <c r="G7812">
        <v>804</v>
      </c>
      <c r="H7812" t="s">
        <v>119</v>
      </c>
      <c r="I7812">
        <v>8</v>
      </c>
      <c r="J7812" t="s">
        <v>116</v>
      </c>
    </row>
    <row r="7813" spans="1:10" x14ac:dyDescent="0.25">
      <c r="A7813" t="s">
        <v>148</v>
      </c>
      <c r="B7813">
        <f>208172.838771141*(1/100/100)</f>
        <v>20.8172838771141</v>
      </c>
      <c r="C7813">
        <v>92115</v>
      </c>
      <c r="D7813" t="s">
        <v>2104</v>
      </c>
      <c r="E7813">
        <v>80413</v>
      </c>
      <c r="F7813" t="s">
        <v>2104</v>
      </c>
      <c r="G7813">
        <v>804</v>
      </c>
      <c r="H7813" t="s">
        <v>119</v>
      </c>
      <c r="I7813">
        <v>8</v>
      </c>
      <c r="J7813" t="s">
        <v>116</v>
      </c>
    </row>
    <row r="7814" spans="1:10" x14ac:dyDescent="0.25">
      <c r="A7814" t="s">
        <v>148</v>
      </c>
      <c r="B7814">
        <f>216773.943629489*(1/100/100)</f>
        <v>21.677394362948899</v>
      </c>
      <c r="C7814">
        <v>92116</v>
      </c>
      <c r="D7814" t="s">
        <v>7278</v>
      </c>
      <c r="E7814">
        <v>80404</v>
      </c>
      <c r="F7814" t="s">
        <v>119</v>
      </c>
      <c r="G7814">
        <v>804</v>
      </c>
      <c r="H7814" t="s">
        <v>119</v>
      </c>
      <c r="I7814">
        <v>8</v>
      </c>
      <c r="J7814" t="s">
        <v>116</v>
      </c>
    </row>
    <row r="7815" spans="1:10" x14ac:dyDescent="0.25">
      <c r="A7815" t="s">
        <v>148</v>
      </c>
      <c r="B7815">
        <f>947526.78675655*(1/100/100)</f>
        <v>94.752678675655005</v>
      </c>
      <c r="C7815">
        <v>92117</v>
      </c>
      <c r="D7815" t="s">
        <v>2105</v>
      </c>
      <c r="E7815">
        <v>80414</v>
      </c>
      <c r="F7815" t="s">
        <v>2105</v>
      </c>
      <c r="G7815">
        <v>804</v>
      </c>
      <c r="H7815" t="s">
        <v>119</v>
      </c>
      <c r="I7815">
        <v>8</v>
      </c>
      <c r="J7815" t="s">
        <v>116</v>
      </c>
    </row>
    <row r="7816" spans="1:10" x14ac:dyDescent="0.25">
      <c r="A7816" t="s">
        <v>148</v>
      </c>
      <c r="B7816">
        <f>27938.7116751585*(1/100/100)</f>
        <v>2.7938711675158503</v>
      </c>
      <c r="C7816">
        <v>92118</v>
      </c>
      <c r="D7816" t="s">
        <v>2106</v>
      </c>
      <c r="E7816">
        <v>80415</v>
      </c>
      <c r="F7816" t="s">
        <v>2106</v>
      </c>
      <c r="G7816">
        <v>804</v>
      </c>
      <c r="H7816" t="s">
        <v>119</v>
      </c>
      <c r="I7816">
        <v>8</v>
      </c>
      <c r="J7816" t="s">
        <v>116</v>
      </c>
    </row>
    <row r="7817" spans="1:10" x14ac:dyDescent="0.25">
      <c r="A7817" t="s">
        <v>148</v>
      </c>
      <c r="B7817">
        <f>175920.913428516*(1/100/100)</f>
        <v>17.592091342851603</v>
      </c>
      <c r="C7817">
        <v>92119</v>
      </c>
      <c r="D7817" t="s">
        <v>2107</v>
      </c>
      <c r="E7817">
        <v>80416</v>
      </c>
      <c r="F7817" t="s">
        <v>2107</v>
      </c>
      <c r="G7817">
        <v>804</v>
      </c>
      <c r="H7817" t="s">
        <v>119</v>
      </c>
      <c r="I7817">
        <v>8</v>
      </c>
      <c r="J7817" t="s">
        <v>116</v>
      </c>
    </row>
    <row r="7818" spans="1:10" x14ac:dyDescent="0.25">
      <c r="A7818" t="s">
        <v>148</v>
      </c>
      <c r="B7818">
        <f>204020.087945095*(1/100/100)</f>
        <v>20.402008794509502</v>
      </c>
      <c r="C7818">
        <v>92120</v>
      </c>
      <c r="D7818" t="s">
        <v>2108</v>
      </c>
      <c r="E7818">
        <v>80417</v>
      </c>
      <c r="F7818" t="s">
        <v>2108</v>
      </c>
      <c r="G7818">
        <v>804</v>
      </c>
      <c r="H7818" t="s">
        <v>119</v>
      </c>
      <c r="I7818">
        <v>8</v>
      </c>
      <c r="J7818" t="s">
        <v>116</v>
      </c>
    </row>
    <row r="7819" spans="1:10" x14ac:dyDescent="0.25">
      <c r="A7819" t="s">
        <v>148</v>
      </c>
      <c r="B7819">
        <f>198819.001301629*(1/100/100)</f>
        <v>19.881900130162901</v>
      </c>
      <c r="C7819">
        <v>92121</v>
      </c>
      <c r="D7819" t="s">
        <v>2109</v>
      </c>
      <c r="E7819">
        <v>80418</v>
      </c>
      <c r="F7819" t="s">
        <v>2109</v>
      </c>
      <c r="G7819">
        <v>804</v>
      </c>
      <c r="H7819" t="s">
        <v>119</v>
      </c>
      <c r="I7819">
        <v>8</v>
      </c>
      <c r="J7819" t="s">
        <v>116</v>
      </c>
    </row>
    <row r="7820" spans="1:10" x14ac:dyDescent="0.25">
      <c r="A7820" t="s">
        <v>148</v>
      </c>
      <c r="B7820">
        <f>62861.5724784681*(1/100/100)</f>
        <v>6.28615724784681</v>
      </c>
      <c r="C7820">
        <v>92122</v>
      </c>
      <c r="D7820" t="s">
        <v>2110</v>
      </c>
      <c r="E7820">
        <v>80419</v>
      </c>
      <c r="F7820" t="s">
        <v>2110</v>
      </c>
      <c r="G7820">
        <v>804</v>
      </c>
      <c r="H7820" t="s">
        <v>119</v>
      </c>
      <c r="I7820">
        <v>8</v>
      </c>
      <c r="J7820" t="s">
        <v>116</v>
      </c>
    </row>
    <row r="7821" spans="1:10" x14ac:dyDescent="0.25">
      <c r="A7821" t="s">
        <v>148</v>
      </c>
      <c r="B7821">
        <f>179239.727466962*(1/100/100)</f>
        <v>17.923972746696201</v>
      </c>
      <c r="C7821">
        <v>92123</v>
      </c>
      <c r="D7821" t="s">
        <v>2111</v>
      </c>
      <c r="E7821">
        <v>80420</v>
      </c>
      <c r="F7821" t="s">
        <v>2111</v>
      </c>
      <c r="G7821">
        <v>804</v>
      </c>
      <c r="H7821" t="s">
        <v>119</v>
      </c>
      <c r="I7821">
        <v>8</v>
      </c>
      <c r="J7821" t="s">
        <v>116</v>
      </c>
    </row>
    <row r="7822" spans="1:10" x14ac:dyDescent="0.25">
      <c r="A7822" t="s">
        <v>148</v>
      </c>
      <c r="B7822">
        <f>237420.288446939*(1/100/100)</f>
        <v>23.742028844693902</v>
      </c>
      <c r="C7822">
        <v>92124</v>
      </c>
      <c r="D7822" t="s">
        <v>7279</v>
      </c>
      <c r="E7822">
        <v>80404</v>
      </c>
      <c r="F7822" t="s">
        <v>119</v>
      </c>
      <c r="G7822">
        <v>804</v>
      </c>
      <c r="H7822" t="s">
        <v>119</v>
      </c>
      <c r="I7822">
        <v>8</v>
      </c>
      <c r="J7822" t="s">
        <v>116</v>
      </c>
    </row>
    <row r="7823" spans="1:10" x14ac:dyDescent="0.25">
      <c r="A7823" t="s">
        <v>148</v>
      </c>
      <c r="B7823">
        <f>253136.356979501*(1/100/100)</f>
        <v>25.313635697950101</v>
      </c>
      <c r="C7823">
        <v>92125</v>
      </c>
      <c r="D7823" t="s">
        <v>7280</v>
      </c>
      <c r="E7823">
        <v>80404</v>
      </c>
      <c r="F7823" t="s">
        <v>119</v>
      </c>
      <c r="G7823">
        <v>804</v>
      </c>
      <c r="H7823" t="s">
        <v>119</v>
      </c>
      <c r="I7823">
        <v>8</v>
      </c>
      <c r="J7823" t="s">
        <v>116</v>
      </c>
    </row>
    <row r="7824" spans="1:10" x14ac:dyDescent="0.25">
      <c r="A7824" t="s">
        <v>148</v>
      </c>
      <c r="B7824">
        <f>52968.177448978*(1/100/100)</f>
        <v>5.2968177448978002</v>
      </c>
      <c r="C7824">
        <v>92126</v>
      </c>
      <c r="D7824" t="s">
        <v>2112</v>
      </c>
      <c r="E7824">
        <v>80421</v>
      </c>
      <c r="F7824" t="s">
        <v>2112</v>
      </c>
      <c r="G7824">
        <v>804</v>
      </c>
      <c r="H7824" t="s">
        <v>119</v>
      </c>
      <c r="I7824">
        <v>8</v>
      </c>
      <c r="J7824" t="s">
        <v>116</v>
      </c>
    </row>
    <row r="7825" spans="1:10" x14ac:dyDescent="0.25">
      <c r="A7825" t="s">
        <v>148</v>
      </c>
      <c r="B7825">
        <f>31982.4902164881*(1/100/100)</f>
        <v>3.19824902164881</v>
      </c>
      <c r="C7825">
        <v>92127</v>
      </c>
      <c r="D7825" t="s">
        <v>2113</v>
      </c>
      <c r="E7825">
        <v>80422</v>
      </c>
      <c r="F7825" t="s">
        <v>2113</v>
      </c>
      <c r="G7825">
        <v>804</v>
      </c>
      <c r="H7825" t="s">
        <v>119</v>
      </c>
      <c r="I7825">
        <v>8</v>
      </c>
      <c r="J7825" t="s">
        <v>116</v>
      </c>
    </row>
    <row r="7826" spans="1:10" x14ac:dyDescent="0.25">
      <c r="A7826" t="s">
        <v>148</v>
      </c>
      <c r="B7826">
        <f>146203.732664665*(1/100/100)</f>
        <v>14.620373266466501</v>
      </c>
      <c r="C7826">
        <v>92128</v>
      </c>
      <c r="D7826" t="s">
        <v>2114</v>
      </c>
      <c r="E7826">
        <v>80423</v>
      </c>
      <c r="F7826" t="s">
        <v>2114</v>
      </c>
      <c r="G7826">
        <v>804</v>
      </c>
      <c r="H7826" t="s">
        <v>119</v>
      </c>
      <c r="I7826">
        <v>8</v>
      </c>
      <c r="J7826" t="s">
        <v>116</v>
      </c>
    </row>
    <row r="7827" spans="1:10" x14ac:dyDescent="0.25">
      <c r="A7827" t="s">
        <v>148</v>
      </c>
      <c r="B7827">
        <f>213123.435374243*(1/100/100)</f>
        <v>21.312343537424301</v>
      </c>
      <c r="C7827">
        <v>92129</v>
      </c>
      <c r="D7827" t="s">
        <v>2115</v>
      </c>
      <c r="E7827">
        <v>80424</v>
      </c>
      <c r="F7827" t="s">
        <v>2115</v>
      </c>
      <c r="G7827">
        <v>804</v>
      </c>
      <c r="H7827" t="s">
        <v>119</v>
      </c>
      <c r="I7827">
        <v>8</v>
      </c>
      <c r="J7827" t="s">
        <v>116</v>
      </c>
    </row>
  </sheetData>
  <sheetProtection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B2:C35"/>
  <sheetViews>
    <sheetView workbookViewId="0">
      <selection activeCell="C14" sqref="C14"/>
    </sheetView>
  </sheetViews>
  <sheetFormatPr baseColWidth="10" defaultRowHeight="15" x14ac:dyDescent="0.25"/>
  <cols>
    <col min="1" max="1" width="11.42578125" style="1"/>
    <col min="2" max="2" width="24.140625" style="1" customWidth="1"/>
    <col min="3" max="3" width="82" style="1" bestFit="1" customWidth="1"/>
    <col min="4" max="16384" width="11.42578125" style="1"/>
  </cols>
  <sheetData>
    <row r="2" spans="2:3" x14ac:dyDescent="0.25">
      <c r="B2" s="108" t="s">
        <v>7449</v>
      </c>
    </row>
    <row r="3" spans="2:3" x14ac:dyDescent="0.25">
      <c r="B3" s="1" t="s">
        <v>7450</v>
      </c>
      <c r="C3" t="s">
        <v>7603</v>
      </c>
    </row>
    <row r="4" spans="2:3" x14ac:dyDescent="0.25">
      <c r="B4" s="1" t="s">
        <v>7456</v>
      </c>
      <c r="C4" s="1" t="s">
        <v>7596</v>
      </c>
    </row>
    <row r="5" spans="2:3" x14ac:dyDescent="0.25">
      <c r="B5" s="1" t="s">
        <v>7457</v>
      </c>
      <c r="C5" s="1" t="s">
        <v>7602</v>
      </c>
    </row>
    <row r="6" spans="2:3" x14ac:dyDescent="0.25">
      <c r="B6" s="1" t="s">
        <v>7451</v>
      </c>
      <c r="C6" s="124">
        <v>45261</v>
      </c>
    </row>
    <row r="7" spans="2:3" x14ac:dyDescent="0.25">
      <c r="B7" s="1" t="s">
        <v>7605</v>
      </c>
      <c r="C7" s="1" t="s">
        <v>7606</v>
      </c>
    </row>
    <row r="8" spans="2:3" x14ac:dyDescent="0.25">
      <c r="B8" s="1" t="s">
        <v>7607</v>
      </c>
      <c r="C8" s="1" t="s">
        <v>7608</v>
      </c>
    </row>
    <row r="10" spans="2:3" x14ac:dyDescent="0.25">
      <c r="B10" s="108" t="s">
        <v>7455</v>
      </c>
    </row>
    <row r="11" spans="2:3" x14ac:dyDescent="0.25">
      <c r="B11" s="86" t="s">
        <v>7452</v>
      </c>
      <c r="C11" s="1" t="s">
        <v>7488</v>
      </c>
    </row>
    <row r="12" spans="2:3" x14ac:dyDescent="0.25">
      <c r="B12" s="123" t="s">
        <v>7489</v>
      </c>
      <c r="C12" s="1" t="s">
        <v>7490</v>
      </c>
    </row>
    <row r="13" spans="2:3" x14ac:dyDescent="0.25">
      <c r="B13" s="123" t="s">
        <v>7491</v>
      </c>
      <c r="C13" s="1" t="s">
        <v>7473</v>
      </c>
    </row>
    <row r="14" spans="2:3" x14ac:dyDescent="0.25">
      <c r="B14" s="125" t="s">
        <v>7512</v>
      </c>
      <c r="C14" s="1" t="s">
        <v>7453</v>
      </c>
    </row>
    <row r="16" spans="2:3" x14ac:dyDescent="0.25">
      <c r="B16" s="126" t="s">
        <v>7454</v>
      </c>
      <c r="C16" s="1" t="s">
        <v>7604</v>
      </c>
    </row>
    <row r="17" spans="2:3" x14ac:dyDescent="0.25">
      <c r="B17" s="126" t="s">
        <v>7433</v>
      </c>
      <c r="C17" s="1" t="s">
        <v>7595</v>
      </c>
    </row>
    <row r="19" spans="2:3" x14ac:dyDescent="0.25">
      <c r="B19" s="127" t="s">
        <v>7492</v>
      </c>
    </row>
    <row r="20" spans="2:3" x14ac:dyDescent="0.25">
      <c r="B20" s="122" t="s">
        <v>7493</v>
      </c>
      <c r="C20" s="122" t="s">
        <v>7494</v>
      </c>
    </row>
    <row r="21" spans="2:3" x14ac:dyDescent="0.25">
      <c r="B21" s="122" t="s">
        <v>7464</v>
      </c>
      <c r="C21" s="122" t="s">
        <v>7465</v>
      </c>
    </row>
    <row r="22" spans="2:3" x14ac:dyDescent="0.25">
      <c r="B22" s="122" t="s">
        <v>7495</v>
      </c>
      <c r="C22" s="122" t="s">
        <v>7496</v>
      </c>
    </row>
    <row r="23" spans="2:3" x14ac:dyDescent="0.25">
      <c r="B23" s="122" t="s">
        <v>170</v>
      </c>
      <c r="C23" s="122" t="s">
        <v>7497</v>
      </c>
    </row>
    <row r="24" spans="2:3" x14ac:dyDescent="0.25">
      <c r="B24" s="122" t="s">
        <v>7498</v>
      </c>
      <c r="C24" s="122" t="s">
        <v>7499</v>
      </c>
    </row>
    <row r="25" spans="2:3" x14ac:dyDescent="0.25">
      <c r="B25" s="122" t="s">
        <v>7500</v>
      </c>
      <c r="C25" s="122" t="s">
        <v>7501</v>
      </c>
    </row>
    <row r="26" spans="2:3" x14ac:dyDescent="0.25">
      <c r="B26" s="122"/>
      <c r="C26" s="122"/>
    </row>
    <row r="28" spans="2:3" x14ac:dyDescent="0.25">
      <c r="B28" s="108" t="s">
        <v>7458</v>
      </c>
    </row>
    <row r="29" spans="2:3" x14ac:dyDescent="0.25">
      <c r="B29" s="121" t="s">
        <v>7459</v>
      </c>
      <c r="C29" s="1" t="s">
        <v>7460</v>
      </c>
    </row>
    <row r="30" spans="2:3" x14ac:dyDescent="0.25">
      <c r="C30" s="1" t="s">
        <v>7461</v>
      </c>
    </row>
    <row r="31" spans="2:3" x14ac:dyDescent="0.25">
      <c r="C31" s="1" t="s">
        <v>7462</v>
      </c>
    </row>
    <row r="32" spans="2:3" x14ac:dyDescent="0.25">
      <c r="C32" s="1" t="s">
        <v>7463</v>
      </c>
    </row>
    <row r="34" spans="2:3" x14ac:dyDescent="0.25">
      <c r="B34" s="108" t="s">
        <v>7466</v>
      </c>
      <c r="C34" s="1" t="s">
        <v>7509</v>
      </c>
    </row>
    <row r="35" spans="2:3" x14ac:dyDescent="0.25">
      <c r="C35" s="1" t="s">
        <v>7510</v>
      </c>
    </row>
  </sheetData>
  <sheetProtection sheet="1" objects="1" scenarios="1"/>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rgb="FFFFFF00"/>
    <pageSetUpPr fitToPage="1"/>
  </sheetPr>
  <dimension ref="A1:CD77"/>
  <sheetViews>
    <sheetView tabSelected="1" topLeftCell="A3" zoomScale="55" zoomScaleNormal="55" zoomScaleSheetLayoutView="25" workbookViewId="0">
      <pane xSplit="4" ySplit="4" topLeftCell="E7" activePane="bottomRight" state="frozen"/>
      <selection activeCell="A3" sqref="A3"/>
      <selection pane="topRight" activeCell="E3" sqref="E3"/>
      <selection pane="bottomLeft" activeCell="A4" sqref="A4"/>
      <selection pane="bottomRight" activeCell="X20" sqref="X20"/>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1" width="15.42578125" style="138" customWidth="1"/>
    <col min="12" max="17" width="15.42578125" style="184" customWidth="1"/>
    <col min="18" max="18" width="15.42578125" style="185" customWidth="1"/>
    <col min="19" max="19" width="15.42578125" style="138" customWidth="1"/>
    <col min="20" max="20" width="27.42578125" style="138" bestFit="1" customWidth="1"/>
    <col min="21" max="21" width="30" style="186" bestFit="1" customWidth="1"/>
    <col min="22" max="22" width="9.5703125" style="138" customWidth="1"/>
    <col min="23" max="23" width="15.5703125" style="138" customWidth="1"/>
    <col min="24" max="24" width="14.140625" style="138" customWidth="1"/>
    <col min="25" max="26" width="11.42578125" style="138"/>
    <col min="27" max="31" width="11.42578125" style="138" customWidth="1"/>
    <col min="32" max="63" width="11.42578125" style="408" customWidth="1"/>
    <col min="64" max="66" width="11.42578125" style="408"/>
    <col min="67" max="67" width="12.28515625" style="408" bestFit="1" customWidth="1"/>
    <col min="68" max="68" width="13.140625" style="408" bestFit="1" customWidth="1"/>
    <col min="69" max="69" width="12.85546875" style="408" bestFit="1" customWidth="1"/>
    <col min="70" max="82" width="11.42578125" style="408"/>
    <col min="83" max="16384" width="11.42578125" style="138"/>
  </cols>
  <sheetData>
    <row r="1" spans="1:82" s="130" customFormat="1" ht="69" x14ac:dyDescent="1.2">
      <c r="B1" s="227"/>
      <c r="C1" s="228"/>
      <c r="D1" s="229"/>
      <c r="E1" s="131"/>
      <c r="F1" s="370" t="s">
        <v>7475</v>
      </c>
      <c r="G1" s="370"/>
      <c r="H1" s="370"/>
      <c r="I1" s="370"/>
      <c r="J1" s="370"/>
      <c r="K1" s="370"/>
      <c r="L1" s="370"/>
      <c r="M1" s="370"/>
      <c r="N1" s="370"/>
      <c r="O1" s="370"/>
      <c r="P1" s="370"/>
      <c r="Q1" s="370"/>
      <c r="R1" s="370"/>
      <c r="S1" s="370"/>
      <c r="T1" s="370"/>
      <c r="U1" s="132"/>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c r="CA1" s="407"/>
      <c r="CB1" s="407"/>
      <c r="CC1" s="407"/>
      <c r="CD1" s="407"/>
    </row>
    <row r="2" spans="1:82" ht="30" customHeight="1" x14ac:dyDescent="0.3">
      <c r="A2" s="133"/>
      <c r="F2" s="134"/>
      <c r="G2" s="134"/>
      <c r="H2" s="134"/>
      <c r="I2" s="134"/>
      <c r="J2" s="134"/>
      <c r="K2" s="134"/>
      <c r="L2" s="134"/>
      <c r="M2" s="135"/>
      <c r="N2" s="135"/>
      <c r="O2" s="135"/>
      <c r="P2" s="135"/>
      <c r="Q2" s="135"/>
      <c r="R2" s="135"/>
      <c r="S2" s="135"/>
      <c r="T2" s="135"/>
      <c r="U2" s="136"/>
      <c r="V2" s="137"/>
      <c r="W2" s="137"/>
      <c r="X2" s="137"/>
      <c r="Y2" s="137"/>
      <c r="Z2" s="137"/>
      <c r="AA2" s="137"/>
      <c r="AB2" s="137"/>
      <c r="AC2" s="137"/>
      <c r="AD2" s="137"/>
      <c r="AE2" s="137"/>
    </row>
    <row r="3" spans="1:82" s="239" customFormat="1" ht="69" x14ac:dyDescent="0.3">
      <c r="A3" s="133"/>
      <c r="B3" s="366" t="s">
        <v>7540</v>
      </c>
      <c r="C3" s="366"/>
      <c r="D3" s="366"/>
      <c r="E3" s="335" t="s">
        <v>7600</v>
      </c>
      <c r="F3" s="335"/>
      <c r="G3" s="335"/>
      <c r="H3" s="335"/>
      <c r="I3" s="335"/>
      <c r="J3" s="335"/>
      <c r="K3" s="335"/>
      <c r="L3" s="335"/>
      <c r="M3" s="335"/>
      <c r="N3" s="334"/>
      <c r="O3" s="334"/>
      <c r="P3" s="334"/>
      <c r="Q3" s="334"/>
      <c r="R3" s="334"/>
      <c r="S3" s="334"/>
      <c r="T3" s="334"/>
      <c r="U3" s="257"/>
      <c r="V3" s="258"/>
      <c r="W3" s="258"/>
      <c r="X3" s="258"/>
      <c r="Y3" s="258"/>
      <c r="Z3" s="258"/>
      <c r="AA3" s="258"/>
      <c r="AB3" s="258"/>
      <c r="AC3" s="258"/>
      <c r="AD3" s="258"/>
      <c r="AE3" s="258"/>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row>
    <row r="4" spans="1:82" s="239" customFormat="1" ht="15" customHeight="1" x14ac:dyDescent="0.3">
      <c r="A4" s="133"/>
      <c r="B4" s="243"/>
      <c r="C4" s="243"/>
      <c r="D4" s="243"/>
      <c r="E4" s="335"/>
      <c r="F4" s="335"/>
      <c r="G4" s="335"/>
      <c r="H4" s="335"/>
      <c r="I4" s="335"/>
      <c r="J4" s="335"/>
      <c r="K4" s="335"/>
      <c r="L4" s="335"/>
      <c r="M4" s="335"/>
      <c r="N4" s="334"/>
      <c r="O4" s="334"/>
      <c r="P4" s="334"/>
      <c r="Q4" s="334"/>
      <c r="R4" s="334"/>
      <c r="S4" s="334"/>
      <c r="T4" s="334"/>
      <c r="U4" s="257"/>
      <c r="V4" s="258"/>
      <c r="W4" s="258"/>
      <c r="X4" s="258"/>
      <c r="Y4" s="258"/>
      <c r="Z4" s="258"/>
      <c r="AA4" s="258"/>
      <c r="AB4" s="258"/>
      <c r="AC4" s="258"/>
      <c r="AD4" s="258"/>
      <c r="AE4" s="258"/>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row>
    <row r="5" spans="1:82" s="239" customFormat="1" ht="27" customHeight="1" x14ac:dyDescent="0.3">
      <c r="A5" s="133"/>
      <c r="B5" s="228" t="s">
        <v>7517</v>
      </c>
      <c r="C5" s="242" t="s">
        <v>153</v>
      </c>
      <c r="D5" s="229"/>
      <c r="E5" s="335"/>
      <c r="F5" s="335"/>
      <c r="G5" s="335"/>
      <c r="H5" s="335"/>
      <c r="I5" s="335"/>
      <c r="J5" s="335"/>
      <c r="K5" s="335"/>
      <c r="L5" s="335"/>
      <c r="M5" s="335"/>
      <c r="N5" s="334"/>
      <c r="O5" s="334"/>
      <c r="P5" s="334"/>
      <c r="Q5" s="334"/>
      <c r="R5" s="334"/>
      <c r="S5" s="334"/>
      <c r="T5" s="334"/>
      <c r="U5" s="257"/>
      <c r="V5" s="258"/>
      <c r="W5" s="258"/>
      <c r="X5" s="258"/>
      <c r="Y5" s="258"/>
      <c r="Z5" s="258"/>
      <c r="AA5" s="258"/>
      <c r="AB5" s="258"/>
      <c r="AC5" s="258"/>
      <c r="AD5" s="258"/>
      <c r="AE5" s="258"/>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row>
    <row r="6" spans="1:82" s="239" customFormat="1" ht="22.5" customHeight="1" x14ac:dyDescent="0.3">
      <c r="A6" s="131"/>
      <c r="B6" s="227"/>
      <c r="C6" s="228"/>
      <c r="D6" s="229"/>
      <c r="E6" s="335"/>
      <c r="F6" s="335"/>
      <c r="G6" s="335"/>
      <c r="H6" s="335"/>
      <c r="I6" s="335"/>
      <c r="J6" s="335"/>
      <c r="K6" s="335"/>
      <c r="L6" s="335"/>
      <c r="M6" s="335"/>
      <c r="N6" s="259"/>
      <c r="O6" s="259"/>
      <c r="P6" s="259"/>
      <c r="Q6" s="259"/>
      <c r="R6" s="260"/>
      <c r="U6" s="261"/>
      <c r="V6" s="258"/>
      <c r="W6" s="258"/>
      <c r="X6" s="258"/>
      <c r="Y6" s="258"/>
      <c r="Z6" s="258"/>
      <c r="AA6" s="258"/>
      <c r="AB6" s="258"/>
      <c r="AC6" s="258"/>
      <c r="AD6" s="258"/>
      <c r="AE6" s="258"/>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row>
    <row r="7" spans="1:82" ht="52.5" customHeight="1" x14ac:dyDescent="0.3">
      <c r="A7" s="133">
        <f>+IF(Einheit = "ha", 1, 0.01)</f>
        <v>0.01</v>
      </c>
      <c r="C7" s="227"/>
      <c r="D7" s="231"/>
      <c r="E7" s="226" t="s">
        <v>7530</v>
      </c>
      <c r="F7" s="140"/>
      <c r="G7" s="140"/>
      <c r="H7" s="140"/>
      <c r="I7" s="140"/>
      <c r="J7" s="140"/>
      <c r="K7" s="140"/>
      <c r="L7" s="140"/>
      <c r="M7" s="140"/>
      <c r="N7" s="140"/>
      <c r="O7" s="140"/>
      <c r="P7" s="140"/>
      <c r="Q7" s="140"/>
      <c r="R7" s="140"/>
      <c r="S7" s="140"/>
      <c r="T7" s="140"/>
      <c r="U7" s="140"/>
      <c r="V7" s="137"/>
      <c r="W7" s="137"/>
      <c r="X7" s="137"/>
      <c r="Y7" s="137"/>
      <c r="Z7" s="137"/>
      <c r="AA7" s="137"/>
      <c r="AB7" s="137"/>
      <c r="AC7" s="137"/>
      <c r="AD7" s="137"/>
      <c r="AE7" s="137"/>
    </row>
    <row r="8" spans="1:82" s="144" customFormat="1" ht="42" customHeight="1" x14ac:dyDescent="0.3">
      <c r="A8" s="133"/>
      <c r="B8" s="228" t="s">
        <v>160</v>
      </c>
      <c r="C8" s="242" t="s">
        <v>161</v>
      </c>
      <c r="D8" s="231"/>
      <c r="E8" s="139"/>
      <c r="F8" s="141"/>
      <c r="G8" s="141"/>
      <c r="H8" s="141"/>
      <c r="I8" s="368" t="s">
        <v>7448</v>
      </c>
      <c r="J8" s="368"/>
      <c r="K8" s="368"/>
      <c r="L8" s="368"/>
      <c r="M8" s="368"/>
      <c r="N8" s="368"/>
      <c r="O8" s="368"/>
      <c r="P8" s="368"/>
      <c r="Q8" s="368"/>
      <c r="R8" s="368"/>
      <c r="S8" s="368"/>
      <c r="T8" s="368"/>
      <c r="U8" s="368"/>
      <c r="V8" s="146"/>
      <c r="W8" s="138"/>
      <c r="X8" s="146"/>
      <c r="Y8" s="146"/>
      <c r="Z8" s="146"/>
      <c r="AA8" s="146"/>
      <c r="AB8" s="146"/>
      <c r="AC8" s="146"/>
      <c r="AD8" s="146"/>
      <c r="AE8" s="146"/>
      <c r="AF8" s="410"/>
      <c r="AG8" s="410"/>
      <c r="AH8" s="410"/>
      <c r="AI8" s="410"/>
      <c r="AJ8" s="410"/>
      <c r="AK8" s="410"/>
      <c r="AL8" s="410"/>
      <c r="AM8" s="410"/>
      <c r="AN8" s="410"/>
      <c r="AO8" s="410"/>
      <c r="AP8" s="410"/>
      <c r="AQ8" s="410"/>
      <c r="AR8" s="410"/>
      <c r="AS8" s="410"/>
      <c r="AT8" s="410"/>
      <c r="AU8" s="410"/>
      <c r="AV8" s="410"/>
      <c r="AW8" s="410"/>
      <c r="AX8" s="410"/>
      <c r="AY8" s="410"/>
      <c r="AZ8" s="410"/>
      <c r="BA8" s="410"/>
      <c r="BB8" s="410"/>
      <c r="BC8" s="410"/>
      <c r="BD8" s="410"/>
      <c r="BE8" s="410"/>
      <c r="BF8" s="410"/>
      <c r="BG8" s="410"/>
      <c r="BH8" s="410"/>
      <c r="BI8" s="410"/>
      <c r="BJ8" s="410"/>
      <c r="BK8" s="410"/>
      <c r="BL8" s="410"/>
      <c r="BM8" s="410"/>
      <c r="BN8" s="410"/>
      <c r="BO8" s="410"/>
      <c r="BP8" s="410"/>
      <c r="BQ8" s="410"/>
      <c r="BR8" s="410"/>
      <c r="BS8" s="410"/>
      <c r="BT8" s="410"/>
      <c r="BU8" s="410"/>
      <c r="BV8" s="410"/>
      <c r="BW8" s="410"/>
      <c r="BX8" s="410"/>
      <c r="BY8" s="410"/>
      <c r="BZ8" s="410"/>
      <c r="CA8" s="410"/>
      <c r="CB8" s="410"/>
      <c r="CC8" s="410"/>
      <c r="CD8" s="410"/>
    </row>
    <row r="9" spans="1:82" s="144" customFormat="1" ht="34.5" hidden="1" customHeight="1" x14ac:dyDescent="0.3">
      <c r="A9" s="133"/>
      <c r="B9" s="227"/>
      <c r="C9" s="230"/>
      <c r="D9" s="231"/>
      <c r="E9" s="139"/>
      <c r="F9" s="141"/>
      <c r="G9" s="141"/>
      <c r="H9" s="141"/>
      <c r="I9" s="142"/>
      <c r="J9" s="131">
        <f>Fak_Einheit/IF(denom_1="absolut",1,Fak_Einheit*'Ö Hauptergebnisse'!FI_gesamt)</f>
        <v>0.01</v>
      </c>
      <c r="K9" s="131">
        <f>Fak_Einheit/IF(denom_1="absolut",1,Fak_Einheit*'Ö Hauptergebnisse'!FI_gesamt)</f>
        <v>0.01</v>
      </c>
      <c r="L9" s="131">
        <f>Fak_Einheit/IF(denom_1="absolut",1,Fak_Einheit*'Ö Hauptergebnisse'!FI_gesamt)</f>
        <v>0.01</v>
      </c>
      <c r="M9" s="131">
        <f>Fak_Einheit/IF(denom_1="absolut",1,Fak_Einheit*'Ö Hauptergebnisse'!FI_gesamt)</f>
        <v>0.01</v>
      </c>
      <c r="N9" s="131">
        <f>Fak_Einheit/IF(denom_1="absolut",1,Fak_Einheit*'Ö Hauptergebnisse'!FI_gesamt)</f>
        <v>0.01</v>
      </c>
      <c r="O9" s="131">
        <f>Fak_Einheit/IF(denom_1="absolut",1,Fak_Einheit*'Ö Hauptergebnisse'!FI_gesamt)</f>
        <v>0.01</v>
      </c>
      <c r="P9" s="131">
        <f>Fak_Einheit/IF(denom_1="absolut",1,Fak_Einheit*'Ö Hauptergebnisse'!FI_gesamt)</f>
        <v>0.01</v>
      </c>
      <c r="Q9" s="131">
        <f>Fak_Einheit/IF(denom_1="absolut",1,Fak_Einheit*'Ö Hauptergebnisse'!FI_gesamt)</f>
        <v>0.01</v>
      </c>
      <c r="R9" s="131">
        <f>Fak_Einheit/IF(denom_1="absolut",1,Fak_Einheit*'Ö Hauptergebnisse'!FI_gesamt)</f>
        <v>0.01</v>
      </c>
      <c r="S9" s="131">
        <f>Fak_Einheit/IF(denom_1="absolut",1,Fak_Einheit*'Ö Hauptergebnisse'!FI_gesamt)</f>
        <v>0.01</v>
      </c>
      <c r="T9" s="143"/>
      <c r="U9" s="145"/>
      <c r="V9" s="146"/>
      <c r="W9" s="138"/>
      <c r="X9" s="146"/>
      <c r="Y9" s="146"/>
      <c r="Z9" s="146"/>
      <c r="AA9" s="146"/>
      <c r="AB9" s="146"/>
      <c r="AC9" s="146"/>
      <c r="AD9" s="146"/>
      <c r="AE9" s="146"/>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410"/>
      <c r="BI9" s="410"/>
      <c r="BJ9" s="410"/>
      <c r="BK9" s="410"/>
      <c r="BL9" s="410"/>
      <c r="BM9" s="410"/>
      <c r="BN9" s="410"/>
      <c r="BO9" s="410"/>
      <c r="BP9" s="410"/>
      <c r="BQ9" s="410"/>
      <c r="BR9" s="410"/>
      <c r="BS9" s="410"/>
      <c r="BT9" s="410"/>
      <c r="BU9" s="410"/>
      <c r="BV9" s="410"/>
      <c r="BW9" s="410"/>
      <c r="BX9" s="410"/>
      <c r="BY9" s="410"/>
      <c r="BZ9" s="410"/>
      <c r="CA9" s="410"/>
      <c r="CB9" s="410"/>
      <c r="CC9" s="410"/>
      <c r="CD9" s="410"/>
    </row>
    <row r="10" spans="1:82" s="147" customFormat="1" ht="18" hidden="1" x14ac:dyDescent="0.35">
      <c r="B10" s="232"/>
      <c r="C10" s="233"/>
      <c r="D10" s="234"/>
      <c r="H10" s="152" t="s">
        <v>7523</v>
      </c>
      <c r="J10" s="147">
        <v>37814.1769025467</v>
      </c>
      <c r="K10" s="147">
        <v>50494.099137577003</v>
      </c>
      <c r="L10" s="147">
        <v>163010.666375414</v>
      </c>
      <c r="M10" s="147">
        <v>106002.495650529</v>
      </c>
      <c r="N10" s="147">
        <v>29201.159124891801</v>
      </c>
      <c r="O10" s="147">
        <v>100767.81646793299</v>
      </c>
      <c r="P10" s="147">
        <v>36428.369442658499</v>
      </c>
      <c r="Q10" s="147">
        <v>16574.632564795698</v>
      </c>
      <c r="R10" s="147">
        <v>24502.127377904799</v>
      </c>
      <c r="S10" s="147">
        <v>564795.54304424999</v>
      </c>
      <c r="V10" s="374"/>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row>
    <row r="11" spans="1:82" s="147" customFormat="1" x14ac:dyDescent="0.3">
      <c r="B11" s="227"/>
      <c r="C11" s="228"/>
      <c r="D11" s="235"/>
      <c r="E11" s="148"/>
      <c r="F11" s="149"/>
      <c r="G11" s="149"/>
      <c r="H11" s="150"/>
      <c r="I11" s="154"/>
      <c r="J11" s="254" t="s">
        <v>144</v>
      </c>
      <c r="K11" s="254" t="s">
        <v>145</v>
      </c>
      <c r="L11" s="254" t="s">
        <v>7355</v>
      </c>
      <c r="M11" s="254" t="s">
        <v>7354</v>
      </c>
      <c r="N11" s="254" t="s">
        <v>146</v>
      </c>
      <c r="O11" s="254" t="s">
        <v>150</v>
      </c>
      <c r="P11" s="254" t="s">
        <v>147</v>
      </c>
      <c r="Q11" s="254" t="s">
        <v>148</v>
      </c>
      <c r="R11" s="254" t="s">
        <v>149</v>
      </c>
      <c r="S11" s="254" t="s">
        <v>7414</v>
      </c>
      <c r="U11" s="151"/>
      <c r="V11" s="374"/>
      <c r="W11" s="155"/>
      <c r="X11" s="155"/>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t="s">
        <v>7524</v>
      </c>
      <c r="BP11" s="411" t="s">
        <v>7525</v>
      </c>
      <c r="BQ11" s="411" t="s">
        <v>7526</v>
      </c>
      <c r="BR11" s="411"/>
      <c r="BS11" s="411"/>
      <c r="BT11" s="411"/>
      <c r="BU11" s="411"/>
      <c r="BV11" s="411"/>
      <c r="BW11" s="411"/>
      <c r="BX11" s="411"/>
      <c r="BY11" s="411"/>
      <c r="BZ11" s="411"/>
      <c r="CA11" s="411"/>
      <c r="CB11" s="411"/>
      <c r="CC11" s="411"/>
      <c r="CD11" s="411"/>
    </row>
    <row r="12" spans="1:82" s="156" customFormat="1" ht="19.5" customHeight="1" thickBot="1" x14ac:dyDescent="0.45">
      <c r="B12" s="236"/>
      <c r="C12" s="237"/>
      <c r="D12" s="238"/>
      <c r="F12" s="265"/>
      <c r="G12" s="157"/>
      <c r="I12" s="192" t="s">
        <v>7515</v>
      </c>
      <c r="J12" s="263">
        <f>37814.1769025467*(+Fak_1)</f>
        <v>378.141769025467</v>
      </c>
      <c r="K12" s="263">
        <f>50494.099137577*(+Fak_1)</f>
        <v>504.94099137577001</v>
      </c>
      <c r="L12" s="263">
        <f>163010.666375414*(+Fak_1)</f>
        <v>1630.1066637541401</v>
      </c>
      <c r="M12" s="263">
        <f>106002.495650529*(+Fak_1)</f>
        <v>1060.02495650529</v>
      </c>
      <c r="N12" s="263">
        <f>29201.1591248918*(+Fak_1)</f>
        <v>292.01159124891802</v>
      </c>
      <c r="O12" s="263">
        <f>100767.816467933*(+Fak_1)</f>
        <v>1007.6781646793299</v>
      </c>
      <c r="P12" s="263">
        <f>36428.3694426584*(+Fak_1)</f>
        <v>364.28369442658396</v>
      </c>
      <c r="Q12" s="263">
        <f>16574.6325647957*(+Fak_1)</f>
        <v>165.74632564795698</v>
      </c>
      <c r="R12" s="263">
        <f>24502.1273779048*(+Fak_1)</f>
        <v>245.02127377904799</v>
      </c>
      <c r="S12" s="264">
        <f>564795.54304425*(+Fak_1)</f>
        <v>5647.9554304425001</v>
      </c>
      <c r="T12" s="172" t="str">
        <f t="shared" ref="T12:T17" si="0">IF(denom_1="absolut",Einheit,"% FI gesamt")</f>
        <v>km²</v>
      </c>
      <c r="U12" s="160"/>
      <c r="V12" s="161">
        <f>+BP12/BO12</f>
        <v>0.5247577277301203</v>
      </c>
      <c r="W12" s="364" t="s">
        <v>7527</v>
      </c>
      <c r="X12" s="163"/>
      <c r="Y12" s="159"/>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3">
        <f>+S12/$S$9</f>
        <v>564795.54304424999</v>
      </c>
      <c r="BP12" s="413">
        <f>S28/$S$26</f>
        <v>296380.82579999999</v>
      </c>
      <c r="BQ12" s="413">
        <f>+BO12-BP12</f>
        <v>268414.71724425</v>
      </c>
      <c r="BR12" s="412"/>
      <c r="BS12" s="412"/>
      <c r="BT12" s="412"/>
      <c r="BU12" s="412"/>
      <c r="BV12" s="412"/>
      <c r="BW12" s="412"/>
      <c r="BX12" s="412"/>
      <c r="BY12" s="412"/>
      <c r="BZ12" s="412"/>
      <c r="CA12" s="412"/>
      <c r="CB12" s="412"/>
      <c r="CC12" s="412"/>
      <c r="CD12" s="412"/>
    </row>
    <row r="13" spans="1:82" s="147" customFormat="1" ht="19.5" customHeight="1" thickTop="1" thickBot="1" x14ac:dyDescent="0.35">
      <c r="B13" s="227"/>
      <c r="C13" s="228"/>
      <c r="D13" s="235"/>
      <c r="E13" s="148"/>
      <c r="F13" s="265"/>
      <c r="I13" s="152" t="s">
        <v>25</v>
      </c>
      <c r="J13" s="225">
        <f>12999.5399215546*(+Fak_1)</f>
        <v>129.995399215546</v>
      </c>
      <c r="K13" s="225">
        <f>15387.2650622907*(+Fak_1)</f>
        <v>153.872650622907</v>
      </c>
      <c r="L13" s="225">
        <f>55616.8002884416*(+Fak_1)</f>
        <v>556.16800288441596</v>
      </c>
      <c r="M13" s="225">
        <f>30846.8474130981*(+Fak_1)</f>
        <v>308.46847413098101</v>
      </c>
      <c r="N13" s="225">
        <f>8848.85219917112*(+Fak_1)</f>
        <v>88.48852199171121</v>
      </c>
      <c r="O13" s="225">
        <f>27418.0513419181*(+Fak_1)</f>
        <v>274.18051341918101</v>
      </c>
      <c r="P13" s="225">
        <f>11323.5324586246*(+Fak_1)</f>
        <v>113.23532458624601</v>
      </c>
      <c r="Q13" s="225">
        <f>3982.95438155782*(+Fak_1)</f>
        <v>39.829543815578198</v>
      </c>
      <c r="R13" s="225">
        <f>5545.24177560454*(+Fak_1)</f>
        <v>55.452417756045399</v>
      </c>
      <c r="S13" s="166">
        <f>171969.084842261*(+Fak_1)</f>
        <v>1719.6908484226101</v>
      </c>
      <c r="T13" s="172" t="str">
        <f t="shared" si="0"/>
        <v>km²</v>
      </c>
      <c r="U13" s="160"/>
      <c r="V13" s="161">
        <f t="shared" ref="V13:V17" si="1">+BP13/BO13</f>
        <v>0.74062320687945249</v>
      </c>
      <c r="W13" s="364"/>
      <c r="X13" s="163"/>
      <c r="Y13" s="159"/>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3">
        <f t="shared" ref="BO13:BO17" si="2">+S13/$S$9</f>
        <v>171969.08484226101</v>
      </c>
      <c r="BP13" s="413">
        <f t="shared" ref="BP13:BP17" si="3">S29/$S$26</f>
        <v>127364.2951</v>
      </c>
      <c r="BQ13" s="413">
        <f t="shared" ref="BQ13:BQ17" si="4">+BO13-BP13</f>
        <v>44604.789742261011</v>
      </c>
      <c r="BR13" s="411"/>
      <c r="BS13" s="411"/>
      <c r="BT13" s="411"/>
      <c r="BU13" s="411"/>
      <c r="BV13" s="411"/>
      <c r="BW13" s="411"/>
      <c r="BX13" s="411"/>
      <c r="BY13" s="411"/>
      <c r="BZ13" s="411"/>
      <c r="CA13" s="411"/>
      <c r="CB13" s="411"/>
      <c r="CC13" s="411"/>
      <c r="CD13" s="411"/>
    </row>
    <row r="14" spans="1:82" s="147" customFormat="1" ht="19.5" customHeight="1" thickTop="1" thickBot="1" x14ac:dyDescent="0.35">
      <c r="A14" s="167"/>
      <c r="B14" s="227"/>
      <c r="C14" s="228"/>
      <c r="D14" s="235"/>
      <c r="E14" s="148"/>
      <c r="F14" s="265"/>
      <c r="I14" s="152" t="s">
        <v>7410</v>
      </c>
      <c r="J14" s="225">
        <f>19304.6783450137*(+Fak_1)</f>
        <v>193.04678345013701</v>
      </c>
      <c r="K14" s="225">
        <f>27194.3021455*(+Fak_1)</f>
        <v>271.94302145500001</v>
      </c>
      <c r="L14" s="225">
        <f>76553.1781560008*(+Fak_1)</f>
        <v>765.53178156000797</v>
      </c>
      <c r="M14" s="225">
        <f>52903.2979808713*(+Fak_1)</f>
        <v>529.03297980871298</v>
      </c>
      <c r="N14" s="225">
        <f>12529.6074520537*(+Fak_1)</f>
        <v>125.296074520537</v>
      </c>
      <c r="O14" s="225">
        <f>47745.8579462583*(+Fak_1)</f>
        <v>477.45857946258303</v>
      </c>
      <c r="P14" s="225">
        <f>19171.6442595607*(+Fak_1)</f>
        <v>191.71644259560702</v>
      </c>
      <c r="Q14" s="225">
        <f>9445.83939163733*(+Fak_1)</f>
        <v>94.458393916373296</v>
      </c>
      <c r="R14" s="225">
        <f>14527.3688674689*(+Fak_1)</f>
        <v>145.273688674689</v>
      </c>
      <c r="S14" s="166">
        <f>279375.774544365*(+Fak_1)</f>
        <v>2793.75774544365</v>
      </c>
      <c r="T14" s="172" t="str">
        <f t="shared" si="0"/>
        <v>km²</v>
      </c>
      <c r="U14" s="160"/>
      <c r="V14" s="161">
        <f t="shared" si="1"/>
        <v>0.47352572969419016</v>
      </c>
      <c r="W14" s="364"/>
      <c r="X14" s="163"/>
      <c r="Y14" s="159"/>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3">
        <f t="shared" si="2"/>
        <v>279375.77454436501</v>
      </c>
      <c r="BP14" s="413">
        <f t="shared" si="3"/>
        <v>132291.61749999999</v>
      </c>
      <c r="BQ14" s="413">
        <f t="shared" si="4"/>
        <v>147084.15704436501</v>
      </c>
      <c r="BR14" s="411"/>
      <c r="BS14" s="411"/>
      <c r="BT14" s="411"/>
      <c r="BU14" s="411"/>
      <c r="BV14" s="411"/>
      <c r="BW14" s="411"/>
      <c r="BX14" s="411"/>
      <c r="BY14" s="411"/>
      <c r="BZ14" s="411"/>
      <c r="CA14" s="411"/>
      <c r="CB14" s="411"/>
      <c r="CC14" s="411"/>
      <c r="CD14" s="411"/>
    </row>
    <row r="15" spans="1:82" s="147" customFormat="1" ht="19.5" customHeight="1" thickTop="1" thickBot="1" x14ac:dyDescent="0.35">
      <c r="B15" s="227"/>
      <c r="C15" s="228"/>
      <c r="D15" s="235"/>
      <c r="E15" s="148"/>
      <c r="F15" s="265"/>
      <c r="I15" s="152" t="s">
        <v>7409</v>
      </c>
      <c r="J15" s="225">
        <f>1670.36292061449*(+Fak_1)</f>
        <v>16.7036292061449</v>
      </c>
      <c r="K15" s="225">
        <f>3730.50823734339*(+Fak_1)</f>
        <v>37.305082373433905</v>
      </c>
      <c r="L15" s="225">
        <f>16489.9944866596*(+Fak_1)</f>
        <v>164.89994486659603</v>
      </c>
      <c r="M15" s="225">
        <f>15034.5082432707*(+Fak_1)</f>
        <v>150.34508243270702</v>
      </c>
      <c r="N15" s="225">
        <f>4947.9144733919*(+Fak_1)</f>
        <v>49.479144733919</v>
      </c>
      <c r="O15" s="225">
        <f>17794.3937457331*(+Fak_1)</f>
        <v>177.943937457331</v>
      </c>
      <c r="P15" s="225">
        <f>3584.24219689905*(+Fak_1)</f>
        <v>35.8424219689905</v>
      </c>
      <c r="Q15" s="225">
        <f>1942.21158974045*(+Fak_1)</f>
        <v>19.422115897404503</v>
      </c>
      <c r="R15" s="225">
        <f>724.044774912662*(+Fak_1)</f>
        <v>7.2404477491266199</v>
      </c>
      <c r="S15" s="166">
        <f>65918.1806685653*(+Fak_1)</f>
        <v>659.18180668565299</v>
      </c>
      <c r="T15" s="172" t="str">
        <f t="shared" si="0"/>
        <v>km²</v>
      </c>
      <c r="U15" s="160"/>
      <c r="V15" s="161">
        <f t="shared" si="1"/>
        <v>0.44779624681110691</v>
      </c>
      <c r="W15" s="364"/>
      <c r="X15" s="163"/>
      <c r="Y15" s="159"/>
      <c r="Z15" s="168"/>
      <c r="AA15" s="168"/>
      <c r="AB15" s="168"/>
      <c r="AC15" s="168"/>
      <c r="AD15" s="168"/>
      <c r="AE15" s="168"/>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3">
        <f t="shared" si="2"/>
        <v>65918.180668565299</v>
      </c>
      <c r="BP15" s="413">
        <f t="shared" si="3"/>
        <v>29517.913900000003</v>
      </c>
      <c r="BQ15" s="413">
        <f t="shared" si="4"/>
        <v>36400.2667685653</v>
      </c>
      <c r="BR15" s="411"/>
      <c r="BS15" s="411"/>
      <c r="BT15" s="411"/>
      <c r="BU15" s="411"/>
      <c r="BV15" s="411"/>
      <c r="BW15" s="411"/>
      <c r="BX15" s="411"/>
      <c r="BY15" s="411"/>
      <c r="BZ15" s="411"/>
      <c r="CA15" s="411"/>
      <c r="CB15" s="411"/>
      <c r="CC15" s="411"/>
      <c r="CD15" s="411"/>
    </row>
    <row r="16" spans="1:82" s="147" customFormat="1" ht="19.5" customHeight="1" thickTop="1" x14ac:dyDescent="0.3">
      <c r="B16" s="227"/>
      <c r="C16" s="228"/>
      <c r="D16" s="235"/>
      <c r="E16" s="148"/>
      <c r="F16" s="265"/>
      <c r="I16" s="152" t="s">
        <v>7549</v>
      </c>
      <c r="J16" s="225">
        <f>2835.65466990709*(+Fak_1)</f>
        <v>28.356546699070901</v>
      </c>
      <c r="K16" s="225">
        <f>3053.17908714739*(+Fak_1)</f>
        <v>30.531790871473902</v>
      </c>
      <c r="L16" s="225">
        <f>8947.795187537*(+Fak_1)</f>
        <v>89.477951875369996</v>
      </c>
      <c r="M16" s="225">
        <f>5222.07228994276*(+Fak_1)</f>
        <v>52.220722899427599</v>
      </c>
      <c r="N16" s="225">
        <f>2135.74935825847*(+Fak_1)</f>
        <v>21.357493582584699</v>
      </c>
      <c r="O16" s="225">
        <f>4935.03695406732*(+Fak_1)</f>
        <v>49.350369540673199</v>
      </c>
      <c r="P16" s="225">
        <f>1485.88275646375*(+Fak_1)</f>
        <v>14.858827564637499</v>
      </c>
      <c r="Q16" s="225">
        <f>883.560476630527*(+Fak_1)</f>
        <v>8.8356047663052699</v>
      </c>
      <c r="R16" s="225">
        <f>3525.58009731803*(+Fak_1)</f>
        <v>35.2558009731803</v>
      </c>
      <c r="S16" s="169">
        <f>33024.5108772723*(+Fak_1)</f>
        <v>330.24510877272303</v>
      </c>
      <c r="T16" s="172" t="str">
        <f t="shared" si="0"/>
        <v>km²</v>
      </c>
      <c r="U16" s="160"/>
      <c r="V16" s="161">
        <f t="shared" si="1"/>
        <v>0.16709269428718873</v>
      </c>
      <c r="W16" s="364"/>
      <c r="X16" s="163"/>
      <c r="Y16" s="159"/>
      <c r="Z16" s="168"/>
      <c r="AA16" s="168"/>
      <c r="AB16" s="168"/>
      <c r="AC16" s="168"/>
      <c r="AD16" s="168"/>
      <c r="AE16" s="168"/>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3">
        <f t="shared" si="2"/>
        <v>33024.510877272303</v>
      </c>
      <c r="BP16" s="413">
        <f t="shared" si="3"/>
        <v>5518.1544999999996</v>
      </c>
      <c r="BQ16" s="413">
        <f t="shared" si="4"/>
        <v>27506.356377272303</v>
      </c>
      <c r="BR16" s="411"/>
      <c r="BS16" s="411"/>
      <c r="BT16" s="411"/>
      <c r="BU16" s="411"/>
      <c r="BV16" s="411"/>
      <c r="BW16" s="411"/>
      <c r="BX16" s="411"/>
      <c r="BY16" s="411"/>
      <c r="BZ16" s="411"/>
      <c r="CA16" s="411"/>
      <c r="CB16" s="411"/>
      <c r="CC16" s="411"/>
      <c r="CD16" s="411"/>
    </row>
    <row r="17" spans="2:82" s="147" customFormat="1" ht="19.5" customHeight="1" x14ac:dyDescent="0.3">
      <c r="B17" s="227"/>
      <c r="C17" s="228"/>
      <c r="D17" s="235"/>
      <c r="E17" s="148"/>
      <c r="F17" s="265"/>
      <c r="I17" s="152" t="s">
        <v>7519</v>
      </c>
      <c r="J17" s="225">
        <f>1003.94104545685*(+Fak_1)</f>
        <v>10.0394104545685</v>
      </c>
      <c r="K17" s="225">
        <f>1128.84460529558*(+Fak_1)</f>
        <v>11.288446052955802</v>
      </c>
      <c r="L17" s="225">
        <f>5402.89825677476*(+Fak_1)</f>
        <v>54.028982567747597</v>
      </c>
      <c r="M17" s="225">
        <f>1995.76972334594*(+Fak_1)</f>
        <v>19.957697233459402</v>
      </c>
      <c r="N17" s="225">
        <f>739.035642016663*(+Fak_1)</f>
        <v>7.3903564201666301</v>
      </c>
      <c r="O17" s="225">
        <f>2874.47647995657*(+Fak_1)</f>
        <v>28.744764799565701</v>
      </c>
      <c r="P17" s="225">
        <f>863.067771110371*(+Fak_1)</f>
        <v>8.6306777111037114</v>
      </c>
      <c r="Q17" s="225">
        <f>320.066725229547*(+Fak_1)</f>
        <v>3.20066725229547</v>
      </c>
      <c r="R17" s="225">
        <f>179.891862600652*(+Fak_1)</f>
        <v>1.79891862600652</v>
      </c>
      <c r="S17" s="169">
        <f>14507.9921117869*(+Fak_1)</f>
        <v>145.07992111786899</v>
      </c>
      <c r="T17" s="172" t="str">
        <f t="shared" si="0"/>
        <v>km²</v>
      </c>
      <c r="U17" s="160"/>
      <c r="V17" s="161">
        <f t="shared" si="1"/>
        <v>0.11640789345535363</v>
      </c>
      <c r="W17" s="364"/>
      <c r="X17" s="163"/>
      <c r="Y17" s="159"/>
      <c r="Z17" s="168"/>
      <c r="AA17" s="168"/>
      <c r="AB17" s="168"/>
      <c r="AC17" s="168"/>
      <c r="AD17" s="168"/>
      <c r="AE17" s="168"/>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3">
        <f t="shared" si="2"/>
        <v>14507.992111786898</v>
      </c>
      <c r="BP17" s="413">
        <f t="shared" si="3"/>
        <v>1688.8448000000001</v>
      </c>
      <c r="BQ17" s="413">
        <f t="shared" si="4"/>
        <v>12819.147311786897</v>
      </c>
      <c r="BR17" s="411"/>
      <c r="BS17" s="411"/>
      <c r="BT17" s="411"/>
      <c r="BU17" s="411"/>
      <c r="BV17" s="411"/>
      <c r="BW17" s="411"/>
      <c r="BX17" s="411"/>
      <c r="BY17" s="411"/>
      <c r="BZ17" s="411"/>
      <c r="CA17" s="411"/>
      <c r="CB17" s="411"/>
      <c r="CC17" s="411"/>
      <c r="CD17" s="411"/>
    </row>
    <row r="18" spans="2:82" s="147" customFormat="1" ht="21" customHeight="1" x14ac:dyDescent="0.3">
      <c r="B18" s="227"/>
      <c r="C18" s="228"/>
      <c r="D18" s="235"/>
      <c r="E18" s="148"/>
      <c r="F18" s="265"/>
      <c r="I18" s="152"/>
      <c r="J18" s="168"/>
      <c r="K18" s="168"/>
      <c r="L18" s="168"/>
      <c r="M18" s="168"/>
      <c r="N18" s="168"/>
      <c r="O18" s="168"/>
      <c r="P18" s="168"/>
      <c r="Q18" s="168"/>
      <c r="R18" s="168"/>
      <c r="S18" s="170"/>
      <c r="T18" s="172"/>
      <c r="U18" s="168"/>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row>
    <row r="19" spans="2:82" s="147" customFormat="1" ht="42.75" customHeight="1" x14ac:dyDescent="0.3">
      <c r="B19" s="227"/>
      <c r="C19" s="228"/>
      <c r="D19" s="235"/>
      <c r="E19" s="148"/>
      <c r="F19" s="265"/>
      <c r="I19" s="152" t="s">
        <v>7520</v>
      </c>
      <c r="J19" s="371"/>
      <c r="K19" s="371"/>
      <c r="L19" s="371"/>
      <c r="M19" s="371"/>
      <c r="N19" s="371"/>
      <c r="O19" s="371"/>
      <c r="P19" s="371"/>
      <c r="Q19" s="371"/>
      <c r="R19" s="371"/>
      <c r="S19" s="371"/>
      <c r="T19" s="172"/>
      <c r="U19" s="168"/>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row>
    <row r="20" spans="2:82" s="147" customFormat="1" ht="42.75" customHeight="1" x14ac:dyDescent="0.3">
      <c r="B20" s="227"/>
      <c r="C20" s="228"/>
      <c r="D20" s="235"/>
      <c r="E20" s="148"/>
      <c r="F20" s="265"/>
      <c r="J20" s="173">
        <f t="shared" ref="J20:S20" si="5">FI_gesamt/EW*10000</f>
        <v>1270.7102523513338</v>
      </c>
      <c r="K20" s="173">
        <f t="shared" si="5"/>
        <v>894.47185693822814</v>
      </c>
      <c r="L20" s="173">
        <f t="shared" si="5"/>
        <v>959.56587121357711</v>
      </c>
      <c r="M20" s="173">
        <f t="shared" si="5"/>
        <v>704.2700057837078</v>
      </c>
      <c r="N20" s="173">
        <f t="shared" si="5"/>
        <v>519.03390871927786</v>
      </c>
      <c r="O20" s="173">
        <f t="shared" si="5"/>
        <v>804.26248775209456</v>
      </c>
      <c r="P20" s="173">
        <f t="shared" si="5"/>
        <v>476.74746882822581</v>
      </c>
      <c r="Q20" s="173">
        <f t="shared" si="5"/>
        <v>412.63892023869352</v>
      </c>
      <c r="R20" s="173">
        <f t="shared" si="5"/>
        <v>126.84932787551413</v>
      </c>
      <c r="S20" s="173">
        <f t="shared" si="5"/>
        <v>629.02328667956942</v>
      </c>
      <c r="T20" s="171" t="s">
        <v>7413</v>
      </c>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c r="BF20" s="411"/>
      <c r="BG20" s="411"/>
      <c r="BH20" s="411"/>
      <c r="BI20" s="411"/>
      <c r="BJ20" s="411"/>
      <c r="BK20" s="411"/>
      <c r="BL20" s="411"/>
      <c r="BM20" s="411"/>
      <c r="BN20" s="411"/>
      <c r="BO20" s="411"/>
      <c r="BP20" s="411"/>
      <c r="BQ20" s="411"/>
      <c r="BR20" s="411"/>
      <c r="BS20" s="411"/>
      <c r="BT20" s="411"/>
      <c r="BU20" s="411"/>
      <c r="BV20" s="411"/>
      <c r="BW20" s="411"/>
      <c r="BX20" s="411"/>
      <c r="BY20" s="411"/>
      <c r="BZ20" s="411"/>
      <c r="CA20" s="411"/>
      <c r="CB20" s="411"/>
      <c r="CC20" s="411"/>
      <c r="CD20" s="411"/>
    </row>
    <row r="21" spans="2:82" s="147" customFormat="1" ht="42.75" customHeight="1" x14ac:dyDescent="0.3">
      <c r="B21" s="227"/>
      <c r="C21" s="228"/>
      <c r="D21" s="235"/>
      <c r="E21" s="148"/>
      <c r="F21" s="265"/>
      <c r="I21" s="152" t="s">
        <v>7550</v>
      </c>
      <c r="J21" s="372"/>
      <c r="K21" s="372"/>
      <c r="L21" s="372"/>
      <c r="M21" s="372"/>
      <c r="N21" s="372"/>
      <c r="O21" s="372"/>
      <c r="P21" s="372"/>
      <c r="Q21" s="372"/>
      <c r="R21" s="372"/>
      <c r="S21" s="372"/>
      <c r="T21" s="171"/>
      <c r="U21" s="168"/>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row>
    <row r="22" spans="2:82" s="147" customFormat="1" ht="66.75" customHeight="1" x14ac:dyDescent="0.3">
      <c r="B22" s="227"/>
      <c r="C22" s="228"/>
      <c r="D22" s="235"/>
      <c r="E22" s="148"/>
      <c r="F22" s="265"/>
      <c r="I22" s="245"/>
      <c r="J22" s="174">
        <f t="shared" ref="J22:S22" si="6">100*Fak_Einheit*FI_gesamt/DSR</f>
        <v>15.21867970763487</v>
      </c>
      <c r="K22" s="174">
        <f t="shared" si="6"/>
        <v>20.56580371809855</v>
      </c>
      <c r="L22" s="174">
        <f t="shared" si="6"/>
        <v>14.033752415484011</v>
      </c>
      <c r="M22" s="174">
        <f t="shared" si="6"/>
        <v>15.492209352849999</v>
      </c>
      <c r="N22" s="174">
        <f t="shared" si="6"/>
        <v>19.518898412094789</v>
      </c>
      <c r="O22" s="174">
        <f t="shared" si="6"/>
        <v>19.268942075658533</v>
      </c>
      <c r="P22" s="174">
        <f t="shared" si="6"/>
        <v>23.159766711617834</v>
      </c>
      <c r="Q22" s="174">
        <f t="shared" si="6"/>
        <v>29.216910702124949</v>
      </c>
      <c r="R22" s="174">
        <f t="shared" si="6"/>
        <v>73.291029752011241</v>
      </c>
      <c r="S22" s="174">
        <f t="shared" si="6"/>
        <v>17.326075479226212</v>
      </c>
      <c r="T22" s="373" t="s">
        <v>7418</v>
      </c>
      <c r="U22" s="373"/>
      <c r="V22" s="373"/>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411"/>
      <c r="BW22" s="411"/>
      <c r="BX22" s="411"/>
      <c r="BY22" s="411"/>
      <c r="BZ22" s="411"/>
      <c r="CA22" s="411"/>
      <c r="CB22" s="411"/>
      <c r="CC22" s="411"/>
      <c r="CD22" s="411"/>
    </row>
    <row r="23" spans="2:82" s="147" customFormat="1" ht="40.5" customHeight="1" x14ac:dyDescent="0.3">
      <c r="B23" s="227"/>
      <c r="C23" s="228"/>
      <c r="D23" s="235"/>
      <c r="E23" s="148"/>
      <c r="F23" s="375" t="s">
        <v>7534</v>
      </c>
      <c r="G23" s="375"/>
      <c r="H23" s="375"/>
      <c r="I23" s="375"/>
      <c r="J23" s="375"/>
      <c r="K23" s="375"/>
      <c r="L23" s="375"/>
      <c r="M23" s="375"/>
      <c r="N23" s="375"/>
      <c r="O23" s="375"/>
      <c r="P23" s="375"/>
      <c r="Q23" s="375"/>
      <c r="R23" s="375"/>
      <c r="S23" s="375"/>
      <c r="T23" s="331"/>
      <c r="U23" s="331"/>
      <c r="V23" s="33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c r="BB23" s="411"/>
      <c r="BC23" s="411"/>
      <c r="BD23" s="411"/>
      <c r="BE23" s="411"/>
      <c r="BF23" s="411"/>
      <c r="BG23" s="411"/>
      <c r="BH23" s="411"/>
      <c r="BI23" s="411"/>
      <c r="BJ23" s="411"/>
      <c r="BK23" s="411"/>
      <c r="BL23" s="411"/>
      <c r="BM23" s="411"/>
      <c r="BN23" s="411"/>
      <c r="BO23" s="411"/>
      <c r="BP23" s="411"/>
      <c r="BQ23" s="411"/>
      <c r="BR23" s="411"/>
      <c r="BS23" s="411"/>
      <c r="BT23" s="411"/>
      <c r="BU23" s="411"/>
      <c r="BV23" s="411"/>
      <c r="BW23" s="411"/>
      <c r="BX23" s="411"/>
      <c r="BY23" s="411"/>
      <c r="BZ23" s="411"/>
      <c r="CA23" s="411"/>
      <c r="CB23" s="411"/>
      <c r="CC23" s="411"/>
      <c r="CD23" s="411"/>
    </row>
    <row r="24" spans="2:82" ht="51" customHeight="1" x14ac:dyDescent="0.3">
      <c r="G24" s="176"/>
      <c r="H24" s="176"/>
      <c r="I24" s="369" t="s">
        <v>7474</v>
      </c>
      <c r="J24" s="369"/>
      <c r="K24" s="369"/>
      <c r="L24" s="369"/>
      <c r="M24" s="369"/>
      <c r="N24" s="369"/>
      <c r="O24" s="369"/>
      <c r="P24" s="369"/>
      <c r="Q24" s="369"/>
      <c r="R24" s="369"/>
      <c r="S24" s="369"/>
      <c r="T24" s="369"/>
      <c r="U24" s="369"/>
      <c r="V24" s="175"/>
    </row>
    <row r="25" spans="2:82" ht="49.5" hidden="1" customHeight="1" x14ac:dyDescent="0.3">
      <c r="H25" s="177" t="s">
        <v>7522</v>
      </c>
      <c r="I25" s="138"/>
      <c r="J25" s="138">
        <v>17306.82</v>
      </c>
      <c r="K25" s="138">
        <v>24537.961200000002</v>
      </c>
      <c r="L25" s="138">
        <v>85444.2883</v>
      </c>
      <c r="M25" s="138">
        <v>58147.785799999998</v>
      </c>
      <c r="N25" s="138">
        <v>16740.635999999999</v>
      </c>
      <c r="O25" s="138">
        <v>47149.846400000002</v>
      </c>
      <c r="P25" s="138">
        <v>22041.498100000001</v>
      </c>
      <c r="Q25" s="138">
        <v>9691.1558000000005</v>
      </c>
      <c r="R25" s="138">
        <v>15320.834199999999</v>
      </c>
      <c r="S25" s="138">
        <v>296380.82579999999</v>
      </c>
      <c r="U25" s="138"/>
    </row>
    <row r="26" spans="2:82" ht="18" hidden="1" x14ac:dyDescent="0.35">
      <c r="B26" s="232"/>
      <c r="C26" s="233"/>
      <c r="D26" s="239"/>
      <c r="E26" s="138"/>
      <c r="H26" s="177" t="s">
        <v>7521</v>
      </c>
      <c r="I26" s="138"/>
      <c r="J26" s="138">
        <f t="shared" ref="J26:S26" si="7">Fak_Einheit/IF(denom_1="absolut",1,Fak_Einheit*VS_gesamt)</f>
        <v>0.01</v>
      </c>
      <c r="K26" s="138">
        <f t="shared" si="7"/>
        <v>0.01</v>
      </c>
      <c r="L26" s="138">
        <f t="shared" si="7"/>
        <v>0.01</v>
      </c>
      <c r="M26" s="138">
        <f t="shared" si="7"/>
        <v>0.01</v>
      </c>
      <c r="N26" s="138">
        <f t="shared" si="7"/>
        <v>0.01</v>
      </c>
      <c r="O26" s="138">
        <f t="shared" si="7"/>
        <v>0.01</v>
      </c>
      <c r="P26" s="138">
        <f t="shared" si="7"/>
        <v>0.01</v>
      </c>
      <c r="Q26" s="138">
        <f t="shared" si="7"/>
        <v>0.01</v>
      </c>
      <c r="R26" s="138">
        <f t="shared" si="7"/>
        <v>0.01</v>
      </c>
      <c r="S26" s="138">
        <f t="shared" si="7"/>
        <v>0.01</v>
      </c>
      <c r="U26" s="138"/>
    </row>
    <row r="27" spans="2:82" ht="27" customHeight="1" x14ac:dyDescent="0.3">
      <c r="G27" s="144"/>
      <c r="H27" s="210"/>
      <c r="I27" s="210"/>
      <c r="J27" s="254" t="s">
        <v>144</v>
      </c>
      <c r="K27" s="254" t="s">
        <v>145</v>
      </c>
      <c r="L27" s="254" t="s">
        <v>7355</v>
      </c>
      <c r="M27" s="255" t="s">
        <v>7354</v>
      </c>
      <c r="N27" s="255" t="s">
        <v>146</v>
      </c>
      <c r="O27" s="255" t="s">
        <v>150</v>
      </c>
      <c r="P27" s="255" t="s">
        <v>147</v>
      </c>
      <c r="Q27" s="255" t="s">
        <v>148</v>
      </c>
      <c r="R27" s="255" t="s">
        <v>149</v>
      </c>
      <c r="S27" s="255" t="s">
        <v>7414</v>
      </c>
      <c r="T27" s="210"/>
      <c r="U27" s="147"/>
      <c r="V27" s="147"/>
      <c r="W27" s="147"/>
    </row>
    <row r="28" spans="2:82" ht="19.5" customHeight="1" thickBot="1" x14ac:dyDescent="0.35">
      <c r="G28" s="146"/>
      <c r="I28" s="158" t="s">
        <v>7516</v>
      </c>
      <c r="J28" s="253">
        <f>17306.82*(Fak_2)</f>
        <v>173.06819999999999</v>
      </c>
      <c r="K28" s="253">
        <f>24537.9612*(Fak_2)</f>
        <v>245.37961200000001</v>
      </c>
      <c r="L28" s="253">
        <f>85444.2883*(Fak_2)</f>
        <v>854.44288300000005</v>
      </c>
      <c r="M28" s="253">
        <f>58147.7858*(Fak_2)</f>
        <v>581.47785799999997</v>
      </c>
      <c r="N28" s="253">
        <f>16740.636*(Fak_2)</f>
        <v>167.40635999999998</v>
      </c>
      <c r="O28" s="253">
        <f>47149.8464*(Fak_2)</f>
        <v>471.49846400000001</v>
      </c>
      <c r="P28" s="253">
        <f>22041.4981*(Fak_2)</f>
        <v>220.41498100000001</v>
      </c>
      <c r="Q28" s="253">
        <f>9691.1558*(Fak_2)</f>
        <v>96.911558000000014</v>
      </c>
      <c r="R28" s="253">
        <f>15320.8342*(Fak_2)</f>
        <v>153.20834199999999</v>
      </c>
      <c r="S28" s="262">
        <f>296380.8258*(Fak_2)</f>
        <v>2963.808258</v>
      </c>
      <c r="T28" s="159" t="str">
        <f t="shared" ref="T28:T33" si="8">IF(denom_1="absolut",Einheit,"% VS gesamt")</f>
        <v>km²</v>
      </c>
      <c r="U28" s="160"/>
      <c r="V28" s="161">
        <f t="shared" ref="V28:V33" si="9">BP12/BO12</f>
        <v>0.5247577277301203</v>
      </c>
      <c r="W28" s="364" t="s">
        <v>7528</v>
      </c>
    </row>
    <row r="29" spans="2:82" ht="19.5" customHeight="1" thickTop="1" thickBot="1" x14ac:dyDescent="0.35">
      <c r="F29" s="138" t="s">
        <v>7411</v>
      </c>
      <c r="G29" s="144"/>
      <c r="I29" s="148" t="s">
        <v>25</v>
      </c>
      <c r="J29" s="165">
        <f>8791.0735*(Fak_2)</f>
        <v>87.910735000000003</v>
      </c>
      <c r="K29" s="165">
        <f>11173.8507*(Fak_2)</f>
        <v>111.73850700000001</v>
      </c>
      <c r="L29" s="165">
        <f>40638.8628*(Fak_2)</f>
        <v>406.38862800000004</v>
      </c>
      <c r="M29" s="165">
        <f>23560.198*(Fak_2)</f>
        <v>235.60198</v>
      </c>
      <c r="N29" s="165">
        <f>6742.9876*(Fak_2)</f>
        <v>67.429876000000007</v>
      </c>
      <c r="O29" s="165">
        <f>19252.8413*(Fak_2)</f>
        <v>192.528413</v>
      </c>
      <c r="P29" s="165">
        <f>9081.45*(Fak_2)</f>
        <v>90.81450000000001</v>
      </c>
      <c r="Q29" s="165">
        <f>3385.2763*(Fak_2)</f>
        <v>33.852763000000003</v>
      </c>
      <c r="R29" s="165">
        <f>4737.7549*(Fak_2)</f>
        <v>47.377549000000002</v>
      </c>
      <c r="S29" s="221">
        <f>127364.2951*(Fak_2)</f>
        <v>1273.642951</v>
      </c>
      <c r="T29" s="159" t="str">
        <f t="shared" si="8"/>
        <v>km²</v>
      </c>
      <c r="U29" s="160"/>
      <c r="V29" s="161">
        <f t="shared" si="9"/>
        <v>0.74062320687945249</v>
      </c>
      <c r="W29" s="364"/>
    </row>
    <row r="30" spans="2:82" ht="19.5" customHeight="1" thickTop="1" thickBot="1" x14ac:dyDescent="0.35">
      <c r="G30" s="222"/>
      <c r="I30" s="148" t="s">
        <v>7410</v>
      </c>
      <c r="J30" s="165">
        <f>7817.5784*(Fak_2)</f>
        <v>78.175784000000007</v>
      </c>
      <c r="K30" s="165">
        <f>11467.9314*(Fak_2)</f>
        <v>114.67931399999999</v>
      </c>
      <c r="L30" s="165">
        <f>36063.9438*(Fak_2)</f>
        <v>360.63943800000004</v>
      </c>
      <c r="M30" s="165">
        <f>25223.1261*(Fak_2)</f>
        <v>252.23126100000002</v>
      </c>
      <c r="N30" s="165">
        <f>7142.1692*(Fak_2)</f>
        <v>71.421692000000007</v>
      </c>
      <c r="O30" s="165">
        <f>19527.37*(Fak_2)</f>
        <v>195.27369999999999</v>
      </c>
      <c r="P30" s="165">
        <f>10865.9363*(Fak_2)</f>
        <v>108.659363</v>
      </c>
      <c r="Q30" s="165">
        <f>4973.5516*(Fak_2)</f>
        <v>49.735515999999997</v>
      </c>
      <c r="R30" s="165">
        <f>9210.0107*(Fak_2)</f>
        <v>92.100107000000008</v>
      </c>
      <c r="S30" s="221">
        <f>132291.6175*(Fak_2)</f>
        <v>1322.9161750000001</v>
      </c>
      <c r="T30" s="159" t="str">
        <f t="shared" si="8"/>
        <v>km²</v>
      </c>
      <c r="U30" s="160"/>
      <c r="V30" s="161">
        <f t="shared" si="9"/>
        <v>0.47352572969419016</v>
      </c>
      <c r="W30" s="364"/>
    </row>
    <row r="31" spans="2:82" ht="19.5" customHeight="1" thickTop="1" thickBot="1" x14ac:dyDescent="0.35">
      <c r="G31" s="222"/>
      <c r="I31" s="148" t="s">
        <v>7409</v>
      </c>
      <c r="J31" s="165">
        <f>207.1603*(Fak_2)</f>
        <v>2.0716030000000001</v>
      </c>
      <c r="K31" s="165">
        <f>1257.9227*(Fak_2)</f>
        <v>12.579227000000001</v>
      </c>
      <c r="L31" s="165">
        <f>6886.0963*(Fak_2)</f>
        <v>68.860962999999998</v>
      </c>
      <c r="M31" s="165">
        <f>8301.5762*(Fak_2)</f>
        <v>83.015761999999995</v>
      </c>
      <c r="N31" s="165">
        <f>2435.8653*(Fak_2)</f>
        <v>24.358653</v>
      </c>
      <c r="O31" s="165">
        <f>7179.4646*(Fak_2)</f>
        <v>71.794646</v>
      </c>
      <c r="P31" s="165">
        <f>1815.0484*(Fak_2)</f>
        <v>18.150483999999999</v>
      </c>
      <c r="Q31" s="165">
        <f>1045.0095*(Fak_2)</f>
        <v>10.450094999999999</v>
      </c>
      <c r="R31" s="165">
        <f>389.7706*(Fak_2)</f>
        <v>3.8977059999999999</v>
      </c>
      <c r="S31" s="221">
        <f>29517.9139*(Fak_2)</f>
        <v>295.17913900000002</v>
      </c>
      <c r="T31" s="159" t="str">
        <f t="shared" si="8"/>
        <v>km²</v>
      </c>
      <c r="U31" s="160"/>
      <c r="V31" s="161">
        <f t="shared" si="9"/>
        <v>0.44779624681110691</v>
      </c>
      <c r="W31" s="364"/>
    </row>
    <row r="32" spans="2:82" ht="19.5" customHeight="1" thickTop="1" x14ac:dyDescent="0.3">
      <c r="G32" s="222"/>
      <c r="I32" s="148" t="s">
        <v>7549</v>
      </c>
      <c r="J32" s="165">
        <f>415.8752*(Fak_2)</f>
        <v>4.1587519999999998</v>
      </c>
      <c r="K32" s="165">
        <f>476.6866*(Fak_2)</f>
        <v>4.7668660000000003</v>
      </c>
      <c r="L32" s="165">
        <f>1269.4811*(Fak_2)</f>
        <v>12.694811</v>
      </c>
      <c r="M32" s="165">
        <f>875.7254*(Fak_2)</f>
        <v>8.7572540000000014</v>
      </c>
      <c r="N32" s="165">
        <f>314.6834*(Fak_2)</f>
        <v>3.1468340000000001</v>
      </c>
      <c r="O32" s="165">
        <f>817.2471*(Fak_2)</f>
        <v>8.1724709999999998</v>
      </c>
      <c r="P32" s="165">
        <f>182.7548*(Fak_2)</f>
        <v>1.827548</v>
      </c>
      <c r="Q32" s="165">
        <f>210.2952*(Fak_2)</f>
        <v>2.1029520000000002</v>
      </c>
      <c r="R32" s="165">
        <f>955.4057*(Fak_2)</f>
        <v>9.5540570000000002</v>
      </c>
      <c r="S32" s="223">
        <f>5518.1545*(Fak_2)</f>
        <v>55.181545</v>
      </c>
      <c r="T32" s="159" t="str">
        <f t="shared" si="8"/>
        <v>km²</v>
      </c>
      <c r="U32" s="160"/>
      <c r="V32" s="161">
        <f t="shared" si="9"/>
        <v>0.16709269428718873</v>
      </c>
      <c r="W32" s="364"/>
    </row>
    <row r="33" spans="1:82" ht="19.5" customHeight="1" x14ac:dyDescent="0.3">
      <c r="G33" s="222"/>
      <c r="I33" s="148" t="s">
        <v>7519</v>
      </c>
      <c r="J33" s="165">
        <f>75.1326*(Fak_2)</f>
        <v>0.75132599999999994</v>
      </c>
      <c r="K33" s="165">
        <f>161.5698*(Fak_2)</f>
        <v>1.6156979999999999</v>
      </c>
      <c r="L33" s="165">
        <f>585.9043*(Fak_2)</f>
        <v>5.8590430000000007</v>
      </c>
      <c r="M33" s="165">
        <f>187.1601*(Fak_2)</f>
        <v>1.8716010000000001</v>
      </c>
      <c r="N33" s="165">
        <f>104.9305*(Fak_2)</f>
        <v>1.0493049999999999</v>
      </c>
      <c r="O33" s="165">
        <f>372.9234*(Fak_2)</f>
        <v>3.7292340000000004</v>
      </c>
      <c r="P33" s="165">
        <f>96.3086*(Fak_2)</f>
        <v>0.963086</v>
      </c>
      <c r="Q33" s="165">
        <f>77.0232*(Fak_2)</f>
        <v>0.77023200000000003</v>
      </c>
      <c r="R33" s="165">
        <f>27.8923*(Fak_2)</f>
        <v>0.27892299999999998</v>
      </c>
      <c r="S33" s="223">
        <f>1688.8448*(Fak_2)</f>
        <v>16.888448</v>
      </c>
      <c r="T33" s="159" t="str">
        <f t="shared" si="8"/>
        <v>km²</v>
      </c>
      <c r="U33" s="160"/>
      <c r="V33" s="161">
        <f t="shared" si="9"/>
        <v>0.11640789345535363</v>
      </c>
      <c r="W33" s="364"/>
    </row>
    <row r="34" spans="1:82" ht="19.5" customHeight="1" x14ac:dyDescent="0.3">
      <c r="G34" s="222"/>
      <c r="I34" s="148"/>
      <c r="J34" s="165"/>
      <c r="K34" s="165"/>
      <c r="L34" s="165"/>
      <c r="M34" s="165"/>
      <c r="N34" s="165"/>
      <c r="O34" s="165"/>
      <c r="P34" s="165"/>
      <c r="Q34" s="165"/>
      <c r="R34" s="165"/>
      <c r="S34" s="165"/>
      <c r="T34" s="159"/>
      <c r="U34" s="160"/>
      <c r="V34" s="189"/>
      <c r="W34" s="147"/>
    </row>
    <row r="35" spans="1:82" ht="19.5" customHeight="1" x14ac:dyDescent="0.3">
      <c r="G35" s="144"/>
      <c r="I35" s="148" t="s">
        <v>7514</v>
      </c>
      <c r="J35" s="190">
        <f t="shared" ref="J35:S35" si="10">+VS_gesamt*10000/EW</f>
        <v>581.57959292029454</v>
      </c>
      <c r="K35" s="190">
        <f t="shared" si="10"/>
        <v>434.67486488353683</v>
      </c>
      <c r="L35" s="190">
        <f t="shared" si="10"/>
        <v>502.96968146852242</v>
      </c>
      <c r="M35" s="190">
        <f t="shared" si="10"/>
        <v>386.3280877526343</v>
      </c>
      <c r="N35" s="190">
        <f t="shared" si="10"/>
        <v>297.55523403589723</v>
      </c>
      <c r="O35" s="190">
        <f t="shared" si="10"/>
        <v>376.31908770059113</v>
      </c>
      <c r="P35" s="190">
        <f t="shared" si="10"/>
        <v>288.46277198593907</v>
      </c>
      <c r="Q35" s="190">
        <f t="shared" si="10"/>
        <v>241.26918346718981</v>
      </c>
      <c r="R35" s="190">
        <f t="shared" si="10"/>
        <v>79.317093197169385</v>
      </c>
      <c r="S35" s="190">
        <f t="shared" si="10"/>
        <v>330.08483060730293</v>
      </c>
      <c r="T35" s="224" t="s">
        <v>7513</v>
      </c>
      <c r="U35" s="147"/>
      <c r="V35" s="147"/>
      <c r="W35" s="147"/>
    </row>
    <row r="36" spans="1:82" ht="19.5" customHeight="1" x14ac:dyDescent="0.3">
      <c r="G36" s="144"/>
      <c r="I36" s="148" t="s">
        <v>7472</v>
      </c>
      <c r="J36" s="191">
        <f>100*Fak_Einheit*VS_gesamt/'Ö Hauptergebnisse'!DSR</f>
        <v>6.9652964023646584</v>
      </c>
      <c r="K36" s="191">
        <f>100*Fak_Einheit*VS_gesamt/'Ö Hauptergebnisse'!DSR</f>
        <v>9.9940963855313107</v>
      </c>
      <c r="L36" s="191">
        <f>100*Fak_Einheit*VS_gesamt/'Ö Hauptergebnisse'!DSR</f>
        <v>7.3559848197779738</v>
      </c>
      <c r="M36" s="191">
        <f>100*Fak_Einheit*VS_gesamt/'Ö Hauptergebnisse'!DSR</f>
        <v>8.4982685123582051</v>
      </c>
      <c r="N36" s="191">
        <f>100*Fak_Einheit*VS_gesamt/'Ö Hauptergebnisse'!DSR</f>
        <v>11.189924757449763</v>
      </c>
      <c r="O36" s="191">
        <f>100*Fak_Einheit*VS_gesamt/'Ö Hauptergebnisse'!DSR</f>
        <v>9.0160498758739571</v>
      </c>
      <c r="P36" s="191">
        <f>100*Fak_Einheit*VS_gesamt/'Ö Hauptergebnisse'!DSR</f>
        <v>14.013143101947025</v>
      </c>
      <c r="Q36" s="191">
        <f>100*Fak_Einheit*VS_gesamt/'Ö Hauptergebnisse'!DSR</f>
        <v>17.083071525240197</v>
      </c>
      <c r="R36" s="191">
        <f>100*Fak_Einheit*VS_gesamt/'Ö Hauptergebnisse'!DSR</f>
        <v>45.8278457971942</v>
      </c>
      <c r="S36" s="191">
        <f>100*Fak_Einheit*VS_gesamt/'Ö Hauptergebnisse'!DSR</f>
        <v>9.091991998959303</v>
      </c>
      <c r="T36" s="210" t="s">
        <v>7418</v>
      </c>
      <c r="U36" s="147"/>
      <c r="V36" s="147"/>
      <c r="W36" s="147"/>
    </row>
    <row r="37" spans="1:82" ht="18.600000000000001" customHeight="1" x14ac:dyDescent="0.3">
      <c r="G37" s="144"/>
      <c r="H37" s="144"/>
      <c r="I37" s="144"/>
      <c r="J37" s="144"/>
      <c r="K37" s="144"/>
      <c r="L37" s="144"/>
      <c r="M37" s="144"/>
      <c r="N37" s="144"/>
      <c r="O37" s="144"/>
      <c r="P37" s="144"/>
      <c r="Q37" s="144"/>
      <c r="R37" s="144"/>
      <c r="S37" s="144"/>
      <c r="T37" s="144"/>
      <c r="U37" s="138"/>
    </row>
    <row r="38" spans="1:82" s="144" customFormat="1" ht="74.25" customHeight="1" x14ac:dyDescent="0.6">
      <c r="B38" s="227"/>
      <c r="C38" s="228"/>
      <c r="D38" s="229"/>
      <c r="E38" s="244" t="s">
        <v>7408</v>
      </c>
      <c r="F38" s="188"/>
      <c r="G38" s="187"/>
      <c r="H38" s="187"/>
      <c r="AF38" s="410"/>
      <c r="AG38" s="410"/>
      <c r="AH38" s="410"/>
      <c r="AI38" s="410"/>
      <c r="AJ38" s="410"/>
      <c r="AK38" s="410"/>
      <c r="AL38" s="410"/>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c r="BI38" s="410"/>
      <c r="BJ38" s="410"/>
      <c r="BK38" s="410"/>
      <c r="BL38" s="410"/>
      <c r="BM38" s="410"/>
      <c r="BN38" s="410"/>
      <c r="BO38" s="410"/>
      <c r="BP38" s="410"/>
      <c r="BQ38" s="410"/>
      <c r="BR38" s="410"/>
      <c r="BS38" s="410"/>
      <c r="BT38" s="410"/>
      <c r="BU38" s="410"/>
      <c r="BV38" s="410"/>
      <c r="BW38" s="410"/>
      <c r="BX38" s="410"/>
      <c r="BY38" s="410"/>
      <c r="BZ38" s="410"/>
      <c r="CA38" s="410"/>
      <c r="CB38" s="410"/>
      <c r="CC38" s="410"/>
      <c r="CD38" s="410"/>
    </row>
    <row r="39" spans="1:82" ht="27" x14ac:dyDescent="0.3">
      <c r="A39" s="138">
        <f>+MATCH(Bezugsgroesse,{"absolut";"Bevölkerung";"Dauersiedlungsraum"})</f>
        <v>1</v>
      </c>
      <c r="B39" s="228" t="s">
        <v>7432</v>
      </c>
      <c r="C39" s="242" t="s">
        <v>161</v>
      </c>
      <c r="D39" s="231"/>
      <c r="E39" s="139"/>
      <c r="F39" s="137"/>
      <c r="G39" s="137"/>
      <c r="H39" s="178"/>
      <c r="I39" s="369" t="str">
        <f xml:space="preserve"> "Flächeninanspruchnahme " &amp; IF(Versatz = 1, "in "&amp;'Ö Hauptergebnisse'!Einheit, IF(Versatz = 2, "in m² pro Einwohner:in", "in Prozent des Dauersiedlungsraums"))</f>
        <v>Flächeninanspruchnahme in km²</v>
      </c>
      <c r="J39" s="369"/>
      <c r="K39" s="369"/>
      <c r="L39" s="369"/>
      <c r="M39" s="369"/>
      <c r="N39" s="369"/>
      <c r="O39" s="369"/>
      <c r="P39" s="369"/>
      <c r="Q39" s="369"/>
      <c r="R39" s="369"/>
      <c r="S39" s="369"/>
      <c r="T39" s="369"/>
      <c r="U39" s="369"/>
    </row>
    <row r="40" spans="1:82" x14ac:dyDescent="0.3">
      <c r="F40" s="181"/>
      <c r="G40" s="137"/>
      <c r="H40" s="178"/>
      <c r="I40" s="180"/>
      <c r="J40" s="137"/>
      <c r="K40" s="137"/>
      <c r="L40" s="179"/>
      <c r="M40" s="179"/>
      <c r="N40" s="179"/>
      <c r="O40" s="179"/>
      <c r="P40" s="179"/>
      <c r="Q40" s="179"/>
      <c r="R40" s="178"/>
      <c r="S40" s="137"/>
      <c r="T40" s="137"/>
      <c r="U40" s="137"/>
      <c r="V40" s="136"/>
    </row>
    <row r="41" spans="1:82" hidden="1" x14ac:dyDescent="0.3">
      <c r="F41" s="137">
        <f>+Versatz</f>
        <v>1</v>
      </c>
      <c r="G41" s="137"/>
      <c r="H41" s="178" t="s">
        <v>7532</v>
      </c>
      <c r="I41" s="180"/>
      <c r="J41" s="137">
        <f t="shared" ref="J41:S41" si="11">IF(Versatz = 1, Fak_Einheit, IF(Versatz = 2, 10000/J43, 100*Fak_Einheit/J44))</f>
        <v>0.01</v>
      </c>
      <c r="K41" s="137">
        <f t="shared" si="11"/>
        <v>0.01</v>
      </c>
      <c r="L41" s="137">
        <f t="shared" si="11"/>
        <v>0.01</v>
      </c>
      <c r="M41" s="137">
        <f t="shared" si="11"/>
        <v>0.01</v>
      </c>
      <c r="N41" s="137">
        <f t="shared" si="11"/>
        <v>0.01</v>
      </c>
      <c r="O41" s="137">
        <f t="shared" si="11"/>
        <v>0.01</v>
      </c>
      <c r="P41" s="137">
        <f t="shared" si="11"/>
        <v>0.01</v>
      </c>
      <c r="Q41" s="137">
        <f t="shared" si="11"/>
        <v>0.01</v>
      </c>
      <c r="R41" s="137">
        <f t="shared" si="11"/>
        <v>0.01</v>
      </c>
      <c r="S41" s="137">
        <f t="shared" si="11"/>
        <v>0.01</v>
      </c>
      <c r="T41" s="137"/>
      <c r="U41" s="137"/>
      <c r="V41" s="136"/>
    </row>
    <row r="42" spans="1:82" hidden="1" x14ac:dyDescent="0.3">
      <c r="F42" s="137"/>
      <c r="G42" s="137"/>
      <c r="H42" s="178" t="s">
        <v>7531</v>
      </c>
      <c r="I42" s="180"/>
      <c r="J42" s="137">
        <v>1</v>
      </c>
      <c r="K42" s="137">
        <v>1</v>
      </c>
      <c r="L42" s="137">
        <v>1</v>
      </c>
      <c r="M42" s="137">
        <v>1</v>
      </c>
      <c r="N42" s="137">
        <v>1</v>
      </c>
      <c r="O42" s="137">
        <v>1</v>
      </c>
      <c r="P42" s="137">
        <v>1</v>
      </c>
      <c r="Q42" s="137">
        <v>1</v>
      </c>
      <c r="R42" s="137">
        <v>1</v>
      </c>
      <c r="S42" s="137">
        <v>1</v>
      </c>
      <c r="T42" s="137"/>
      <c r="U42" s="137"/>
      <c r="V42" s="136"/>
    </row>
    <row r="43" spans="1:82" x14ac:dyDescent="0.3">
      <c r="F43" s="149"/>
      <c r="G43" s="149"/>
      <c r="H43" s="192" t="s">
        <v>159</v>
      </c>
      <c r="I43" s="154"/>
      <c r="J43" s="193">
        <v>297583</v>
      </c>
      <c r="K43" s="193">
        <v>564513</v>
      </c>
      <c r="L43" s="193">
        <v>1698796</v>
      </c>
      <c r="M43" s="193">
        <v>1505140</v>
      </c>
      <c r="N43" s="193">
        <v>562606</v>
      </c>
      <c r="O43" s="193">
        <v>1252922</v>
      </c>
      <c r="P43" s="193">
        <v>764102</v>
      </c>
      <c r="Q43" s="193">
        <v>401674</v>
      </c>
      <c r="R43" s="193">
        <v>1931593</v>
      </c>
      <c r="S43" s="193">
        <v>8978929</v>
      </c>
      <c r="T43" s="194" t="s">
        <v>163</v>
      </c>
      <c r="U43" s="194"/>
      <c r="V43" s="195"/>
      <c r="W43" s="147"/>
      <c r="X43" s="147"/>
    </row>
    <row r="44" spans="1:82" x14ac:dyDescent="0.3">
      <c r="F44" s="150"/>
      <c r="G44" s="150"/>
      <c r="H44" s="192" t="s">
        <v>171</v>
      </c>
      <c r="I44" s="154"/>
      <c r="J44" s="193">
        <f>248472.125236831*(Fak_Einheit)</f>
        <v>2484.7212523683102</v>
      </c>
      <c r="K44" s="193">
        <f>245524.560234622*(Fak_Einheit)</f>
        <v>2455.24560234622</v>
      </c>
      <c r="L44" s="193">
        <f>1161561.50934769*(Fak_Einheit)</f>
        <v>11615.615093476901</v>
      </c>
      <c r="M44" s="193">
        <f>684230.978527465*(Fak_Einheit)</f>
        <v>6842.3097852746505</v>
      </c>
      <c r="N44" s="193">
        <f>149604.544828193*(Fak_Einheit)</f>
        <v>1496.04544828193</v>
      </c>
      <c r="O44" s="193">
        <f>522954.587087725*(Fak_Einheit)</f>
        <v>5229.5458708772503</v>
      </c>
      <c r="P44" s="193">
        <f>157291.607883013*(Fak_Einheit)</f>
        <v>1572.9160788301301</v>
      </c>
      <c r="Q44" s="193">
        <f>56729.5862789156*(Fak_Einheit)</f>
        <v>567.29586278915599</v>
      </c>
      <c r="R44" s="193">
        <f>33431.2772801946*(Fak_Einheit)</f>
        <v>334.31277280194598</v>
      </c>
      <c r="S44" s="193">
        <f>3259800.77670465*(Fak_Einheit)</f>
        <v>32598.0077670465</v>
      </c>
      <c r="T44" s="194" t="str">
        <f t="shared" ref="T44" si="12">Einheit</f>
        <v>km²</v>
      </c>
      <c r="U44" s="194"/>
      <c r="V44" s="195"/>
      <c r="W44" s="147"/>
      <c r="X44" s="147"/>
    </row>
    <row r="45" spans="1:82" x14ac:dyDescent="0.3">
      <c r="F45" s="150"/>
      <c r="G45" s="150"/>
      <c r="H45" s="192"/>
      <c r="I45" s="154"/>
      <c r="J45" s="193"/>
      <c r="K45" s="193"/>
      <c r="L45" s="193"/>
      <c r="M45" s="193"/>
      <c r="N45" s="193"/>
      <c r="O45" s="193"/>
      <c r="P45" s="193"/>
      <c r="Q45" s="193"/>
      <c r="R45" s="193"/>
      <c r="S45" s="193"/>
      <c r="T45" s="194"/>
      <c r="U45" s="194"/>
      <c r="V45" s="195"/>
      <c r="W45" s="147"/>
      <c r="X45" s="147"/>
    </row>
    <row r="46" spans="1:82" s="144" customFormat="1" x14ac:dyDescent="0.25">
      <c r="B46" s="227"/>
      <c r="C46" s="228"/>
      <c r="D46" s="229"/>
      <c r="E46" s="131"/>
      <c r="F46" s="210"/>
      <c r="G46" s="196"/>
      <c r="H46" s="210"/>
      <c r="I46" s="148"/>
      <c r="J46" s="246" t="s">
        <v>144</v>
      </c>
      <c r="K46" s="246" t="s">
        <v>145</v>
      </c>
      <c r="L46" s="246" t="s">
        <v>7355</v>
      </c>
      <c r="M46" s="246" t="s">
        <v>7354</v>
      </c>
      <c r="N46" s="246" t="s">
        <v>146</v>
      </c>
      <c r="O46" s="246" t="s">
        <v>150</v>
      </c>
      <c r="P46" s="246" t="s">
        <v>147</v>
      </c>
      <c r="Q46" s="246" t="s">
        <v>148</v>
      </c>
      <c r="R46" s="246" t="s">
        <v>149</v>
      </c>
      <c r="S46" s="246" t="s">
        <v>7414</v>
      </c>
      <c r="T46" s="246"/>
      <c r="U46" s="246"/>
      <c r="V46" s="210"/>
      <c r="W46" s="210"/>
      <c r="X46" s="210"/>
      <c r="AF46" s="410"/>
      <c r="AG46" s="410"/>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c r="BN46" s="410"/>
      <c r="BO46" s="410"/>
      <c r="BP46" s="410"/>
      <c r="BQ46" s="410"/>
      <c r="BR46" s="410"/>
      <c r="BS46" s="410"/>
      <c r="BT46" s="410"/>
      <c r="BU46" s="410"/>
      <c r="BV46" s="410"/>
      <c r="BW46" s="410"/>
      <c r="BX46" s="410"/>
      <c r="BY46" s="410"/>
      <c r="BZ46" s="410"/>
      <c r="CA46" s="410"/>
      <c r="CB46" s="410"/>
      <c r="CC46" s="410"/>
      <c r="CD46" s="410"/>
    </row>
    <row r="47" spans="1:82" s="144" customFormat="1" ht="24" customHeight="1" x14ac:dyDescent="0.25">
      <c r="B47" s="227"/>
      <c r="C47" s="228"/>
      <c r="D47" s="229"/>
      <c r="E47" s="131"/>
      <c r="F47" s="198" t="s">
        <v>25</v>
      </c>
      <c r="G47" s="196">
        <v>101</v>
      </c>
      <c r="H47" s="148" t="str">
        <f>+VLOOKUP($G47,Konstanten!$A$2:$B$15,2,FALSE)</f>
        <v>Autobahn u. Schnellstraße</v>
      </c>
      <c r="I47" s="148"/>
      <c r="J47" s="212">
        <f>715.961977083504*(Fak_3)</f>
        <v>7.1596197708350404</v>
      </c>
      <c r="K47" s="212">
        <f>1128.07653743804*(Fak_3)</f>
        <v>11.280765374380401</v>
      </c>
      <c r="L47" s="212">
        <f>3158.84666476761*(Fak_3)</f>
        <v>31.5884666476761</v>
      </c>
      <c r="M47" s="212">
        <f>1648.90444926283*(Fak_3)</f>
        <v>16.489044492628299</v>
      </c>
      <c r="N47" s="212">
        <f>666.058736026804*(Fak_3)</f>
        <v>6.6605873602680399</v>
      </c>
      <c r="O47" s="212">
        <f>2279.60743769462*(Fak_3)</f>
        <v>22.796074376946198</v>
      </c>
      <c r="P47" s="212">
        <f>823.441144846653*(Fak_3)</f>
        <v>8.2344114484665294</v>
      </c>
      <c r="Q47" s="212">
        <f>301.96720435559*(Fak_3)</f>
        <v>3.0196720435559001</v>
      </c>
      <c r="R47" s="212">
        <f>317.386672414552*(Fak_3)</f>
        <v>3.1738667241455198</v>
      </c>
      <c r="S47" s="212">
        <f>11040.2508238902*(Fak_3)</f>
        <v>110.40250823890199</v>
      </c>
      <c r="T47" s="213"/>
      <c r="U47" s="220">
        <f t="shared" ref="U47:U60" si="13">+BD47/BC47</f>
        <v>0.62529156358129656</v>
      </c>
      <c r="V47" s="367" t="s">
        <v>7527</v>
      </c>
      <c r="X47" s="210"/>
      <c r="AF47" s="410"/>
      <c r="AG47" s="410"/>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v>110.40250823890199</v>
      </c>
      <c r="BD47" s="410">
        <v>69.033756999999994</v>
      </c>
      <c r="BE47" s="410">
        <f>+BC47-BD47</f>
        <v>41.368751238901993</v>
      </c>
      <c r="BF47" s="410"/>
      <c r="BG47" s="410"/>
      <c r="BH47" s="410"/>
      <c r="BI47" s="410"/>
      <c r="BJ47" s="410"/>
      <c r="BK47" s="410"/>
      <c r="BL47" s="410"/>
      <c r="BM47" s="410"/>
      <c r="BN47" s="410"/>
      <c r="BO47" s="410"/>
      <c r="BP47" s="415"/>
      <c r="BQ47" s="415"/>
      <c r="BR47" s="410"/>
      <c r="BS47" s="410"/>
      <c r="BT47" s="410"/>
      <c r="BU47" s="410"/>
      <c r="BV47" s="410"/>
      <c r="BW47" s="410"/>
      <c r="BX47" s="410"/>
      <c r="BY47" s="410"/>
      <c r="BZ47" s="410"/>
      <c r="CA47" s="410"/>
      <c r="CB47" s="410"/>
      <c r="CC47" s="410"/>
      <c r="CD47" s="410"/>
    </row>
    <row r="48" spans="1:82" s="144" customFormat="1" ht="24" customHeight="1" x14ac:dyDescent="0.25">
      <c r="B48" s="227"/>
      <c r="C48" s="228"/>
      <c r="D48" s="229"/>
      <c r="E48" s="131"/>
      <c r="F48" s="198"/>
      <c r="G48" s="196">
        <v>102</v>
      </c>
      <c r="H48" s="148" t="str">
        <f>+VLOOKUP($G48,Konstanten!$A$2:$B$15,2,FALSE)</f>
        <v>Landesstraße B + L</v>
      </c>
      <c r="I48" s="148"/>
      <c r="J48" s="212">
        <f>2620.09828716017*(Fak_3)</f>
        <v>26.200982871601699</v>
      </c>
      <c r="K48" s="212">
        <f>3967.31685124059*(Fak_3)</f>
        <v>39.673168512405901</v>
      </c>
      <c r="L48" s="212">
        <f>16014.8374323356*(Fak_3)</f>
        <v>160.14837432335599</v>
      </c>
      <c r="M48" s="212">
        <f>7442.95166740444*(Fak_3)</f>
        <v>74.429516674044393</v>
      </c>
      <c r="N48" s="212">
        <f>1879.49200261016*(Fak_3)</f>
        <v>18.7949200261016</v>
      </c>
      <c r="O48" s="212">
        <f>6239.26451302597*(Fak_3)</f>
        <v>62.392645130259702</v>
      </c>
      <c r="P48" s="212">
        <f>2809.9436237639*(Fak_3)</f>
        <v>28.099436237639001</v>
      </c>
      <c r="Q48" s="212">
        <f>838.454080346076*(Fak_3)</f>
        <v>8.3845408034607605</v>
      </c>
      <c r="R48" s="212">
        <f>1171.07558778928*(Fak_3)</f>
        <v>11.710755877892801</v>
      </c>
      <c r="S48" s="212">
        <f>42983.4340456762*(Fak_3)</f>
        <v>429.83434045676199</v>
      </c>
      <c r="T48" s="213"/>
      <c r="U48" s="220">
        <f t="shared" si="13"/>
        <v>0.74842676287368548</v>
      </c>
      <c r="V48" s="367"/>
      <c r="X48" s="210"/>
      <c r="AF48" s="410"/>
      <c r="AG48" s="410"/>
      <c r="AH48" s="410"/>
      <c r="AI48" s="410"/>
      <c r="AJ48" s="410"/>
      <c r="AK48" s="410"/>
      <c r="AL48" s="410"/>
      <c r="AM48" s="410"/>
      <c r="AN48" s="410"/>
      <c r="AO48" s="410"/>
      <c r="AP48" s="410"/>
      <c r="AQ48" s="410"/>
      <c r="AR48" s="410"/>
      <c r="AS48" s="410"/>
      <c r="AT48" s="410"/>
      <c r="AU48" s="410"/>
      <c r="AV48" s="410"/>
      <c r="AW48" s="410"/>
      <c r="AX48" s="410"/>
      <c r="AY48" s="410"/>
      <c r="AZ48" s="410"/>
      <c r="BA48" s="410"/>
      <c r="BB48" s="410"/>
      <c r="BC48" s="410">
        <v>429.83434045676199</v>
      </c>
      <c r="BD48" s="410">
        <v>321.699524</v>
      </c>
      <c r="BE48" s="410">
        <f t="shared" ref="BE48:BE60" si="14">+BC48-BD48</f>
        <v>108.134816456762</v>
      </c>
      <c r="BF48" s="410"/>
      <c r="BG48" s="410"/>
      <c r="BH48" s="410"/>
      <c r="BI48" s="410"/>
      <c r="BJ48" s="410"/>
      <c r="BK48" s="410"/>
      <c r="BL48" s="410"/>
      <c r="BM48" s="410"/>
      <c r="BN48" s="410"/>
      <c r="BO48" s="410"/>
      <c r="BP48" s="415"/>
      <c r="BQ48" s="415"/>
      <c r="BR48" s="410"/>
      <c r="BS48" s="410"/>
      <c r="BT48" s="410"/>
      <c r="BU48" s="410"/>
      <c r="BV48" s="410"/>
      <c r="BW48" s="410"/>
      <c r="BX48" s="410"/>
      <c r="BY48" s="410"/>
      <c r="BZ48" s="410"/>
      <c r="CA48" s="410"/>
      <c r="CB48" s="410"/>
      <c r="CC48" s="410"/>
      <c r="CD48" s="410"/>
    </row>
    <row r="49" spans="2:82" s="144" customFormat="1" ht="24" customHeight="1" x14ac:dyDescent="0.25">
      <c r="B49" s="227"/>
      <c r="C49" s="228"/>
      <c r="D49" s="229"/>
      <c r="E49" s="131"/>
      <c r="F49" s="198"/>
      <c r="G49" s="196">
        <v>103</v>
      </c>
      <c r="H49" s="148" t="str">
        <f>+VLOOKUP($G49,Konstanten!$A$2:$B$15,2,FALSE)</f>
        <v>Gemeinde- und sonstige Straßen</v>
      </c>
      <c r="I49" s="148"/>
      <c r="J49" s="212">
        <f>9182.14674043279*(Fak_3)</f>
        <v>91.821467404327905</v>
      </c>
      <c r="K49" s="212">
        <f>9145.40696777972*(Fak_3)</f>
        <v>91.454069677797193</v>
      </c>
      <c r="L49" s="212">
        <f>32123.6557901902*(Fak_3)</f>
        <v>321.23655790190202</v>
      </c>
      <c r="M49" s="212">
        <f>19640.4206786238*(Fak_3)</f>
        <v>196.40420678623801</v>
      </c>
      <c r="N49" s="212">
        <f>5494.98351960848*(Fak_3)</f>
        <v>54.949835196084798</v>
      </c>
      <c r="O49" s="212">
        <f>16838.9878744715*(Fak_3)</f>
        <v>168.38987874471499</v>
      </c>
      <c r="P49" s="212">
        <f>6834.8941596822*(Fak_3)</f>
        <v>68.348941596822002</v>
      </c>
      <c r="Q49" s="212">
        <f>2590.63165984997*(Fak_3)</f>
        <v>25.906316598499703</v>
      </c>
      <c r="R49" s="212">
        <f>3337.51529616467*(Fak_3)</f>
        <v>33.375152961646698</v>
      </c>
      <c r="S49" s="212">
        <f>105188.642686803*(Fak_3)</f>
        <v>1051.88642686803</v>
      </c>
      <c r="T49" s="213"/>
      <c r="U49" s="220">
        <f t="shared" si="13"/>
        <v>0.77800703868448506</v>
      </c>
      <c r="V49" s="367"/>
      <c r="X49" s="210"/>
      <c r="AF49" s="410"/>
      <c r="AG49" s="410"/>
      <c r="AH49" s="410"/>
      <c r="AI49" s="410"/>
      <c r="AJ49" s="410"/>
      <c r="AK49" s="410"/>
      <c r="AL49" s="410"/>
      <c r="AM49" s="410"/>
      <c r="AN49" s="410"/>
      <c r="AO49" s="410"/>
      <c r="AP49" s="410"/>
      <c r="AQ49" s="410"/>
      <c r="AR49" s="410"/>
      <c r="AS49" s="410"/>
      <c r="AT49" s="410"/>
      <c r="AU49" s="410"/>
      <c r="AV49" s="410"/>
      <c r="AW49" s="410"/>
      <c r="AX49" s="410"/>
      <c r="AY49" s="410"/>
      <c r="AZ49" s="410"/>
      <c r="BA49" s="410"/>
      <c r="BB49" s="410"/>
      <c r="BC49" s="410">
        <v>1051.88642686803</v>
      </c>
      <c r="BD49" s="410">
        <v>818.37504400000012</v>
      </c>
      <c r="BE49" s="410">
        <f t="shared" si="14"/>
        <v>233.51138286802984</v>
      </c>
      <c r="BF49" s="410"/>
      <c r="BG49" s="410"/>
      <c r="BH49" s="410"/>
      <c r="BI49" s="410"/>
      <c r="BJ49" s="410"/>
      <c r="BK49" s="410"/>
      <c r="BL49" s="410"/>
      <c r="BM49" s="410"/>
      <c r="BN49" s="410"/>
      <c r="BO49" s="410"/>
      <c r="BP49" s="415"/>
      <c r="BQ49" s="415"/>
      <c r="BR49" s="410"/>
      <c r="BS49" s="410"/>
      <c r="BT49" s="410"/>
      <c r="BU49" s="410"/>
      <c r="BV49" s="410"/>
      <c r="BW49" s="410"/>
      <c r="BX49" s="410"/>
      <c r="BY49" s="410"/>
      <c r="BZ49" s="410"/>
      <c r="CA49" s="410"/>
      <c r="CB49" s="410"/>
      <c r="CC49" s="410"/>
      <c r="CD49" s="410"/>
    </row>
    <row r="50" spans="2:82" s="144" customFormat="1" ht="24" customHeight="1" x14ac:dyDescent="0.25">
      <c r="B50" s="227"/>
      <c r="C50" s="228"/>
      <c r="D50" s="229"/>
      <c r="E50" s="131"/>
      <c r="F50" s="198"/>
      <c r="G50" s="196">
        <v>104</v>
      </c>
      <c r="H50" s="148" t="str">
        <f>+VLOOKUP($G50,Konstanten!$A$2:$B$15,2,FALSE)</f>
        <v>Schiene</v>
      </c>
      <c r="I50" s="148"/>
      <c r="J50" s="212">
        <f>481.332916878097*(Fak_3)</f>
        <v>4.8133291687809701</v>
      </c>
      <c r="K50" s="212">
        <f>1146.46470583232*(Fak_3)</f>
        <v>11.464647058323202</v>
      </c>
      <c r="L50" s="212">
        <f>4319.46040114814*(Fak_3)</f>
        <v>43.194604011481395</v>
      </c>
      <c r="M50" s="212">
        <f>2114.57061780708*(Fak_3)</f>
        <v>21.1457061780708</v>
      </c>
      <c r="N50" s="212">
        <f>808.317940925682*(Fak_3)</f>
        <v>8.0831794092568199</v>
      </c>
      <c r="O50" s="212">
        <f>2060.19151672597*(Fak_3)</f>
        <v>20.601915167259701</v>
      </c>
      <c r="P50" s="212">
        <f>855.253530331824*(Fak_3)</f>
        <v>8.5525353033182405</v>
      </c>
      <c r="Q50" s="212">
        <f>251.901437006181*(Fak_3)</f>
        <v>2.5190143700618099</v>
      </c>
      <c r="R50" s="212">
        <f>719.264219236031*(Fak_3)</f>
        <v>7.1926421923603101</v>
      </c>
      <c r="S50" s="212">
        <f>12756.7572858913*(Fak_3)</f>
        <v>127.56757285891301</v>
      </c>
      <c r="T50" s="213"/>
      <c r="U50" s="220">
        <f t="shared" si="13"/>
        <v>0.50588581842325953</v>
      </c>
      <c r="V50" s="367"/>
      <c r="X50" s="210"/>
      <c r="AF50" s="410"/>
      <c r="AG50" s="410"/>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v>127.56757285891301</v>
      </c>
      <c r="BD50" s="410">
        <v>64.534626000000003</v>
      </c>
      <c r="BE50" s="410">
        <f t="shared" si="14"/>
        <v>63.032946858913007</v>
      </c>
      <c r="BF50" s="410"/>
      <c r="BG50" s="410"/>
      <c r="BH50" s="410"/>
      <c r="BI50" s="410"/>
      <c r="BJ50" s="410"/>
      <c r="BK50" s="410"/>
      <c r="BL50" s="410"/>
      <c r="BM50" s="410"/>
      <c r="BN50" s="410"/>
      <c r="BO50" s="410"/>
      <c r="BP50" s="415"/>
      <c r="BQ50" s="415"/>
      <c r="BR50" s="410"/>
      <c r="BS50" s="410"/>
      <c r="BT50" s="410"/>
      <c r="BU50" s="410"/>
      <c r="BV50" s="410"/>
      <c r="BW50" s="410"/>
      <c r="BX50" s="410"/>
      <c r="BY50" s="410"/>
      <c r="BZ50" s="410"/>
      <c r="CA50" s="410"/>
      <c r="CB50" s="410"/>
      <c r="CC50" s="410"/>
      <c r="CD50" s="410"/>
    </row>
    <row r="51" spans="2:82" s="144" customFormat="1" ht="24" customHeight="1" x14ac:dyDescent="0.25">
      <c r="B51" s="227"/>
      <c r="C51" s="228"/>
      <c r="D51" s="229"/>
      <c r="E51" s="131"/>
      <c r="F51" s="200"/>
      <c r="G51" s="215"/>
      <c r="H51" s="216"/>
      <c r="I51" s="217" t="s">
        <v>7535</v>
      </c>
      <c r="J51" s="218">
        <f>12999.5399215546*(Fak_3)</f>
        <v>129.995399215546</v>
      </c>
      <c r="K51" s="218">
        <f>15387.2650622907*(Fak_3)</f>
        <v>153.872650622907</v>
      </c>
      <c r="L51" s="218">
        <f>55616.8002884416*(Fak_3)</f>
        <v>556.16800288441596</v>
      </c>
      <c r="M51" s="218">
        <f>30846.8474130981*(Fak_3)</f>
        <v>308.46847413098101</v>
      </c>
      <c r="N51" s="218">
        <f>8848.85219917112*(Fak_3)</f>
        <v>88.48852199171121</v>
      </c>
      <c r="O51" s="218">
        <f>27418.0513419181*(Fak_3)</f>
        <v>274.18051341918101</v>
      </c>
      <c r="P51" s="218">
        <f>11323.5324586246*(Fak_3)</f>
        <v>113.23532458624601</v>
      </c>
      <c r="Q51" s="218">
        <f>3982.95438155782*(Fak_3)</f>
        <v>39.829543815578198</v>
      </c>
      <c r="R51" s="218">
        <f>5545.24177560454*(Fak_3)</f>
        <v>55.452417756045399</v>
      </c>
      <c r="S51" s="218">
        <f>171969.084842261*(Fak_3)</f>
        <v>1719.6908484226101</v>
      </c>
      <c r="T51" s="323"/>
      <c r="U51" s="324">
        <f t="shared" si="13"/>
        <v>0.7406232068794526</v>
      </c>
      <c r="V51" s="367"/>
      <c r="X51" s="210"/>
      <c r="AF51" s="410"/>
      <c r="AG51" s="410"/>
      <c r="AH51" s="410"/>
      <c r="AI51" s="410"/>
      <c r="AJ51" s="410"/>
      <c r="AK51" s="410"/>
      <c r="AL51" s="410"/>
      <c r="AM51" s="410"/>
      <c r="AN51" s="410"/>
      <c r="AO51" s="410"/>
      <c r="AP51" s="410"/>
      <c r="AQ51" s="410"/>
      <c r="AR51" s="410"/>
      <c r="AS51" s="410"/>
      <c r="AT51" s="410"/>
      <c r="AU51" s="410"/>
      <c r="AV51" s="410"/>
      <c r="AW51" s="410"/>
      <c r="AX51" s="410"/>
      <c r="AY51" s="410"/>
      <c r="AZ51" s="410"/>
      <c r="BA51" s="410"/>
      <c r="BB51" s="410"/>
      <c r="BC51" s="410">
        <v>1719.6908484226101</v>
      </c>
      <c r="BD51" s="410">
        <v>1273.642951</v>
      </c>
      <c r="BE51" s="410">
        <f t="shared" si="14"/>
        <v>446.04789742261005</v>
      </c>
      <c r="BF51" s="410"/>
      <c r="BG51" s="410"/>
      <c r="BH51" s="410"/>
      <c r="BI51" s="410"/>
      <c r="BJ51" s="410"/>
      <c r="BK51" s="410"/>
      <c r="BL51" s="410"/>
      <c r="BM51" s="410"/>
      <c r="BN51" s="410"/>
      <c r="BO51" s="410"/>
      <c r="BP51" s="415"/>
      <c r="BQ51" s="415"/>
      <c r="BR51" s="410"/>
      <c r="BS51" s="410"/>
      <c r="BT51" s="410"/>
      <c r="BU51" s="410"/>
      <c r="BV51" s="410"/>
      <c r="BW51" s="410"/>
      <c r="BX51" s="410"/>
      <c r="BY51" s="410"/>
      <c r="BZ51" s="410"/>
      <c r="CA51" s="410"/>
      <c r="CB51" s="410"/>
      <c r="CC51" s="410"/>
      <c r="CD51" s="410"/>
    </row>
    <row r="52" spans="2:82" s="144" customFormat="1" ht="24" customHeight="1" x14ac:dyDescent="0.25">
      <c r="B52" s="227"/>
      <c r="C52" s="228"/>
      <c r="D52" s="229"/>
      <c r="E52" s="131"/>
      <c r="F52" s="198" t="s">
        <v>7410</v>
      </c>
      <c r="G52" s="197">
        <v>211</v>
      </c>
      <c r="H52" s="148" t="str">
        <f>+VLOOKUP($G52,Konstanten!$A$2:$B$15,2,FALSE)</f>
        <v>Wohnnutzung</v>
      </c>
      <c r="I52" s="148"/>
      <c r="J52" s="212">
        <f>6748.23325759045*(Fak_3)</f>
        <v>67.482332575904508</v>
      </c>
      <c r="K52" s="212">
        <f>19876.8907637009*(Fak_3)</f>
        <v>198.76890763700899</v>
      </c>
      <c r="L52" s="212">
        <f>0.0100506182298402*(Fak_3)</f>
        <v>1.00506182298402E-4</v>
      </c>
      <c r="M52" s="212">
        <f>26856.6273830067*(Fak_3)</f>
        <v>268.56627383006702</v>
      </c>
      <c r="N52" s="212">
        <f>7265.07586985828*(Fak_3)</f>
        <v>72.650758698582806</v>
      </c>
      <c r="O52" s="212">
        <f>27327.2048509917*(Fak_3)</f>
        <v>273.272048509917</v>
      </c>
      <c r="P52" s="212">
        <f>8476.66883909651*(Fak_3)</f>
        <v>84.766688390965101</v>
      </c>
      <c r="Q52" s="212">
        <f>5160.26157102767*(Fak_3)</f>
        <v>51.602615710276694</v>
      </c>
      <c r="R52" s="212">
        <f>9553.34258157261*(Fak_3)</f>
        <v>95.533425815726105</v>
      </c>
      <c r="S52" s="212">
        <f>111264.315167463*(Fak_3)</f>
        <v>1112.6431516746302</v>
      </c>
      <c r="T52" s="213"/>
      <c r="U52" s="220">
        <f t="shared" si="13"/>
        <v>0.39295521959753704</v>
      </c>
      <c r="V52" s="367"/>
      <c r="X52" s="210"/>
      <c r="AF52" s="410"/>
      <c r="AG52" s="410"/>
      <c r="AH52" s="410"/>
      <c r="AI52" s="410"/>
      <c r="AJ52" s="410"/>
      <c r="AK52" s="410"/>
      <c r="AL52" s="410"/>
      <c r="AM52" s="410"/>
      <c r="AN52" s="410"/>
      <c r="AO52" s="410"/>
      <c r="AP52" s="410"/>
      <c r="AQ52" s="410"/>
      <c r="AR52" s="410"/>
      <c r="AS52" s="410"/>
      <c r="AT52" s="410"/>
      <c r="AU52" s="410"/>
      <c r="AV52" s="410"/>
      <c r="AW52" s="410"/>
      <c r="AX52" s="410"/>
      <c r="AY52" s="410"/>
      <c r="AZ52" s="410"/>
      <c r="BA52" s="410"/>
      <c r="BB52" s="410"/>
      <c r="BC52" s="410">
        <v>1112.6431516746302</v>
      </c>
      <c r="BD52" s="410">
        <v>437.21893399999999</v>
      </c>
      <c r="BE52" s="410">
        <f t="shared" si="14"/>
        <v>675.4242176746302</v>
      </c>
      <c r="BF52" s="410"/>
      <c r="BG52" s="410"/>
      <c r="BH52" s="410"/>
      <c r="BI52" s="410"/>
      <c r="BJ52" s="410"/>
      <c r="BK52" s="410"/>
      <c r="BL52" s="410"/>
      <c r="BM52" s="410"/>
      <c r="BN52" s="410"/>
      <c r="BO52" s="410"/>
      <c r="BP52" s="415"/>
      <c r="BQ52" s="415"/>
      <c r="BR52" s="410"/>
      <c r="BS52" s="410"/>
      <c r="BT52" s="410"/>
      <c r="BU52" s="410"/>
      <c r="BV52" s="410"/>
      <c r="BW52" s="410"/>
      <c r="BX52" s="410"/>
      <c r="BY52" s="410"/>
      <c r="BZ52" s="410"/>
      <c r="CA52" s="410"/>
      <c r="CB52" s="410"/>
      <c r="CC52" s="410"/>
      <c r="CD52" s="410"/>
    </row>
    <row r="53" spans="2:82" s="144" customFormat="1" ht="24" customHeight="1" x14ac:dyDescent="0.25">
      <c r="B53" s="227"/>
      <c r="C53" s="228"/>
      <c r="D53" s="229"/>
      <c r="E53" s="131"/>
      <c r="F53" s="198"/>
      <c r="G53" s="197">
        <v>212</v>
      </c>
      <c r="H53" s="148" t="str">
        <f>+VLOOKUP($G53,Konstanten!$A$2:$B$15,2,FALSE)</f>
        <v>gemischte bauliche Nutzung</v>
      </c>
      <c r="I53" s="148"/>
      <c r="J53" s="212">
        <f>10186.1710441806*(Fak_3)</f>
        <v>101.86171044180601</v>
      </c>
      <c r="K53" s="212">
        <f>613.048701632676*(Fak_3)</f>
        <v>6.1304870163267609</v>
      </c>
      <c r="L53" s="212">
        <f>59972.3078923027*(Fak_3)</f>
        <v>599.72307892302695</v>
      </c>
      <c r="M53" s="212">
        <f>13560.3328268004*(Fak_3)</f>
        <v>135.60332826800402</v>
      </c>
      <c r="N53" s="212">
        <f>2069.8037902177*(Fak_3)</f>
        <v>20.698037902177003</v>
      </c>
      <c r="O53" s="212">
        <f>12176.9581516673*(Fak_3)</f>
        <v>121.76958151667301</v>
      </c>
      <c r="P53" s="212">
        <f>4982.68174729732*(Fak_3)</f>
        <v>49.826817472973197</v>
      </c>
      <c r="Q53" s="212">
        <f>3088.22868414065*(Fak_3)</f>
        <v>30.882286841406501</v>
      </c>
      <c r="R53" s="212">
        <f>2544.35232790404*(Fak_3)</f>
        <v>25.443523279040402</v>
      </c>
      <c r="S53" s="212">
        <f>109193.885166143*(Fak_3)</f>
        <v>1091.9388516614299</v>
      </c>
      <c r="T53" s="213"/>
      <c r="U53" s="220">
        <f t="shared" si="13"/>
        <v>0.47014924161630484</v>
      </c>
      <c r="V53" s="367"/>
      <c r="X53" s="210"/>
      <c r="AF53" s="410"/>
      <c r="AG53" s="410"/>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v>1091.9388516614299</v>
      </c>
      <c r="BD53" s="410">
        <v>513.37422300000003</v>
      </c>
      <c r="BE53" s="410">
        <f t="shared" si="14"/>
        <v>578.56462866142988</v>
      </c>
      <c r="BF53" s="410"/>
      <c r="BG53" s="410"/>
      <c r="BH53" s="410"/>
      <c r="BI53" s="410"/>
      <c r="BJ53" s="410"/>
      <c r="BK53" s="410"/>
      <c r="BL53" s="410"/>
      <c r="BM53" s="410"/>
      <c r="BN53" s="410"/>
      <c r="BO53" s="410"/>
      <c r="BP53" s="415"/>
      <c r="BQ53" s="415"/>
      <c r="BR53" s="410"/>
      <c r="BS53" s="410"/>
      <c r="BT53" s="410"/>
      <c r="BU53" s="410"/>
      <c r="BV53" s="410"/>
      <c r="BW53" s="410"/>
      <c r="BX53" s="410"/>
      <c r="BY53" s="410"/>
      <c r="BZ53" s="410"/>
      <c r="CA53" s="410"/>
      <c r="CB53" s="410"/>
      <c r="CC53" s="410"/>
      <c r="CD53" s="410"/>
    </row>
    <row r="54" spans="2:82" s="144" customFormat="1" ht="24" customHeight="1" x14ac:dyDescent="0.25">
      <c r="B54" s="227"/>
      <c r="C54" s="228"/>
      <c r="D54" s="229"/>
      <c r="E54" s="131"/>
      <c r="F54" s="198"/>
      <c r="G54" s="197">
        <v>213</v>
      </c>
      <c r="H54" s="148" t="str">
        <f>+VLOOKUP($G54,Konstanten!$A$2:$B$15,2,FALSE)</f>
        <v>betriebliche Nutzung</v>
      </c>
      <c r="I54" s="148"/>
      <c r="J54" s="212">
        <f>1618.01737234461*(Fak_3)</f>
        <v>16.180173723446099</v>
      </c>
      <c r="K54" s="212">
        <f>4159.74126366572*(Fak_3)</f>
        <v>41.597412636657204</v>
      </c>
      <c r="L54" s="212">
        <f>12000.0885293722*(Fak_3)</f>
        <v>120.00088529372201</v>
      </c>
      <c r="M54" s="212">
        <f>10331.9863207581*(Fak_3)</f>
        <v>103.31986320758101</v>
      </c>
      <c r="N54" s="212">
        <f>2338.9975965192*(Fak_3)</f>
        <v>23.389975965192004</v>
      </c>
      <c r="O54" s="212">
        <f>8153.17768771192*(Fak_3)</f>
        <v>81.531776877119199</v>
      </c>
      <c r="P54" s="212">
        <f>1764.42728161732*(Fak_3)</f>
        <v>17.644272816173199</v>
      </c>
      <c r="Q54" s="212">
        <f>1197.34913646902*(Fak_3)</f>
        <v>11.973491364690201</v>
      </c>
      <c r="R54" s="212">
        <f>2027.95416161706*(Fak_3)</f>
        <v>20.279541616170601</v>
      </c>
      <c r="S54" s="212">
        <f>43591.7393500751*(Fak_3)</f>
        <v>435.91739350075102</v>
      </c>
      <c r="T54" s="213"/>
      <c r="U54" s="325">
        <f t="shared" si="13"/>
        <v>0.67934740484148592</v>
      </c>
      <c r="V54" s="367"/>
      <c r="X54" s="210"/>
      <c r="AF54" s="410"/>
      <c r="AG54" s="410"/>
      <c r="AH54" s="410"/>
      <c r="AI54" s="410"/>
      <c r="AJ54" s="410"/>
      <c r="AK54" s="410"/>
      <c r="AL54" s="410"/>
      <c r="AM54" s="410"/>
      <c r="AN54" s="410"/>
      <c r="AO54" s="410"/>
      <c r="AP54" s="410"/>
      <c r="AQ54" s="410"/>
      <c r="AR54" s="410"/>
      <c r="AS54" s="410"/>
      <c r="AT54" s="410"/>
      <c r="AU54" s="410"/>
      <c r="AV54" s="410"/>
      <c r="AW54" s="410"/>
      <c r="AX54" s="410"/>
      <c r="AY54" s="410"/>
      <c r="AZ54" s="410"/>
      <c r="BA54" s="410"/>
      <c r="BB54" s="410"/>
      <c r="BC54" s="410">
        <v>435.91739350075102</v>
      </c>
      <c r="BD54" s="410">
        <v>296.13935000000004</v>
      </c>
      <c r="BE54" s="410">
        <f t="shared" si="14"/>
        <v>139.77804350075098</v>
      </c>
      <c r="BF54" s="410"/>
      <c r="BG54" s="410"/>
      <c r="BH54" s="410"/>
      <c r="BI54" s="410"/>
      <c r="BJ54" s="410"/>
      <c r="BK54" s="410"/>
      <c r="BL54" s="410"/>
      <c r="BM54" s="410"/>
      <c r="BN54" s="410"/>
      <c r="BO54" s="410"/>
      <c r="BP54" s="415"/>
      <c r="BQ54" s="415"/>
      <c r="BR54" s="410"/>
      <c r="BS54" s="410"/>
      <c r="BT54" s="410"/>
      <c r="BU54" s="410"/>
      <c r="BV54" s="410"/>
      <c r="BW54" s="410"/>
      <c r="BX54" s="410"/>
      <c r="BY54" s="410"/>
      <c r="BZ54" s="410"/>
      <c r="CA54" s="410"/>
      <c r="CB54" s="410"/>
      <c r="CC54" s="410"/>
      <c r="CD54" s="410"/>
    </row>
    <row r="55" spans="2:82" s="144" customFormat="1" ht="24" customHeight="1" x14ac:dyDescent="0.25">
      <c r="B55" s="227"/>
      <c r="C55" s="228"/>
      <c r="D55" s="229"/>
      <c r="E55" s="131"/>
      <c r="F55" s="198"/>
      <c r="G55" s="197">
        <v>214</v>
      </c>
      <c r="H55" s="148" t="str">
        <f>+VLOOKUP($G55,Konstanten!$A$2:$B$15,2,FALSE)</f>
        <v>sonstige bauliche Nutzung</v>
      </c>
      <c r="I55" s="148"/>
      <c r="J55" s="212">
        <f>752.256670898004*(Fak_3)</f>
        <v>7.5225667089800403</v>
      </c>
      <c r="K55" s="212">
        <f>2544.62141650071*(Fak_3)</f>
        <v>25.446214165007099</v>
      </c>
      <c r="L55" s="212">
        <f>4580.77168370771*(Fak_3)</f>
        <v>45.807716837077095</v>
      </c>
      <c r="M55" s="212">
        <f>2154.35145030613*(Fak_3)</f>
        <v>21.543514503061303</v>
      </c>
      <c r="N55" s="212">
        <f>855.730195458513*(Fak_3)</f>
        <v>8.5573019545851299</v>
      </c>
      <c r="O55" s="212">
        <f>88.5172558874323*(Fak_3)</f>
        <v>0.885172558874323</v>
      </c>
      <c r="P55" s="212">
        <f>3947.86639154956*(Fak_3)</f>
        <v>39.478663915495602</v>
      </c>
      <c r="Q55" s="212">
        <f>0*(Fak_3)</f>
        <v>0</v>
      </c>
      <c r="R55" s="212">
        <f>401.719796375211*(Fak_3)</f>
        <v>4.0171979637521096</v>
      </c>
      <c r="S55" s="212">
        <f>15325.8348606833*(Fak_3)</f>
        <v>153.25834860683301</v>
      </c>
      <c r="T55" s="213"/>
      <c r="U55" s="325">
        <f t="shared" si="13"/>
        <v>0.49709310254569294</v>
      </c>
      <c r="V55" s="367"/>
      <c r="X55" s="210"/>
      <c r="AF55" s="410"/>
      <c r="AG55" s="410"/>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v>153.25834860683301</v>
      </c>
      <c r="BD55" s="410">
        <v>76.183667999999997</v>
      </c>
      <c r="BE55" s="410">
        <f t="shared" si="14"/>
        <v>77.074680606833013</v>
      </c>
      <c r="BF55" s="410"/>
      <c r="BG55" s="410"/>
      <c r="BH55" s="410"/>
      <c r="BI55" s="410"/>
      <c r="BJ55" s="410"/>
      <c r="BK55" s="410"/>
      <c r="BL55" s="410"/>
      <c r="BM55" s="410"/>
      <c r="BN55" s="410"/>
      <c r="BO55" s="410"/>
      <c r="BP55" s="415"/>
      <c r="BQ55" s="415"/>
      <c r="BR55" s="410"/>
      <c r="BS55" s="410"/>
      <c r="BT55" s="410"/>
      <c r="BU55" s="410"/>
      <c r="BV55" s="410"/>
      <c r="BW55" s="410"/>
      <c r="BX55" s="410"/>
      <c r="BY55" s="410"/>
      <c r="BZ55" s="410"/>
      <c r="CA55" s="410"/>
      <c r="CB55" s="410"/>
      <c r="CC55" s="410"/>
      <c r="CD55" s="410"/>
    </row>
    <row r="56" spans="2:82" s="144" customFormat="1" ht="24" customHeight="1" x14ac:dyDescent="0.25">
      <c r="B56" s="227"/>
      <c r="C56" s="228"/>
      <c r="D56" s="229"/>
      <c r="E56" s="131"/>
      <c r="F56" s="200"/>
      <c r="G56" s="215"/>
      <c r="H56" s="216"/>
      <c r="I56" s="217" t="s">
        <v>7536</v>
      </c>
      <c r="J56" s="218">
        <f>19304.6783450137*(Fak_3)</f>
        <v>193.04678345013701</v>
      </c>
      <c r="K56" s="218">
        <f>27194.3021455*(Fak_3)</f>
        <v>271.94302145500001</v>
      </c>
      <c r="L56" s="218">
        <f>76553.1781560008*(Fak_3)</f>
        <v>765.53178156000797</v>
      </c>
      <c r="M56" s="218">
        <f>52903.2979808713*(Fak_3)</f>
        <v>529.03297980871298</v>
      </c>
      <c r="N56" s="218">
        <f>12529.6074520537*(Fak_3)</f>
        <v>125.296074520537</v>
      </c>
      <c r="O56" s="218">
        <f>47745.8579462583*(Fak_3)</f>
        <v>477.45857946258303</v>
      </c>
      <c r="P56" s="218">
        <f>19171.6442595607*(Fak_3)</f>
        <v>191.71644259560702</v>
      </c>
      <c r="Q56" s="218">
        <f>9445.83939163733*(Fak_3)</f>
        <v>94.458393916373296</v>
      </c>
      <c r="R56" s="218">
        <f>14527.3688674689*(Fak_3)</f>
        <v>145.273688674689</v>
      </c>
      <c r="S56" s="218">
        <f>279375.774544365*(Fak_3)</f>
        <v>2793.75774544365</v>
      </c>
      <c r="T56" s="323"/>
      <c r="U56" s="324">
        <f t="shared" si="13"/>
        <v>0.47352572969419021</v>
      </c>
      <c r="V56" s="367"/>
      <c r="X56" s="210"/>
      <c r="AF56" s="410"/>
      <c r="AG56" s="410"/>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v>2793.75774544365</v>
      </c>
      <c r="BD56" s="410">
        <v>1322.9161750000001</v>
      </c>
      <c r="BE56" s="410">
        <f t="shared" si="14"/>
        <v>1470.84157044365</v>
      </c>
      <c r="BF56" s="410"/>
      <c r="BG56" s="410"/>
      <c r="BH56" s="410"/>
      <c r="BI56" s="410"/>
      <c r="BJ56" s="410"/>
      <c r="BK56" s="410"/>
      <c r="BL56" s="410"/>
      <c r="BM56" s="410"/>
      <c r="BN56" s="410"/>
      <c r="BO56" s="410"/>
      <c r="BP56" s="415"/>
      <c r="BQ56" s="415"/>
      <c r="BR56" s="410"/>
      <c r="BS56" s="410"/>
      <c r="BT56" s="410"/>
      <c r="BU56" s="410"/>
      <c r="BV56" s="410"/>
      <c r="BW56" s="410"/>
      <c r="BX56" s="410"/>
      <c r="BY56" s="410"/>
      <c r="BZ56" s="410"/>
      <c r="CA56" s="410"/>
      <c r="CB56" s="410"/>
      <c r="CC56" s="410"/>
      <c r="CD56" s="410"/>
    </row>
    <row r="57" spans="2:82" s="144" customFormat="1" ht="24" customHeight="1" x14ac:dyDescent="0.25">
      <c r="B57" s="227"/>
      <c r="C57" s="228"/>
      <c r="D57" s="229"/>
      <c r="E57" s="131"/>
      <c r="F57" s="200" t="s">
        <v>7409</v>
      </c>
      <c r="G57" s="215"/>
      <c r="H57" s="216"/>
      <c r="I57" s="217" t="s">
        <v>7537</v>
      </c>
      <c r="J57" s="218">
        <f>1670.36292061449*(Fak_3)</f>
        <v>16.7036292061449</v>
      </c>
      <c r="K57" s="218">
        <f>3730.50823734339*(Fak_3)</f>
        <v>37.305082373433905</v>
      </c>
      <c r="L57" s="218">
        <f>16489.9944866596*(Fak_3)</f>
        <v>164.89994486659603</v>
      </c>
      <c r="M57" s="218">
        <f>15034.5082432707*(Fak_3)</f>
        <v>150.34508243270702</v>
      </c>
      <c r="N57" s="218">
        <f>4947.9144733919*(Fak_3)</f>
        <v>49.479144733919</v>
      </c>
      <c r="O57" s="218">
        <f>17794.3937457331*(Fak_3)</f>
        <v>177.943937457331</v>
      </c>
      <c r="P57" s="218">
        <f>3584.24219689905*(Fak_3)</f>
        <v>35.8424219689905</v>
      </c>
      <c r="Q57" s="218">
        <f>1942.21158974045*(Fak_3)</f>
        <v>19.422115897404503</v>
      </c>
      <c r="R57" s="218">
        <f>724.044774912662*(Fak_3)</f>
        <v>7.2404477491266199</v>
      </c>
      <c r="S57" s="326">
        <f>65918.1806685653*(Fak_3)</f>
        <v>659.18180668565299</v>
      </c>
      <c r="T57" s="327"/>
      <c r="U57" s="328">
        <f t="shared" si="13"/>
        <v>0.44779624681110691</v>
      </c>
      <c r="V57" s="367"/>
      <c r="X57" s="2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v>659.18180668565299</v>
      </c>
      <c r="BD57" s="410">
        <v>295.17913900000002</v>
      </c>
      <c r="BE57" s="410">
        <f t="shared" si="14"/>
        <v>364.00266768565297</v>
      </c>
      <c r="BF57" s="410"/>
      <c r="BG57" s="410"/>
      <c r="BH57" s="410"/>
      <c r="BI57" s="410"/>
      <c r="BJ57" s="410"/>
      <c r="BK57" s="410"/>
      <c r="BL57" s="410"/>
      <c r="BM57" s="410"/>
      <c r="BN57" s="410"/>
      <c r="BO57" s="410"/>
      <c r="BP57" s="415"/>
      <c r="BQ57" s="415"/>
      <c r="BR57" s="410"/>
      <c r="BS57" s="410"/>
      <c r="BT57" s="410"/>
      <c r="BU57" s="410"/>
      <c r="BV57" s="410"/>
      <c r="BW57" s="410"/>
      <c r="BX57" s="410"/>
      <c r="BY57" s="410"/>
      <c r="BZ57" s="410"/>
      <c r="CA57" s="410"/>
      <c r="CB57" s="410"/>
      <c r="CC57" s="410"/>
      <c r="CD57" s="410"/>
    </row>
    <row r="58" spans="2:82" s="144" customFormat="1" ht="24" customHeight="1" x14ac:dyDescent="0.25">
      <c r="B58" s="227"/>
      <c r="C58" s="228"/>
      <c r="D58" s="229"/>
      <c r="E58" s="131"/>
      <c r="F58" s="200" t="s">
        <v>7549</v>
      </c>
      <c r="G58" s="199"/>
      <c r="H58" s="200"/>
      <c r="I58" s="217" t="s">
        <v>7538</v>
      </c>
      <c r="J58" s="218">
        <f>2835.6546699071*(Fak_3)</f>
        <v>28.356546699071</v>
      </c>
      <c r="K58" s="218">
        <f>3053.17908714739*(Fak_3)</f>
        <v>30.531790871473902</v>
      </c>
      <c r="L58" s="218">
        <f>8947.795187537*(Fak_3)</f>
        <v>89.477951875369996</v>
      </c>
      <c r="M58" s="218">
        <f>5222.07228994276*(Fak_3)</f>
        <v>52.220722899427599</v>
      </c>
      <c r="N58" s="218">
        <f>2135.74935825847*(Fak_3)</f>
        <v>21.357493582584699</v>
      </c>
      <c r="O58" s="218">
        <f>4935.03695406732*(Fak_3)</f>
        <v>49.350369540673199</v>
      </c>
      <c r="P58" s="218">
        <f>1485.88275646375*(Fak_3)</f>
        <v>14.858827564637499</v>
      </c>
      <c r="Q58" s="218">
        <f>883.560476630527*(Fak_3)</f>
        <v>8.8356047663052699</v>
      </c>
      <c r="R58" s="218">
        <f>3525.58009731803*(Fak_3)</f>
        <v>35.2558009731803</v>
      </c>
      <c r="S58" s="326">
        <f>33024.5108772723*(Fak_3)</f>
        <v>330.24510877272303</v>
      </c>
      <c r="T58" s="327"/>
      <c r="U58" s="328">
        <f t="shared" si="13"/>
        <v>0.16709269428718873</v>
      </c>
      <c r="V58" s="367"/>
      <c r="X58" s="2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v>330.24510877272303</v>
      </c>
      <c r="BD58" s="410">
        <v>55.181545</v>
      </c>
      <c r="BE58" s="410">
        <f t="shared" si="14"/>
        <v>275.063563772723</v>
      </c>
      <c r="BF58" s="410"/>
      <c r="BG58" s="410"/>
      <c r="BH58" s="410"/>
      <c r="BI58" s="410"/>
      <c r="BJ58" s="410"/>
      <c r="BK58" s="410"/>
      <c r="BL58" s="410"/>
      <c r="BM58" s="410"/>
      <c r="BN58" s="410"/>
      <c r="BO58" s="410"/>
      <c r="BP58" s="415"/>
      <c r="BQ58" s="415"/>
      <c r="BR58" s="410"/>
      <c r="BS58" s="410"/>
      <c r="BT58" s="410"/>
      <c r="BU58" s="410"/>
      <c r="BV58" s="410"/>
      <c r="BW58" s="410"/>
      <c r="BX58" s="410"/>
      <c r="BY58" s="410"/>
      <c r="BZ58" s="410"/>
      <c r="CA58" s="410"/>
      <c r="CB58" s="410"/>
      <c r="CC58" s="410"/>
      <c r="CD58" s="410"/>
    </row>
    <row r="59" spans="2:82" s="144" customFormat="1" ht="24" customHeight="1" x14ac:dyDescent="0.25">
      <c r="B59" s="227"/>
      <c r="C59" s="228"/>
      <c r="D59" s="229"/>
      <c r="E59" s="131"/>
      <c r="F59" s="200" t="s">
        <v>7519</v>
      </c>
      <c r="G59" s="199"/>
      <c r="H59" s="200"/>
      <c r="I59" s="217" t="s">
        <v>7539</v>
      </c>
      <c r="J59" s="218">
        <f>1003.94104545685*(Fak_3)</f>
        <v>10.0394104545685</v>
      </c>
      <c r="K59" s="218">
        <f>1128.84460529558*(Fak_3)</f>
        <v>11.288446052955802</v>
      </c>
      <c r="L59" s="218">
        <f>5402.89825677476*(Fak_3)</f>
        <v>54.028982567747597</v>
      </c>
      <c r="M59" s="218">
        <f>1995.76972334594*(Fak_3)</f>
        <v>19.957697233459402</v>
      </c>
      <c r="N59" s="218">
        <f>739.035642016663*(Fak_3)</f>
        <v>7.3903564201666301</v>
      </c>
      <c r="O59" s="218">
        <f>2874.47647995657*(Fak_3)</f>
        <v>28.744764799565701</v>
      </c>
      <c r="P59" s="218">
        <f>863.067771110371*(Fak_3)</f>
        <v>8.6306777111037114</v>
      </c>
      <c r="Q59" s="218">
        <f>320.066725229547*(Fak_3)</f>
        <v>3.20066725229547</v>
      </c>
      <c r="R59" s="218">
        <f>179.891862600652*(Fak_3)</f>
        <v>1.79891862600652</v>
      </c>
      <c r="S59" s="326">
        <f>14507.9921117869*(Fak_3)</f>
        <v>145.07992111786899</v>
      </c>
      <c r="T59" s="327"/>
      <c r="U59" s="328">
        <f t="shared" si="13"/>
        <v>0.11640789345535361</v>
      </c>
      <c r="V59" s="367"/>
      <c r="X59" s="2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v>145.07992111786899</v>
      </c>
      <c r="BD59" s="410">
        <v>16.888448</v>
      </c>
      <c r="BE59" s="410">
        <f t="shared" si="14"/>
        <v>128.19147311786898</v>
      </c>
      <c r="BF59" s="410"/>
      <c r="BG59" s="410"/>
      <c r="BH59" s="410"/>
      <c r="BI59" s="410"/>
      <c r="BJ59" s="410"/>
      <c r="BK59" s="410"/>
      <c r="BL59" s="410"/>
      <c r="BM59" s="410"/>
      <c r="BN59" s="410"/>
      <c r="BO59" s="410"/>
      <c r="BP59" s="415"/>
      <c r="BQ59" s="415"/>
      <c r="BR59" s="410"/>
      <c r="BS59" s="410"/>
      <c r="BT59" s="410"/>
      <c r="BU59" s="410"/>
      <c r="BV59" s="410"/>
      <c r="BW59" s="410"/>
      <c r="BX59" s="410"/>
      <c r="BY59" s="410"/>
      <c r="BZ59" s="410"/>
      <c r="CA59" s="410"/>
      <c r="CB59" s="410"/>
      <c r="CC59" s="410"/>
      <c r="CD59" s="410"/>
    </row>
    <row r="60" spans="2:82" s="208" customFormat="1" ht="24" customHeight="1" x14ac:dyDescent="0.25">
      <c r="B60" s="240"/>
      <c r="C60" s="230"/>
      <c r="D60" s="241"/>
      <c r="E60" s="183"/>
      <c r="F60" s="202" t="s">
        <v>7416</v>
      </c>
      <c r="G60" s="203"/>
      <c r="H60" s="201"/>
      <c r="I60" s="204" t="s">
        <v>7533</v>
      </c>
      <c r="J60" s="205">
        <f t="shared" ref="J60:S60" si="15">+SUM(J51,J56,J57,J58,J59)</f>
        <v>378.1417690254674</v>
      </c>
      <c r="K60" s="205">
        <f t="shared" si="15"/>
        <v>504.94099137577064</v>
      </c>
      <c r="L60" s="205">
        <f t="shared" si="15"/>
        <v>1630.1066637541378</v>
      </c>
      <c r="M60" s="205">
        <f t="shared" si="15"/>
        <v>1060.0249565052879</v>
      </c>
      <c r="N60" s="205">
        <f t="shared" si="15"/>
        <v>292.01159124891859</v>
      </c>
      <c r="O60" s="205">
        <f t="shared" si="15"/>
        <v>1007.678164679334</v>
      </c>
      <c r="P60" s="205">
        <f t="shared" si="15"/>
        <v>364.28369442658476</v>
      </c>
      <c r="Q60" s="205">
        <f t="shared" si="15"/>
        <v>165.74632564795672</v>
      </c>
      <c r="R60" s="205">
        <f t="shared" si="15"/>
        <v>245.02127377904785</v>
      </c>
      <c r="S60" s="205">
        <f t="shared" si="15"/>
        <v>5647.9554304425055</v>
      </c>
      <c r="T60" s="206"/>
      <c r="U60" s="220">
        <f t="shared" si="13"/>
        <v>0.52475772773011986</v>
      </c>
      <c r="V60" s="367"/>
      <c r="X60" s="202"/>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v>5647.9554304425055</v>
      </c>
      <c r="BD60" s="416">
        <v>2963.808258</v>
      </c>
      <c r="BE60" s="410">
        <f t="shared" si="14"/>
        <v>2684.1471724425055</v>
      </c>
      <c r="BF60" s="416"/>
      <c r="BG60" s="416"/>
      <c r="BH60" s="416"/>
      <c r="BI60" s="416"/>
      <c r="BJ60" s="416"/>
      <c r="BK60" s="416"/>
      <c r="BL60" s="416"/>
      <c r="BM60" s="416"/>
      <c r="BN60" s="416"/>
      <c r="BO60" s="416"/>
      <c r="BP60" s="417"/>
      <c r="BQ60" s="417"/>
      <c r="BR60" s="416"/>
      <c r="BS60" s="416"/>
      <c r="BT60" s="416"/>
      <c r="BU60" s="416"/>
      <c r="BV60" s="416"/>
      <c r="BW60" s="416"/>
      <c r="BX60" s="416"/>
      <c r="BY60" s="416"/>
      <c r="BZ60" s="416"/>
      <c r="CA60" s="416"/>
      <c r="CB60" s="416"/>
      <c r="CC60" s="416"/>
      <c r="CD60" s="416"/>
    </row>
    <row r="61" spans="2:82" ht="66" customHeight="1" x14ac:dyDescent="0.4">
      <c r="F61" s="365"/>
      <c r="G61" s="365"/>
      <c r="H61" s="365"/>
      <c r="U61" s="138"/>
    </row>
    <row r="62" spans="2:82" ht="22.5" x14ac:dyDescent="0.3">
      <c r="I62" s="369" t="str">
        <f xml:space="preserve"> "Versiegelung " &amp; IF(Versatz = 1, "in "&amp;'Ö Hauptergebnisse'!Einheit, IF(Versatz = 2, "in m² pro Einwohner:in", "in Prozent des Dauersiedlungsraums"))</f>
        <v>Versiegelung in km²</v>
      </c>
      <c r="J62" s="369"/>
      <c r="K62" s="369"/>
      <c r="L62" s="369"/>
      <c r="M62" s="369"/>
      <c r="N62" s="369"/>
      <c r="O62" s="369"/>
      <c r="P62" s="369"/>
      <c r="Q62" s="369"/>
      <c r="R62" s="369"/>
      <c r="S62" s="369"/>
      <c r="T62" s="369"/>
      <c r="U62" s="369"/>
    </row>
    <row r="63" spans="2:82" ht="33" customHeight="1" x14ac:dyDescent="0.4">
      <c r="B63" s="247"/>
      <c r="C63" s="233"/>
      <c r="D63" s="248"/>
      <c r="E63" s="249"/>
      <c r="F63" s="147"/>
      <c r="G63" s="250"/>
      <c r="H63" s="147"/>
      <c r="I63" s="152"/>
      <c r="J63" s="251" t="s">
        <v>144</v>
      </c>
      <c r="K63" s="251" t="s">
        <v>145</v>
      </c>
      <c r="L63" s="251" t="s">
        <v>7355</v>
      </c>
      <c r="M63" s="251" t="s">
        <v>7354</v>
      </c>
      <c r="N63" s="251" t="s">
        <v>146</v>
      </c>
      <c r="O63" s="251" t="s">
        <v>150</v>
      </c>
      <c r="P63" s="251" t="s">
        <v>147</v>
      </c>
      <c r="Q63" s="251" t="s">
        <v>148</v>
      </c>
      <c r="R63" s="251" t="s">
        <v>149</v>
      </c>
      <c r="S63" s="251" t="s">
        <v>7414</v>
      </c>
      <c r="T63" s="252"/>
      <c r="U63" s="151"/>
      <c r="V63" s="147"/>
    </row>
    <row r="64" spans="2:82" s="144" customFormat="1" ht="24" customHeight="1" x14ac:dyDescent="0.25">
      <c r="B64" s="227"/>
      <c r="C64" s="228"/>
      <c r="D64" s="229"/>
      <c r="E64" s="131"/>
      <c r="F64" s="198" t="s">
        <v>25</v>
      </c>
      <c r="G64" s="196">
        <v>101</v>
      </c>
      <c r="H64" s="148" t="str">
        <f>+VLOOKUP($G64,Konstanten!$A$2:$B$15,2,FALSE)</f>
        <v>Autobahn u. Schnellstraße</v>
      </c>
      <c r="I64" s="148"/>
      <c r="J64" s="212">
        <f>406.5919*(Fak_3)</f>
        <v>4.0659190000000001</v>
      </c>
      <c r="K64" s="212">
        <f>719.7017*(Fak_3)</f>
        <v>7.1970169999999998</v>
      </c>
      <c r="L64" s="212">
        <f>2035.361*(Fak_3)</f>
        <v>20.35361</v>
      </c>
      <c r="M64" s="212">
        <f>1001.0672*(Fak_3)</f>
        <v>10.010672</v>
      </c>
      <c r="N64" s="212">
        <f>431.4699*(Fak_3)</f>
        <v>4.3146990000000001</v>
      </c>
      <c r="O64" s="212">
        <f>1315.5209*(Fak_3)</f>
        <v>13.155208999999999</v>
      </c>
      <c r="P64" s="212">
        <f>561.1012*(Fak_3)</f>
        <v>5.6110119999999997</v>
      </c>
      <c r="Q64" s="212">
        <f>197.6882*(Fak_3)</f>
        <v>1.976882</v>
      </c>
      <c r="R64" s="212">
        <f>234.8737*(Fak_3)</f>
        <v>2.3487370000000003</v>
      </c>
      <c r="S64" s="212">
        <f>6903.3757*(Fak_3)</f>
        <v>69.033756999999994</v>
      </c>
      <c r="T64" s="213"/>
      <c r="U64" s="219"/>
      <c r="V64" s="210"/>
      <c r="AF64" s="410"/>
      <c r="AG64" s="410"/>
      <c r="AH64" s="410"/>
      <c r="AI64" s="410"/>
      <c r="AJ64" s="410"/>
      <c r="AK64" s="410"/>
      <c r="AL64" s="410"/>
      <c r="AM64" s="410"/>
      <c r="AN64" s="410"/>
      <c r="AO64" s="410"/>
      <c r="AP64" s="410"/>
      <c r="AQ64" s="410"/>
      <c r="AR64" s="410"/>
      <c r="AS64" s="410"/>
      <c r="AT64" s="410"/>
      <c r="AU64" s="410"/>
      <c r="AV64" s="410"/>
      <c r="AW64" s="410"/>
      <c r="AX64" s="410"/>
      <c r="AY64" s="410"/>
      <c r="AZ64" s="410"/>
      <c r="BA64" s="410"/>
      <c r="BB64" s="410"/>
      <c r="BC64" s="410"/>
      <c r="BD64" s="410"/>
      <c r="BE64" s="410"/>
      <c r="BF64" s="410"/>
      <c r="BG64" s="410"/>
      <c r="BH64" s="410"/>
      <c r="BI64" s="410"/>
      <c r="BJ64" s="410"/>
      <c r="BK64" s="410"/>
      <c r="BL64" s="410"/>
      <c r="BM64" s="410"/>
      <c r="BN64" s="410"/>
      <c r="BO64" s="410"/>
      <c r="BP64" s="410"/>
      <c r="BQ64" s="410"/>
      <c r="BR64" s="410"/>
      <c r="BS64" s="410"/>
      <c r="BT64" s="410"/>
      <c r="BU64" s="410"/>
      <c r="BV64" s="410"/>
      <c r="BW64" s="410"/>
      <c r="BX64" s="410"/>
      <c r="BY64" s="410"/>
      <c r="BZ64" s="410"/>
      <c r="CA64" s="410"/>
      <c r="CB64" s="410"/>
      <c r="CC64" s="410"/>
      <c r="CD64" s="410"/>
    </row>
    <row r="65" spans="2:82" s="144" customFormat="1" ht="24" customHeight="1" x14ac:dyDescent="0.25">
      <c r="B65" s="227"/>
      <c r="C65" s="228"/>
      <c r="D65" s="229"/>
      <c r="E65" s="131"/>
      <c r="F65" s="198"/>
      <c r="G65" s="196">
        <v>102</v>
      </c>
      <c r="H65" s="148" t="str">
        <f>+VLOOKUP($G65,Konstanten!$A$2:$B$15,2,FALSE)</f>
        <v>Landesstraße B + L</v>
      </c>
      <c r="I65" s="148"/>
      <c r="J65" s="212">
        <f>1640.596*(Fak_3)</f>
        <v>16.40596</v>
      </c>
      <c r="K65" s="212">
        <f>2492.3983*(Fak_3)</f>
        <v>24.923983</v>
      </c>
      <c r="L65" s="212">
        <f>13221.1531*(Fak_3)</f>
        <v>132.21153100000001</v>
      </c>
      <c r="M65" s="212">
        <f>5096.1209*(Fak_3)</f>
        <v>50.961208999999997</v>
      </c>
      <c r="N65" s="212">
        <f>1335.7725*(Fak_3)</f>
        <v>13.357725</v>
      </c>
      <c r="O65" s="212">
        <f>4570.1236*(Fak_3)</f>
        <v>45.701236000000002</v>
      </c>
      <c r="P65" s="212">
        <f>2047.0886*(Fak_3)</f>
        <v>20.470886</v>
      </c>
      <c r="Q65" s="212">
        <f>730.8427*(Fak_3)</f>
        <v>7.3084270000000009</v>
      </c>
      <c r="R65" s="212">
        <f>1035.8567*(Fak_3)</f>
        <v>10.358567000000001</v>
      </c>
      <c r="S65" s="212">
        <f>32169.9524*(Fak_3)</f>
        <v>321.699524</v>
      </c>
      <c r="T65" s="213"/>
      <c r="U65" s="219"/>
      <c r="V65" s="210"/>
      <c r="AF65" s="410"/>
      <c r="AG65" s="410"/>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c r="BI65" s="410"/>
      <c r="BJ65" s="410"/>
      <c r="BK65" s="410"/>
      <c r="BL65" s="410"/>
      <c r="BM65" s="410"/>
      <c r="BN65" s="410"/>
      <c r="BO65" s="410"/>
      <c r="BP65" s="410"/>
      <c r="BQ65" s="410"/>
      <c r="BR65" s="410"/>
      <c r="BS65" s="410"/>
      <c r="BT65" s="410"/>
      <c r="BU65" s="410"/>
      <c r="BV65" s="410"/>
      <c r="BW65" s="410"/>
      <c r="BX65" s="410"/>
      <c r="BY65" s="410"/>
      <c r="BZ65" s="410"/>
      <c r="CA65" s="410"/>
      <c r="CB65" s="410"/>
      <c r="CC65" s="410"/>
      <c r="CD65" s="410"/>
    </row>
    <row r="66" spans="2:82" s="144" customFormat="1" ht="24" customHeight="1" x14ac:dyDescent="0.25">
      <c r="B66" s="227"/>
      <c r="C66" s="228"/>
      <c r="D66" s="229"/>
      <c r="E66" s="131"/>
      <c r="F66" s="198"/>
      <c r="G66" s="196">
        <v>103</v>
      </c>
      <c r="H66" s="148" t="str">
        <f>+VLOOKUP($G66,Konstanten!$A$2:$B$15,2,FALSE)</f>
        <v>Gemeinde- und sonstige Straßen</v>
      </c>
      <c r="I66" s="148"/>
      <c r="J66" s="212">
        <f>6566.4478*(Fak_3)</f>
        <v>65.664478000000003</v>
      </c>
      <c r="K66" s="212">
        <f>7405.3193*(Fak_3)</f>
        <v>74.053193000000007</v>
      </c>
      <c r="L66" s="212">
        <f>23358.5061*(Fak_3)</f>
        <v>233.585061</v>
      </c>
      <c r="M66" s="212">
        <f>16387.0721*(Fak_3)</f>
        <v>163.870721</v>
      </c>
      <c r="N66" s="212">
        <f>4546.8091*(Fak_3)</f>
        <v>45.468091000000008</v>
      </c>
      <c r="O66" s="212">
        <f>12405.2237*(Fak_3)</f>
        <v>124.05223700000001</v>
      </c>
      <c r="P66" s="212">
        <f>5986.2425*(Fak_3)</f>
        <v>59.862425000000002</v>
      </c>
      <c r="Q66" s="212">
        <f>2284.9801*(Fak_3)</f>
        <v>22.849801000000003</v>
      </c>
      <c r="R66" s="212">
        <f>2896.9037*(Fak_3)</f>
        <v>28.969037</v>
      </c>
      <c r="S66" s="212">
        <f>81837.5044*(Fak_3)</f>
        <v>818.37504400000012</v>
      </c>
      <c r="T66" s="213"/>
      <c r="U66" s="219"/>
      <c r="V66" s="2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c r="BM66" s="410"/>
      <c r="BN66" s="410"/>
      <c r="BO66" s="410"/>
      <c r="BP66" s="410"/>
      <c r="BQ66" s="410"/>
      <c r="BR66" s="410"/>
      <c r="BS66" s="410"/>
      <c r="BT66" s="410"/>
      <c r="BU66" s="410"/>
      <c r="BV66" s="410"/>
      <c r="BW66" s="410"/>
      <c r="BX66" s="410"/>
      <c r="BY66" s="410"/>
      <c r="BZ66" s="410"/>
      <c r="CA66" s="410"/>
      <c r="CB66" s="410"/>
      <c r="CC66" s="410"/>
      <c r="CD66" s="410"/>
    </row>
    <row r="67" spans="2:82" s="144" customFormat="1" ht="24" customHeight="1" x14ac:dyDescent="0.25">
      <c r="B67" s="227"/>
      <c r="C67" s="228"/>
      <c r="D67" s="229"/>
      <c r="E67" s="131"/>
      <c r="F67" s="198"/>
      <c r="G67" s="196">
        <v>104</v>
      </c>
      <c r="H67" s="148" t="str">
        <f>+VLOOKUP($G67,Konstanten!$A$2:$B$15,2,FALSE)</f>
        <v>Schiene</v>
      </c>
      <c r="I67" s="148"/>
      <c r="J67" s="212">
        <f>177.4378*(Fak_3)</f>
        <v>1.7743780000000002</v>
      </c>
      <c r="K67" s="212">
        <f>556.4314*(Fak_3)</f>
        <v>5.5643140000000004</v>
      </c>
      <c r="L67" s="212">
        <f>2023.8426*(Fak_3)</f>
        <v>20.238426</v>
      </c>
      <c r="M67" s="212">
        <f>1075.9378*(Fak_3)</f>
        <v>10.759378</v>
      </c>
      <c r="N67" s="212">
        <f>428.9361*(Fak_3)</f>
        <v>4.2893610000000004</v>
      </c>
      <c r="O67" s="212">
        <f>961.9731*(Fak_3)</f>
        <v>9.6197309999999998</v>
      </c>
      <c r="P67" s="212">
        <f>487.0177*(Fak_3)</f>
        <v>4.870177</v>
      </c>
      <c r="Q67" s="212">
        <f>171.7653*(Fak_3)</f>
        <v>1.7176530000000001</v>
      </c>
      <c r="R67" s="212">
        <f>570.1208*(Fak_3)</f>
        <v>5.7012080000000003</v>
      </c>
      <c r="S67" s="212">
        <f>6453.4626*(Fak_3)</f>
        <v>64.534626000000003</v>
      </c>
      <c r="T67" s="213"/>
      <c r="U67" s="219"/>
      <c r="V67" s="2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0"/>
      <c r="BK67" s="410"/>
      <c r="BL67" s="410"/>
      <c r="BM67" s="410"/>
      <c r="BN67" s="410"/>
      <c r="BO67" s="410"/>
      <c r="BP67" s="410"/>
      <c r="BQ67" s="410"/>
      <c r="BR67" s="410"/>
      <c r="BS67" s="410"/>
      <c r="BT67" s="410"/>
      <c r="BU67" s="410"/>
      <c r="BV67" s="410"/>
      <c r="BW67" s="410"/>
      <c r="BX67" s="410"/>
      <c r="BY67" s="410"/>
      <c r="BZ67" s="410"/>
      <c r="CA67" s="410"/>
      <c r="CB67" s="410"/>
      <c r="CC67" s="410"/>
      <c r="CD67" s="410"/>
    </row>
    <row r="68" spans="2:82" s="144" customFormat="1" ht="24" customHeight="1" x14ac:dyDescent="0.25">
      <c r="B68" s="227"/>
      <c r="C68" s="228"/>
      <c r="D68" s="229"/>
      <c r="E68" s="131"/>
      <c r="F68" s="200"/>
      <c r="G68" s="215"/>
      <c r="H68" s="216"/>
      <c r="I68" s="217" t="s">
        <v>7535</v>
      </c>
      <c r="J68" s="218">
        <f>8791.0735*(Fak_3)</f>
        <v>87.910735000000003</v>
      </c>
      <c r="K68" s="218">
        <f>11173.8507*(Fak_3)</f>
        <v>111.73850700000001</v>
      </c>
      <c r="L68" s="218">
        <f>40638.8628*(Fak_3)</f>
        <v>406.38862800000004</v>
      </c>
      <c r="M68" s="218">
        <f>23560.198*(Fak_3)</f>
        <v>235.60198</v>
      </c>
      <c r="N68" s="218">
        <f>6742.9876*(Fak_3)</f>
        <v>67.429876000000007</v>
      </c>
      <c r="O68" s="218">
        <f>19252.8413*(Fak_3)</f>
        <v>192.528413</v>
      </c>
      <c r="P68" s="218">
        <f>9081.45*(Fak_3)</f>
        <v>90.81450000000001</v>
      </c>
      <c r="Q68" s="218">
        <f>3385.2763*(Fak_3)</f>
        <v>33.852763000000003</v>
      </c>
      <c r="R68" s="218">
        <f>4737.7549*(Fak_3)</f>
        <v>47.377549000000002</v>
      </c>
      <c r="S68" s="218">
        <f>127364.2951*(Fak_3)</f>
        <v>1273.642951</v>
      </c>
      <c r="T68" s="213"/>
      <c r="U68" s="219"/>
      <c r="V68" s="2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10"/>
      <c r="BR68" s="410"/>
      <c r="BS68" s="410"/>
      <c r="BT68" s="410"/>
      <c r="BU68" s="410"/>
      <c r="BV68" s="410"/>
      <c r="BW68" s="410"/>
      <c r="BX68" s="410"/>
      <c r="BY68" s="410"/>
      <c r="BZ68" s="410"/>
      <c r="CA68" s="410"/>
      <c r="CB68" s="410"/>
      <c r="CC68" s="410"/>
      <c r="CD68" s="410"/>
    </row>
    <row r="69" spans="2:82" s="144" customFormat="1" ht="24" customHeight="1" x14ac:dyDescent="0.25">
      <c r="B69" s="227"/>
      <c r="C69" s="228"/>
      <c r="D69" s="229"/>
      <c r="E69" s="131"/>
      <c r="F69" s="198" t="s">
        <v>7410</v>
      </c>
      <c r="G69" s="197">
        <v>211</v>
      </c>
      <c r="H69" s="148" t="str">
        <f>+VLOOKUP($G69,Konstanten!$A$2:$B$15,2,FALSE)</f>
        <v>Wohnnutzung</v>
      </c>
      <c r="I69" s="148"/>
      <c r="J69" s="212">
        <f>2218.0008*(Fak_3)</f>
        <v>22.180007999999997</v>
      </c>
      <c r="K69" s="212">
        <f>7175.1678*(Fak_3)</f>
        <v>71.751677999999998</v>
      </c>
      <c r="L69" s="212">
        <f>0.0022*(Fak_3)</f>
        <v>2.2000000000000003E-5</v>
      </c>
      <c r="M69" s="212">
        <f>10187.4501*(Fak_3)</f>
        <v>101.87450100000001</v>
      </c>
      <c r="N69" s="212">
        <f>3571.9182*(Fak_3)</f>
        <v>35.719182000000004</v>
      </c>
      <c r="O69" s="212">
        <f>8942.2909*(Fak_3)</f>
        <v>89.422909000000004</v>
      </c>
      <c r="P69" s="212">
        <f>4157.9861*(Fak_3)</f>
        <v>41.579861000000001</v>
      </c>
      <c r="Q69" s="212">
        <f>2279.145*(Fak_3)</f>
        <v>22.791450000000001</v>
      </c>
      <c r="R69" s="212">
        <f>5189.9323*(Fak_3)</f>
        <v>51.899323000000003</v>
      </c>
      <c r="S69" s="212">
        <f>43721.8934*(Fak_3)</f>
        <v>437.21893399999999</v>
      </c>
      <c r="T69" s="213"/>
      <c r="U69" s="219"/>
      <c r="V69" s="210"/>
      <c r="AF69" s="410"/>
      <c r="AG69" s="410"/>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c r="BI69" s="410"/>
      <c r="BJ69" s="410"/>
      <c r="BK69" s="410"/>
      <c r="BL69" s="410"/>
      <c r="BM69" s="410"/>
      <c r="BN69" s="410"/>
      <c r="BO69" s="410"/>
      <c r="BP69" s="410"/>
      <c r="BQ69" s="410"/>
      <c r="BR69" s="410"/>
      <c r="BS69" s="410"/>
      <c r="BT69" s="410"/>
      <c r="BU69" s="410"/>
      <c r="BV69" s="410"/>
      <c r="BW69" s="410"/>
      <c r="BX69" s="410"/>
      <c r="BY69" s="410"/>
      <c r="BZ69" s="410"/>
      <c r="CA69" s="410"/>
      <c r="CB69" s="410"/>
      <c r="CC69" s="410"/>
      <c r="CD69" s="410"/>
    </row>
    <row r="70" spans="2:82" s="144" customFormat="1" ht="24" customHeight="1" x14ac:dyDescent="0.25">
      <c r="B70" s="227"/>
      <c r="C70" s="228"/>
      <c r="D70" s="229"/>
      <c r="E70" s="131"/>
      <c r="F70" s="198"/>
      <c r="G70" s="197">
        <v>212</v>
      </c>
      <c r="H70" s="148" t="str">
        <f>+VLOOKUP($G70,Konstanten!$A$2:$B$15,2,FALSE)</f>
        <v>gemischte bauliche Nutzung</v>
      </c>
      <c r="I70" s="148"/>
      <c r="J70" s="212">
        <f>4410.3739*(Fak_3)</f>
        <v>44.103738999999997</v>
      </c>
      <c r="K70" s="212">
        <f>382.0592*(Fak_3)</f>
        <v>3.820592</v>
      </c>
      <c r="L70" s="212">
        <f>26093.2224*(Fak_3)</f>
        <v>260.93222400000002</v>
      </c>
      <c r="M70" s="212">
        <f>6687.945*(Fak_3)</f>
        <v>66.879449999999991</v>
      </c>
      <c r="N70" s="212">
        <f>1277.5015*(Fak_3)</f>
        <v>12.775015000000002</v>
      </c>
      <c r="O70" s="212">
        <f>5593.7096*(Fak_3)</f>
        <v>55.937096000000004</v>
      </c>
      <c r="P70" s="212">
        <f>3083.5686*(Fak_3)</f>
        <v>30.835686000000003</v>
      </c>
      <c r="Q70" s="212">
        <f>1732.5781*(Fak_3)</f>
        <v>17.325780999999999</v>
      </c>
      <c r="R70" s="212">
        <f>2076.464*(Fak_3)</f>
        <v>20.76464</v>
      </c>
      <c r="S70" s="212">
        <f>51337.4223*(Fak_3)</f>
        <v>513.37422300000003</v>
      </c>
      <c r="T70" s="213"/>
      <c r="U70" s="219"/>
      <c r="V70" s="210"/>
      <c r="AF70" s="410"/>
      <c r="AG70" s="410"/>
      <c r="AH70" s="410"/>
      <c r="AI70" s="410"/>
      <c r="AJ70" s="410"/>
      <c r="AK70" s="410"/>
      <c r="AL70" s="410"/>
      <c r="AM70" s="410"/>
      <c r="AN70" s="410"/>
      <c r="AO70" s="410"/>
      <c r="AP70" s="410"/>
      <c r="AQ70" s="410"/>
      <c r="AR70" s="410"/>
      <c r="AS70" s="410"/>
      <c r="AT70" s="410"/>
      <c r="AU70" s="410"/>
      <c r="AV70" s="410"/>
      <c r="AW70" s="410"/>
      <c r="AX70" s="410"/>
      <c r="AY70" s="410"/>
      <c r="AZ70" s="410"/>
      <c r="BA70" s="410"/>
      <c r="BB70" s="410"/>
      <c r="BC70" s="410"/>
      <c r="BD70" s="410"/>
      <c r="BE70" s="410"/>
      <c r="BF70" s="410"/>
      <c r="BG70" s="410"/>
      <c r="BH70" s="410"/>
      <c r="BI70" s="410"/>
      <c r="BJ70" s="410"/>
      <c r="BK70" s="410"/>
      <c r="BL70" s="410"/>
      <c r="BM70" s="410"/>
      <c r="BN70" s="410"/>
      <c r="BO70" s="410"/>
      <c r="BP70" s="410"/>
      <c r="BQ70" s="410"/>
      <c r="BR70" s="410"/>
      <c r="BS70" s="410"/>
      <c r="BT70" s="410"/>
      <c r="BU70" s="410"/>
      <c r="BV70" s="410"/>
      <c r="BW70" s="410"/>
      <c r="BX70" s="410"/>
      <c r="BY70" s="410"/>
      <c r="BZ70" s="410"/>
      <c r="CA70" s="410"/>
      <c r="CB70" s="410"/>
      <c r="CC70" s="410"/>
      <c r="CD70" s="410"/>
    </row>
    <row r="71" spans="2:82" s="144" customFormat="1" ht="24" customHeight="1" x14ac:dyDescent="0.25">
      <c r="B71" s="227"/>
      <c r="C71" s="228"/>
      <c r="D71" s="229"/>
      <c r="E71" s="131"/>
      <c r="F71" s="198"/>
      <c r="G71" s="197">
        <v>213</v>
      </c>
      <c r="H71" s="148" t="str">
        <f>+VLOOKUP($G71,Konstanten!$A$2:$B$15,2,FALSE)</f>
        <v>betriebliche Nutzung</v>
      </c>
      <c r="I71" s="148"/>
      <c r="J71" s="212">
        <f>932.7744*(Fak_3)</f>
        <v>9.3277440000000009</v>
      </c>
      <c r="K71" s="212">
        <f>2757.7585*(Fak_3)</f>
        <v>27.577584999999999</v>
      </c>
      <c r="L71" s="212">
        <f>7879.0192*(Fak_3)</f>
        <v>78.790192000000005</v>
      </c>
      <c r="M71" s="212">
        <f>7232.9284*(Fak_3)</f>
        <v>72.329284000000001</v>
      </c>
      <c r="N71" s="212">
        <f>1816.9077*(Fak_3)</f>
        <v>18.169077000000001</v>
      </c>
      <c r="O71" s="212">
        <f>4958.6441*(Fak_3)</f>
        <v>49.586441000000008</v>
      </c>
      <c r="P71" s="212">
        <f>1375.9655*(Fak_3)</f>
        <v>13.759655</v>
      </c>
      <c r="Q71" s="212">
        <f>961.8285*(Fak_3)</f>
        <v>9.6182850000000002</v>
      </c>
      <c r="R71" s="212">
        <f>1698.1087*(Fak_3)</f>
        <v>16.981086999999999</v>
      </c>
      <c r="S71" s="212">
        <f>29613.935*(Fak_3)</f>
        <v>296.13935000000004</v>
      </c>
      <c r="T71" s="213"/>
      <c r="U71" s="219"/>
      <c r="V71" s="210"/>
      <c r="AF71" s="410"/>
      <c r="AG71" s="410"/>
      <c r="AH71" s="410"/>
      <c r="AI71" s="410"/>
      <c r="AJ71" s="410"/>
      <c r="AK71" s="410"/>
      <c r="AL71" s="410"/>
      <c r="AM71" s="410"/>
      <c r="AN71" s="410"/>
      <c r="AO71" s="410"/>
      <c r="AP71" s="410"/>
      <c r="AQ71" s="410"/>
      <c r="AR71" s="410"/>
      <c r="AS71" s="410"/>
      <c r="AT71" s="410"/>
      <c r="AU71" s="410"/>
      <c r="AV71" s="410"/>
      <c r="AW71" s="410"/>
      <c r="AX71" s="410"/>
      <c r="AY71" s="410"/>
      <c r="AZ71" s="410"/>
      <c r="BA71" s="410"/>
      <c r="BB71" s="410"/>
      <c r="BC71" s="410"/>
      <c r="BD71" s="410"/>
      <c r="BE71" s="410"/>
      <c r="BF71" s="410"/>
      <c r="BG71" s="410"/>
      <c r="BH71" s="410"/>
      <c r="BI71" s="410"/>
      <c r="BJ71" s="410"/>
      <c r="BK71" s="410"/>
      <c r="BL71" s="410"/>
      <c r="BM71" s="410"/>
      <c r="BN71" s="410"/>
      <c r="BO71" s="410"/>
      <c r="BP71" s="410"/>
      <c r="BQ71" s="410"/>
      <c r="BR71" s="410"/>
      <c r="BS71" s="410"/>
      <c r="BT71" s="410"/>
      <c r="BU71" s="410"/>
      <c r="BV71" s="410"/>
      <c r="BW71" s="410"/>
      <c r="BX71" s="410"/>
      <c r="BY71" s="410"/>
      <c r="BZ71" s="410"/>
      <c r="CA71" s="410"/>
      <c r="CB71" s="410"/>
      <c r="CC71" s="410"/>
      <c r="CD71" s="410"/>
    </row>
    <row r="72" spans="2:82" s="144" customFormat="1" ht="24" customHeight="1" x14ac:dyDescent="0.25">
      <c r="B72" s="227"/>
      <c r="C72" s="228"/>
      <c r="D72" s="229"/>
      <c r="E72" s="131"/>
      <c r="F72" s="198"/>
      <c r="G72" s="197">
        <v>214</v>
      </c>
      <c r="H72" s="148" t="str">
        <f>+VLOOKUP($G72,Konstanten!$A$2:$B$15,2,FALSE)</f>
        <v>sonstige bauliche Nutzung</v>
      </c>
      <c r="I72" s="148"/>
      <c r="J72" s="212">
        <f>256.4293*(Fak_3)</f>
        <v>2.5642930000000002</v>
      </c>
      <c r="K72" s="212">
        <f>1152.9459*(Fak_3)</f>
        <v>11.529458999999999</v>
      </c>
      <c r="L72" s="212">
        <f>2091.7*(Fak_3)</f>
        <v>20.916999999999998</v>
      </c>
      <c r="M72" s="212">
        <f>1114.8026*(Fak_3)</f>
        <v>11.148026</v>
      </c>
      <c r="N72" s="212">
        <f>475.8418*(Fak_3)</f>
        <v>4.7584179999999998</v>
      </c>
      <c r="O72" s="212">
        <f>32.7254*(Fak_3)</f>
        <v>0.32725399999999999</v>
      </c>
      <c r="P72" s="212">
        <f>2248.4161*(Fak_3)</f>
        <v>22.484161</v>
      </c>
      <c r="Q72" s="212">
        <f>0*(Fak_3)</f>
        <v>0</v>
      </c>
      <c r="R72" s="212">
        <f>245.5057*(Fak_3)</f>
        <v>2.455057</v>
      </c>
      <c r="S72" s="212">
        <f>7618.3668*(Fak_3)</f>
        <v>76.183667999999997</v>
      </c>
      <c r="T72" s="213"/>
      <c r="U72" s="219"/>
      <c r="V72" s="210"/>
      <c r="AF72" s="410"/>
      <c r="AG72" s="410"/>
      <c r="AH72" s="410"/>
      <c r="AI72" s="410"/>
      <c r="AJ72" s="410"/>
      <c r="AK72" s="410"/>
      <c r="AL72" s="410"/>
      <c r="AM72" s="410"/>
      <c r="AN72" s="410"/>
      <c r="AO72" s="410"/>
      <c r="AP72" s="410"/>
      <c r="AQ72" s="410"/>
      <c r="AR72" s="410"/>
      <c r="AS72" s="410"/>
      <c r="AT72" s="410"/>
      <c r="AU72" s="410"/>
      <c r="AV72" s="410"/>
      <c r="AW72" s="410"/>
      <c r="AX72" s="410"/>
      <c r="AY72" s="410"/>
      <c r="AZ72" s="410"/>
      <c r="BA72" s="410"/>
      <c r="BB72" s="410"/>
      <c r="BC72" s="410"/>
      <c r="BD72" s="410"/>
      <c r="BE72" s="410"/>
      <c r="BF72" s="410"/>
      <c r="BG72" s="410"/>
      <c r="BH72" s="410"/>
      <c r="BI72" s="410"/>
      <c r="BJ72" s="410"/>
      <c r="BK72" s="410"/>
      <c r="BL72" s="410"/>
      <c r="BM72" s="410"/>
      <c r="BN72" s="410"/>
      <c r="BO72" s="410"/>
      <c r="BP72" s="410"/>
      <c r="BQ72" s="410"/>
      <c r="BR72" s="410"/>
      <c r="BS72" s="410"/>
      <c r="BT72" s="410"/>
      <c r="BU72" s="410"/>
      <c r="BV72" s="410"/>
      <c r="BW72" s="410"/>
      <c r="BX72" s="410"/>
      <c r="BY72" s="410"/>
      <c r="BZ72" s="410"/>
      <c r="CA72" s="410"/>
      <c r="CB72" s="410"/>
      <c r="CC72" s="410"/>
      <c r="CD72" s="410"/>
    </row>
    <row r="73" spans="2:82" s="144" customFormat="1" ht="24" customHeight="1" x14ac:dyDescent="0.25">
      <c r="B73" s="227"/>
      <c r="C73" s="228"/>
      <c r="D73" s="229"/>
      <c r="E73" s="131"/>
      <c r="F73" s="200"/>
      <c r="G73" s="215"/>
      <c r="H73" s="216"/>
      <c r="I73" s="217" t="s">
        <v>7536</v>
      </c>
      <c r="J73" s="218">
        <f>7817.5784*(Fak_3)</f>
        <v>78.175784000000007</v>
      </c>
      <c r="K73" s="218">
        <f>11467.9314*(Fak_3)</f>
        <v>114.67931399999999</v>
      </c>
      <c r="L73" s="218">
        <f>36063.9438*(Fak_3)</f>
        <v>360.63943800000004</v>
      </c>
      <c r="M73" s="218">
        <f>25223.1261*(Fak_3)</f>
        <v>252.23126100000002</v>
      </c>
      <c r="N73" s="218">
        <f>7142.1692*(Fak_3)</f>
        <v>71.421692000000007</v>
      </c>
      <c r="O73" s="218">
        <f>19527.37*(Fak_3)</f>
        <v>195.27369999999999</v>
      </c>
      <c r="P73" s="218">
        <f>10865.9363*(Fak_3)</f>
        <v>108.659363</v>
      </c>
      <c r="Q73" s="218">
        <f>4973.5516*(Fak_3)</f>
        <v>49.735515999999997</v>
      </c>
      <c r="R73" s="218">
        <f>9210.0107*(Fak_3)</f>
        <v>92.100107000000008</v>
      </c>
      <c r="S73" s="218">
        <f>132291.6175*(Fak_3)</f>
        <v>1322.9161750000001</v>
      </c>
      <c r="T73" s="213"/>
      <c r="U73" s="219"/>
      <c r="V73" s="210"/>
      <c r="AF73" s="410"/>
      <c r="AG73" s="410"/>
      <c r="AH73" s="410"/>
      <c r="AI73" s="410"/>
      <c r="AJ73" s="410"/>
      <c r="AK73" s="410"/>
      <c r="AL73" s="410"/>
      <c r="AM73" s="410"/>
      <c r="AN73" s="410"/>
      <c r="AO73" s="410"/>
      <c r="AP73" s="410"/>
      <c r="AQ73" s="410"/>
      <c r="AR73" s="410"/>
      <c r="AS73" s="410"/>
      <c r="AT73" s="410"/>
      <c r="AU73" s="410"/>
      <c r="AV73" s="410"/>
      <c r="AW73" s="410"/>
      <c r="AX73" s="410"/>
      <c r="AY73" s="410"/>
      <c r="AZ73" s="410"/>
      <c r="BA73" s="410"/>
      <c r="BB73" s="410"/>
      <c r="BC73" s="410"/>
      <c r="BD73" s="410"/>
      <c r="BE73" s="410"/>
      <c r="BF73" s="410"/>
      <c r="BG73" s="410"/>
      <c r="BH73" s="410"/>
      <c r="BI73" s="410"/>
      <c r="BJ73" s="410"/>
      <c r="BK73" s="410"/>
      <c r="BL73" s="410"/>
      <c r="BM73" s="410"/>
      <c r="BN73" s="410"/>
      <c r="BO73" s="410"/>
      <c r="BP73" s="410"/>
      <c r="BQ73" s="410"/>
      <c r="BR73" s="410"/>
      <c r="BS73" s="410"/>
      <c r="BT73" s="410"/>
      <c r="BU73" s="410"/>
      <c r="BV73" s="410"/>
      <c r="BW73" s="410"/>
      <c r="BX73" s="410"/>
      <c r="BY73" s="410"/>
      <c r="BZ73" s="410"/>
      <c r="CA73" s="410"/>
      <c r="CB73" s="410"/>
      <c r="CC73" s="410"/>
      <c r="CD73" s="410"/>
    </row>
    <row r="74" spans="2:82" s="144" customFormat="1" ht="24" customHeight="1" x14ac:dyDescent="0.25">
      <c r="B74" s="227"/>
      <c r="C74" s="228"/>
      <c r="D74" s="229"/>
      <c r="E74" s="131"/>
      <c r="F74" s="200" t="s">
        <v>7409</v>
      </c>
      <c r="G74" s="215"/>
      <c r="H74" s="216"/>
      <c r="I74" s="217" t="s">
        <v>7537</v>
      </c>
      <c r="J74" s="218">
        <f>207.1603*(Fak_3)</f>
        <v>2.0716030000000001</v>
      </c>
      <c r="K74" s="218">
        <f>1257.9227*(Fak_3)</f>
        <v>12.579227000000001</v>
      </c>
      <c r="L74" s="218">
        <f>6886.0963*(Fak_3)</f>
        <v>68.860962999999998</v>
      </c>
      <c r="M74" s="218">
        <f>8301.5762*(Fak_3)</f>
        <v>83.015761999999995</v>
      </c>
      <c r="N74" s="218">
        <f>2435.8653*(Fak_3)</f>
        <v>24.358653</v>
      </c>
      <c r="O74" s="218">
        <f>7179.4646*(Fak_3)</f>
        <v>71.794646</v>
      </c>
      <c r="P74" s="218">
        <f>1815.0484*(Fak_3)</f>
        <v>18.150483999999999</v>
      </c>
      <c r="Q74" s="218">
        <f>1045.0095*(Fak_3)</f>
        <v>10.450094999999999</v>
      </c>
      <c r="R74" s="218">
        <f>389.7706*(Fak_3)</f>
        <v>3.8977059999999999</v>
      </c>
      <c r="S74" s="218">
        <f>29517.9139*(Fak_3)</f>
        <v>295.17913900000002</v>
      </c>
      <c r="T74" s="213"/>
      <c r="U74" s="219"/>
      <c r="V74" s="210"/>
      <c r="AF74" s="410"/>
      <c r="AG74" s="410"/>
      <c r="AH74" s="410"/>
      <c r="AI74" s="410"/>
      <c r="AJ74" s="410"/>
      <c r="AK74" s="410"/>
      <c r="AL74" s="410"/>
      <c r="AM74" s="410"/>
      <c r="AN74" s="410"/>
      <c r="AO74" s="410"/>
      <c r="AP74" s="410"/>
      <c r="AQ74" s="410"/>
      <c r="AR74" s="410"/>
      <c r="AS74" s="410"/>
      <c r="AT74" s="410"/>
      <c r="AU74" s="410"/>
      <c r="AV74" s="410"/>
      <c r="AW74" s="410"/>
      <c r="AX74" s="410"/>
      <c r="AY74" s="410"/>
      <c r="AZ74" s="410"/>
      <c r="BA74" s="410"/>
      <c r="BB74" s="410"/>
      <c r="BC74" s="410"/>
      <c r="BD74" s="410"/>
      <c r="BE74" s="410"/>
      <c r="BF74" s="410"/>
      <c r="BG74" s="410"/>
      <c r="BH74" s="410"/>
      <c r="BI74" s="410"/>
      <c r="BJ74" s="410"/>
      <c r="BK74" s="410"/>
      <c r="BL74" s="410"/>
      <c r="BM74" s="410"/>
      <c r="BN74" s="410"/>
      <c r="BO74" s="410"/>
      <c r="BP74" s="410"/>
      <c r="BQ74" s="410"/>
      <c r="BR74" s="410"/>
      <c r="BS74" s="410"/>
      <c r="BT74" s="410"/>
      <c r="BU74" s="410"/>
      <c r="BV74" s="410"/>
      <c r="BW74" s="410"/>
      <c r="BX74" s="410"/>
      <c r="BY74" s="410"/>
      <c r="BZ74" s="410"/>
      <c r="CA74" s="410"/>
      <c r="CB74" s="410"/>
      <c r="CC74" s="410"/>
      <c r="CD74" s="410"/>
    </row>
    <row r="75" spans="2:82" s="144" customFormat="1" ht="24" customHeight="1" x14ac:dyDescent="0.25">
      <c r="B75" s="227"/>
      <c r="C75" s="228"/>
      <c r="D75" s="229"/>
      <c r="E75" s="131"/>
      <c r="F75" s="321" t="s">
        <v>7549</v>
      </c>
      <c r="G75" s="199"/>
      <c r="H75" s="200"/>
      <c r="I75" s="217" t="s">
        <v>7538</v>
      </c>
      <c r="J75" s="218">
        <f>415.8752*(Fak_3)</f>
        <v>4.1587519999999998</v>
      </c>
      <c r="K75" s="218">
        <f>476.6866*(Fak_3)</f>
        <v>4.7668660000000003</v>
      </c>
      <c r="L75" s="218">
        <f>1269.4811*(Fak_3)</f>
        <v>12.694811</v>
      </c>
      <c r="M75" s="218">
        <f>875.7254*(Fak_3)</f>
        <v>8.7572540000000014</v>
      </c>
      <c r="N75" s="218">
        <f>314.6834*(Fak_3)</f>
        <v>3.1468340000000001</v>
      </c>
      <c r="O75" s="218">
        <f>817.2471*(Fak_3)</f>
        <v>8.1724709999999998</v>
      </c>
      <c r="P75" s="218">
        <f>182.7548*(Fak_3)</f>
        <v>1.827548</v>
      </c>
      <c r="Q75" s="218">
        <f>210.2952*(Fak_3)</f>
        <v>2.1029520000000002</v>
      </c>
      <c r="R75" s="218">
        <f>955.4057*(Fak_3)</f>
        <v>9.5540570000000002</v>
      </c>
      <c r="S75" s="218">
        <f>5518.1545*(Fak_3)</f>
        <v>55.181545</v>
      </c>
      <c r="T75" s="213"/>
      <c r="U75" s="219"/>
      <c r="V75" s="210"/>
      <c r="AF75" s="410"/>
      <c r="AG75" s="410"/>
      <c r="AH75" s="410"/>
      <c r="AI75" s="410"/>
      <c r="AJ75" s="410"/>
      <c r="AK75" s="410"/>
      <c r="AL75" s="410"/>
      <c r="AM75" s="410"/>
      <c r="AN75" s="410"/>
      <c r="AO75" s="410"/>
      <c r="AP75" s="410"/>
      <c r="AQ75" s="410"/>
      <c r="AR75" s="410"/>
      <c r="AS75" s="410"/>
      <c r="AT75" s="410"/>
      <c r="AU75" s="410"/>
      <c r="AV75" s="410"/>
      <c r="AW75" s="410"/>
      <c r="AX75" s="410"/>
      <c r="AY75" s="410"/>
      <c r="AZ75" s="410"/>
      <c r="BA75" s="410"/>
      <c r="BB75" s="410"/>
      <c r="BC75" s="410"/>
      <c r="BD75" s="410"/>
      <c r="BE75" s="410"/>
      <c r="BF75" s="410"/>
      <c r="BG75" s="410"/>
      <c r="BH75" s="410"/>
      <c r="BI75" s="410"/>
      <c r="BJ75" s="410"/>
      <c r="BK75" s="410"/>
      <c r="BL75" s="410"/>
      <c r="BM75" s="410"/>
      <c r="BN75" s="410"/>
      <c r="BO75" s="410"/>
      <c r="BP75" s="410"/>
      <c r="BQ75" s="410"/>
      <c r="BR75" s="410"/>
      <c r="BS75" s="410"/>
      <c r="BT75" s="410"/>
      <c r="BU75" s="410"/>
      <c r="BV75" s="410"/>
      <c r="BW75" s="410"/>
      <c r="BX75" s="410"/>
      <c r="BY75" s="410"/>
      <c r="BZ75" s="410"/>
      <c r="CA75" s="410"/>
      <c r="CB75" s="410"/>
      <c r="CC75" s="410"/>
      <c r="CD75" s="410"/>
    </row>
    <row r="76" spans="2:82" s="144" customFormat="1" ht="24" customHeight="1" x14ac:dyDescent="0.25">
      <c r="B76" s="227"/>
      <c r="C76" s="228"/>
      <c r="D76" s="229"/>
      <c r="E76" s="131"/>
      <c r="F76" s="322" t="s">
        <v>7519</v>
      </c>
      <c r="G76" s="199"/>
      <c r="H76" s="200"/>
      <c r="I76" s="217" t="s">
        <v>7539</v>
      </c>
      <c r="J76" s="218">
        <f>75.1326*(Fak_3)</f>
        <v>0.75132599999999994</v>
      </c>
      <c r="K76" s="218">
        <f>161.5698*(Fak_3)</f>
        <v>1.6156979999999999</v>
      </c>
      <c r="L76" s="218">
        <f>585.9043*(Fak_3)</f>
        <v>5.8590430000000007</v>
      </c>
      <c r="M76" s="218">
        <f>187.1601*(Fak_3)</f>
        <v>1.8716010000000001</v>
      </c>
      <c r="N76" s="218">
        <f>104.9305*(Fak_3)</f>
        <v>1.0493049999999999</v>
      </c>
      <c r="O76" s="218">
        <f>372.9234*(Fak_3)</f>
        <v>3.7292340000000004</v>
      </c>
      <c r="P76" s="218">
        <f>96.3086*(Fak_3)</f>
        <v>0.963086</v>
      </c>
      <c r="Q76" s="218">
        <f>77.0232*(Fak_3)</f>
        <v>0.77023200000000003</v>
      </c>
      <c r="R76" s="218">
        <f>27.8923*(Fak_3)</f>
        <v>0.27892299999999998</v>
      </c>
      <c r="S76" s="218">
        <f>1688.8448*(Fak_3)</f>
        <v>16.888448</v>
      </c>
      <c r="T76" s="213"/>
      <c r="U76" s="219"/>
      <c r="V76" s="210"/>
      <c r="AF76" s="410"/>
      <c r="AG76" s="410"/>
      <c r="AH76" s="410"/>
      <c r="AI76" s="410"/>
      <c r="AJ76" s="410"/>
      <c r="AK76" s="410"/>
      <c r="AL76" s="410"/>
      <c r="AM76" s="410"/>
      <c r="AN76" s="410"/>
      <c r="AO76" s="410"/>
      <c r="AP76" s="410"/>
      <c r="AQ76" s="410"/>
      <c r="AR76" s="410"/>
      <c r="AS76" s="410"/>
      <c r="AT76" s="410"/>
      <c r="AU76" s="410"/>
      <c r="AV76" s="410"/>
      <c r="AW76" s="410"/>
      <c r="AX76" s="410"/>
      <c r="AY76" s="410"/>
      <c r="AZ76" s="410"/>
      <c r="BA76" s="410"/>
      <c r="BB76" s="410"/>
      <c r="BC76" s="410"/>
      <c r="BD76" s="410"/>
      <c r="BE76" s="410"/>
      <c r="BF76" s="410"/>
      <c r="BG76" s="410"/>
      <c r="BH76" s="410"/>
      <c r="BI76" s="410"/>
      <c r="BJ76" s="410"/>
      <c r="BK76" s="410"/>
      <c r="BL76" s="410"/>
      <c r="BM76" s="410"/>
      <c r="BN76" s="410"/>
      <c r="BO76" s="410"/>
      <c r="BP76" s="410"/>
      <c r="BQ76" s="410"/>
      <c r="BR76" s="410"/>
      <c r="BS76" s="410"/>
      <c r="BT76" s="410"/>
      <c r="BU76" s="410"/>
      <c r="BV76" s="410"/>
      <c r="BW76" s="410"/>
      <c r="BX76" s="410"/>
      <c r="BY76" s="410"/>
      <c r="BZ76" s="410"/>
      <c r="CA76" s="410"/>
      <c r="CB76" s="410"/>
      <c r="CC76" s="410"/>
      <c r="CD76" s="410"/>
    </row>
    <row r="77" spans="2:82" s="208" customFormat="1" ht="24" customHeight="1" x14ac:dyDescent="0.25">
      <c r="B77" s="240"/>
      <c r="C77" s="230"/>
      <c r="D77" s="241"/>
      <c r="E77" s="183"/>
      <c r="F77" s="202" t="s">
        <v>7597</v>
      </c>
      <c r="G77" s="203"/>
      <c r="H77" s="201"/>
      <c r="I77" s="204" t="s">
        <v>7533</v>
      </c>
      <c r="J77" s="205">
        <f t="shared" ref="J77:S77" si="16">+SUM(J68,J73,J74,J75,J76)</f>
        <v>173.06820000000002</v>
      </c>
      <c r="K77" s="205">
        <f t="shared" si="16"/>
        <v>245.37961200000001</v>
      </c>
      <c r="L77" s="205">
        <f t="shared" si="16"/>
        <v>854.44288300000005</v>
      </c>
      <c r="M77" s="205">
        <f t="shared" si="16"/>
        <v>581.47785800000008</v>
      </c>
      <c r="N77" s="205">
        <f t="shared" si="16"/>
        <v>167.40636000000003</v>
      </c>
      <c r="O77" s="205">
        <f t="shared" si="16"/>
        <v>471.49846399999996</v>
      </c>
      <c r="P77" s="205">
        <f t="shared" si="16"/>
        <v>220.41498100000001</v>
      </c>
      <c r="Q77" s="205">
        <f t="shared" si="16"/>
        <v>96.911558000000014</v>
      </c>
      <c r="R77" s="205">
        <f t="shared" si="16"/>
        <v>153.20834200000002</v>
      </c>
      <c r="S77" s="205">
        <f t="shared" si="16"/>
        <v>2963.808258</v>
      </c>
      <c r="T77" s="206"/>
      <c r="U77" s="207"/>
      <c r="V77" s="202"/>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c r="BT77" s="416"/>
      <c r="BU77" s="416"/>
      <c r="BV77" s="416"/>
      <c r="BW77" s="416"/>
      <c r="BX77" s="416"/>
      <c r="BY77" s="416"/>
      <c r="BZ77" s="416"/>
      <c r="CA77" s="416"/>
      <c r="CB77" s="416"/>
      <c r="CC77" s="416"/>
      <c r="CD77" s="416"/>
    </row>
  </sheetData>
  <mergeCells count="15">
    <mergeCell ref="F1:T1"/>
    <mergeCell ref="J19:S19"/>
    <mergeCell ref="J21:S21"/>
    <mergeCell ref="T22:V22"/>
    <mergeCell ref="I62:U62"/>
    <mergeCell ref="V10:V11"/>
    <mergeCell ref="F23:S23"/>
    <mergeCell ref="W12:W17"/>
    <mergeCell ref="W28:W33"/>
    <mergeCell ref="F61:H61"/>
    <mergeCell ref="B3:D3"/>
    <mergeCell ref="V47:V60"/>
    <mergeCell ref="I8:U8"/>
    <mergeCell ref="I39:U39"/>
    <mergeCell ref="I24:U24"/>
  </mergeCells>
  <conditionalFormatting sqref="A10:U10 A26:XFD26">
    <cfRule type="expression" dxfId="130" priority="9">
      <formula>$A$14=1</formula>
    </cfRule>
    <cfRule type="expression" dxfId="129" priority="20">
      <formula>$A$14=2</formula>
    </cfRule>
  </conditionalFormatting>
  <conditionalFormatting sqref="J12:S17">
    <cfRule type="expression" dxfId="128" priority="15">
      <formula>$C$8 = "relativ"</formula>
    </cfRule>
  </conditionalFormatting>
  <conditionalFormatting sqref="J25:S25">
    <cfRule type="expression" dxfId="127" priority="6">
      <formula>$A$14=2</formula>
    </cfRule>
    <cfRule type="expression" dxfId="126" priority="7">
      <formula>$A$14=1</formula>
    </cfRule>
  </conditionalFormatting>
  <conditionalFormatting sqref="J28:S33">
    <cfRule type="expression" dxfId="125" priority="5">
      <formula>$C$8 = "relativ"</formula>
    </cfRule>
  </conditionalFormatting>
  <conditionalFormatting sqref="J34:S34">
    <cfRule type="expression" dxfId="124" priority="18">
      <formula>$A$14=2</formula>
    </cfRule>
  </conditionalFormatting>
  <conditionalFormatting sqref="U12:U17">
    <cfRule type="dataBar" priority="33">
      <dataBar showValue="0">
        <cfvo type="num" val="0"/>
        <cfvo type="num" val="1"/>
        <color theme="0" tint="-0.499984740745262"/>
      </dataBar>
      <extLst>
        <ext xmlns:x14="http://schemas.microsoft.com/office/spreadsheetml/2009/9/main" uri="{B025F937-C7B1-47D3-B67F-A62EFF666E3E}">
          <x14:id>{D41F5307-3978-4FBD-B411-5E08D4766BB6}</x14:id>
        </ext>
      </extLst>
    </cfRule>
  </conditionalFormatting>
  <conditionalFormatting sqref="U28:U34">
    <cfRule type="dataBar" priority="31">
      <dataBar showValue="0">
        <cfvo type="num" val="0"/>
        <cfvo type="num" val="1"/>
        <color theme="0" tint="-0.499984740745262"/>
      </dataBar>
      <extLst>
        <ext xmlns:x14="http://schemas.microsoft.com/office/spreadsheetml/2009/9/main" uri="{B025F937-C7B1-47D3-B67F-A62EFF666E3E}">
          <x14:id>{7E293D81-C24C-467E-98FB-B148D3B10C16}</x14:id>
        </ext>
      </extLst>
    </cfRule>
  </conditionalFormatting>
  <conditionalFormatting sqref="W10:XFD10">
    <cfRule type="expression" dxfId="123" priority="1">
      <formula>$A$14=2</formula>
    </cfRule>
    <cfRule type="expression" dxfId="122" priority="2">
      <formula>$A$14=1</formula>
    </cfRule>
  </conditionalFormatting>
  <dataValidations disablePrompts="1" count="3">
    <dataValidation type="list" allowBlank="1" showInputMessage="1" showErrorMessage="1" sqref="C8:D8" xr:uid="{00000000-0002-0000-0300-000000000000}">
      <formula1>"absolut,relativ"</formula1>
    </dataValidation>
    <dataValidation type="list" allowBlank="1" showInputMessage="1" showErrorMessage="1" sqref="C39:E39" xr:uid="{00000000-0002-0000-0300-000001000000}">
      <formula1>"absolut, Bevölkerung, Dauersiedlungsraum"</formula1>
    </dataValidation>
    <dataValidation type="list" allowBlank="1" showInputMessage="1" showErrorMessage="1" sqref="C5 D7" xr:uid="{00000000-0002-0000-0300-000002000000}">
      <formula1>"ha,km²"</formula1>
    </dataValidation>
  </dataValidations>
  <pageMargins left="1.0236220472440944" right="0.23622047244094491" top="0.74803149606299213" bottom="0.74803149606299213" header="0.31496062992125984" footer="0.31496062992125984"/>
  <pageSetup paperSize="8" scale="57" orientation="landscape" r:id="rId1"/>
  <rowBreaks count="2" manualBreakCount="2">
    <brk id="37" max="16383" man="1"/>
    <brk id="51" max="16383" man="1"/>
  </rowBreaks>
  <colBreaks count="2" manualBreakCount="2">
    <brk id="4" max="1048575" man="1"/>
    <brk id="31" max="1048575" man="1"/>
  </colBreaks>
  <drawing r:id="rId2"/>
  <extLst>
    <ext xmlns:x14="http://schemas.microsoft.com/office/spreadsheetml/2009/9/main" uri="{78C0D931-6437-407d-A8EE-F0AAD7539E65}">
      <x14:conditionalFormattings>
        <x14:conditionalFormatting xmlns:xm="http://schemas.microsoft.com/office/excel/2006/main">
          <x14:cfRule type="dataBar" id="{D41F5307-3978-4FBD-B411-5E08D4766BB6}">
            <x14:dataBar minLength="0" maxLength="100" gradient="0">
              <x14:cfvo type="num">
                <xm:f>0</xm:f>
              </x14:cfvo>
              <x14:cfvo type="num">
                <xm:f>1</xm:f>
              </x14:cfvo>
              <x14:negativeFillColor rgb="FFFF0000"/>
              <x14:axisColor rgb="FF000000"/>
            </x14:dataBar>
          </x14:cfRule>
          <xm:sqref>U12:U17</xm:sqref>
        </x14:conditionalFormatting>
        <x14:conditionalFormatting xmlns:xm="http://schemas.microsoft.com/office/excel/2006/main">
          <x14:cfRule type="dataBar" id="{7E293D81-C24C-467E-98FB-B148D3B10C16}">
            <x14:dataBar minLength="0" maxLength="100" gradient="0">
              <x14:cfvo type="num">
                <xm:f>0</xm:f>
              </x14:cfvo>
              <x14:cfvo type="num">
                <xm:f>1</xm:f>
              </x14:cfvo>
              <x14:negativeFillColor rgb="FFFF0000"/>
              <x14:axisColor rgb="FF000000"/>
            </x14:dataBar>
          </x14:cfRule>
          <xm:sqref>U28:U34</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300-000001000000}">
          <x14:colorSeries theme="0" tint="-0.34998626667073579"/>
          <x14:colorNegative rgb="FFD00000"/>
          <x14:colorAxis rgb="FF000000"/>
          <x14:colorMarkers rgb="FFD00000"/>
          <x14:colorFirst rgb="FFD00000"/>
          <x14:colorLast rgb="FFD00000"/>
          <x14:colorHigh rgb="FFD00000"/>
          <x14:colorLow rgb="FFD00000"/>
          <x14:sparklines>
            <x14:sparkline>
              <xm:f>'Ö Hauptergebnisse'!J22:S22</xm:f>
              <xm:sqref>J21</xm:sqref>
            </x14:sparkline>
          </x14:sparklines>
        </x14:sparklineGroup>
        <x14:sparklineGroup manualMin="0" type="column" displayEmptyCellsAs="gap" minAxisType="custom" xr2:uid="{00000000-0003-0000-0300-000000000000}">
          <x14:colorSeries theme="0" tint="-0.34998626667073579"/>
          <x14:colorNegative rgb="FFD00000"/>
          <x14:colorAxis rgb="FF000000"/>
          <x14:colorMarkers rgb="FFD00000"/>
          <x14:colorFirst rgb="FFD00000"/>
          <x14:colorLast rgb="FFD00000"/>
          <x14:colorHigh rgb="FFD00000"/>
          <x14:colorLow rgb="FFD00000"/>
          <x14:sparklines>
            <x14:sparkline>
              <xm:f>'Ö Hauptergebnisse'!J20:S20</xm:f>
              <xm:sqref>J19</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rgb="FFFFFF00"/>
    <pageSetUpPr fitToPage="1"/>
  </sheetPr>
  <dimension ref="A1:DP39"/>
  <sheetViews>
    <sheetView topLeftCell="A3" zoomScale="70" zoomScaleNormal="70" workbookViewId="0">
      <pane xSplit="4" ySplit="4" topLeftCell="E7" activePane="bottomRight" state="frozen"/>
      <selection activeCell="A3" sqref="A3"/>
      <selection pane="topRight" activeCell="E3" sqref="E3"/>
      <selection pane="bottomLeft" activeCell="A4" sqref="A4"/>
      <selection pane="bottomRight" activeCell="H24" sqref="H24"/>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1" width="15.42578125" style="138" customWidth="1"/>
    <col min="12" max="17" width="15.42578125" style="184" customWidth="1"/>
    <col min="18" max="18" width="15.42578125" style="185" customWidth="1"/>
    <col min="19" max="19" width="15.42578125" style="138" customWidth="1"/>
    <col min="20" max="20" width="27.42578125" style="138" bestFit="1" customWidth="1"/>
    <col min="21" max="21" width="30" style="186" bestFit="1" customWidth="1"/>
    <col min="22" max="22" width="9.5703125" style="138" customWidth="1"/>
    <col min="23" max="23" width="15.5703125" style="138" customWidth="1"/>
    <col min="24" max="24" width="14.140625" style="138" customWidth="1"/>
    <col min="25" max="26" width="11.42578125" style="138"/>
    <col min="27" max="63" width="11.42578125" style="138" customWidth="1"/>
    <col min="64" max="66" width="11.42578125" style="138"/>
    <col min="67" max="67" width="12.28515625" style="138" bestFit="1" customWidth="1"/>
    <col min="68" max="68" width="13.140625" style="138" bestFit="1" customWidth="1"/>
    <col min="69" max="69" width="12.85546875" style="138" bestFit="1" customWidth="1"/>
    <col min="70" max="16384" width="11.42578125" style="138"/>
  </cols>
  <sheetData>
    <row r="1" spans="1:120" s="130" customFormat="1" ht="69" x14ac:dyDescent="1.2">
      <c r="B1" s="227"/>
      <c r="C1" s="228"/>
      <c r="D1" s="229"/>
      <c r="E1" s="131"/>
      <c r="F1" s="370" t="s">
        <v>7475</v>
      </c>
      <c r="G1" s="370"/>
      <c r="H1" s="370"/>
      <c r="I1" s="370"/>
      <c r="J1" s="370"/>
      <c r="K1" s="370"/>
      <c r="L1" s="370"/>
      <c r="M1" s="370"/>
      <c r="N1" s="370"/>
      <c r="O1" s="370"/>
      <c r="P1" s="370"/>
      <c r="Q1" s="370"/>
      <c r="R1" s="370"/>
      <c r="S1" s="370"/>
      <c r="T1" s="370"/>
      <c r="U1" s="132"/>
    </row>
    <row r="2" spans="1:120" ht="30" customHeight="1" x14ac:dyDescent="0.3">
      <c r="A2" s="133"/>
      <c r="F2" s="134"/>
      <c r="G2" s="134"/>
      <c r="H2" s="134"/>
      <c r="I2" s="134"/>
      <c r="J2" s="134"/>
      <c r="K2" s="134"/>
      <c r="L2" s="134"/>
      <c r="M2" s="135"/>
      <c r="N2" s="135"/>
      <c r="O2" s="135"/>
      <c r="P2" s="135"/>
      <c r="Q2" s="135"/>
      <c r="R2" s="135"/>
      <c r="S2" s="135"/>
      <c r="T2" s="135"/>
      <c r="U2" s="136"/>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row>
    <row r="3" spans="1:120" s="239" customFormat="1" ht="53.25" customHeight="1" x14ac:dyDescent="0.3">
      <c r="A3" s="133"/>
      <c r="B3" s="366" t="s">
        <v>7540</v>
      </c>
      <c r="C3" s="366"/>
      <c r="D3" s="366"/>
      <c r="E3" s="380" t="s">
        <v>7542</v>
      </c>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c r="DM3" s="380"/>
      <c r="DN3" s="380"/>
      <c r="DO3" s="380"/>
      <c r="DP3" s="380"/>
    </row>
    <row r="4" spans="1:120" s="239" customFormat="1" ht="15" customHeight="1" x14ac:dyDescent="0.3">
      <c r="A4" s="133"/>
      <c r="B4" s="243"/>
      <c r="C4" s="243"/>
      <c r="D4" s="243"/>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row>
    <row r="5" spans="1:120" s="239" customFormat="1" ht="22.5" x14ac:dyDescent="0.3">
      <c r="A5" s="133"/>
      <c r="B5" s="228" t="s">
        <v>7517</v>
      </c>
      <c r="C5" s="242" t="s">
        <v>153</v>
      </c>
      <c r="D5" s="229"/>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row>
    <row r="6" spans="1:120" s="239" customFormat="1" ht="22.5" customHeight="1" x14ac:dyDescent="0.3">
      <c r="A6" s="131"/>
      <c r="B6" s="227"/>
      <c r="C6" s="228"/>
      <c r="D6" s="229"/>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row>
    <row r="7" spans="1:120" ht="52.5" customHeight="1" x14ac:dyDescent="0.3">
      <c r="A7" s="133">
        <f>+IF(Einheit = "ha", 1, 0.01)</f>
        <v>0.01</v>
      </c>
      <c r="C7" s="227"/>
      <c r="D7" s="231"/>
      <c r="E7" s="226" t="s">
        <v>7543</v>
      </c>
      <c r="F7" s="140"/>
      <c r="G7" s="140"/>
      <c r="H7" s="140"/>
      <c r="I7" s="140"/>
      <c r="J7" s="140"/>
      <c r="K7" s="140"/>
      <c r="L7" s="140"/>
      <c r="M7" s="140"/>
      <c r="N7" s="140"/>
      <c r="O7" s="140"/>
      <c r="P7" s="140"/>
      <c r="Q7" s="140"/>
      <c r="R7" s="140"/>
      <c r="S7" s="140"/>
      <c r="T7" s="140"/>
      <c r="U7" s="140"/>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row>
    <row r="8" spans="1:120" s="144" customFormat="1" ht="42" customHeight="1" x14ac:dyDescent="0.3">
      <c r="A8" s="133"/>
      <c r="B8" s="228"/>
      <c r="C8" s="228"/>
      <c r="D8" s="231"/>
      <c r="E8" s="139"/>
      <c r="F8" s="141"/>
      <c r="G8" s="141"/>
      <c r="H8" s="141"/>
      <c r="I8" s="368"/>
      <c r="J8" s="368"/>
      <c r="K8" s="368"/>
      <c r="L8" s="368"/>
      <c r="M8" s="368"/>
      <c r="N8" s="368"/>
      <c r="O8" s="368"/>
      <c r="P8" s="368"/>
      <c r="Q8" s="368"/>
      <c r="R8" s="368"/>
      <c r="S8" s="368"/>
      <c r="T8" s="368"/>
      <c r="U8" s="368"/>
      <c r="V8" s="146"/>
      <c r="W8" s="138"/>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row>
    <row r="9" spans="1:120" s="144" customFormat="1" ht="34.5" hidden="1" customHeight="1" x14ac:dyDescent="0.3">
      <c r="A9" s="133"/>
      <c r="B9" s="227"/>
      <c r="C9" s="230"/>
      <c r="D9" s="231"/>
      <c r="E9" s="139"/>
      <c r="F9" s="141"/>
      <c r="G9" s="141"/>
      <c r="H9" s="291" t="s">
        <v>7544</v>
      </c>
      <c r="I9" s="142"/>
      <c r="J9" s="131">
        <f t="shared" ref="J9:S9" si="0">Fak_Einheit</f>
        <v>0.01</v>
      </c>
      <c r="K9" s="131">
        <f t="shared" si="0"/>
        <v>0.01</v>
      </c>
      <c r="L9" s="131">
        <f t="shared" si="0"/>
        <v>0.01</v>
      </c>
      <c r="M9" s="131">
        <f t="shared" si="0"/>
        <v>0.01</v>
      </c>
      <c r="N9" s="131">
        <f t="shared" si="0"/>
        <v>0.01</v>
      </c>
      <c r="O9" s="131">
        <f t="shared" si="0"/>
        <v>0.01</v>
      </c>
      <c r="P9" s="131">
        <f t="shared" si="0"/>
        <v>0.01</v>
      </c>
      <c r="Q9" s="131">
        <f t="shared" si="0"/>
        <v>0.01</v>
      </c>
      <c r="R9" s="131">
        <f t="shared" si="0"/>
        <v>0.01</v>
      </c>
      <c r="S9" s="131">
        <f t="shared" si="0"/>
        <v>0.01</v>
      </c>
      <c r="T9" s="143"/>
      <c r="U9" s="145"/>
      <c r="V9" s="146"/>
      <c r="W9" s="138"/>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row>
    <row r="10" spans="1:120" s="144" customFormat="1" ht="34.5" hidden="1" customHeight="1" x14ac:dyDescent="0.3">
      <c r="A10" s="133"/>
      <c r="B10" s="227"/>
      <c r="C10" s="230"/>
      <c r="D10" s="231"/>
      <c r="E10" s="139"/>
      <c r="F10" s="141"/>
      <c r="G10" s="141"/>
      <c r="H10" s="291" t="s">
        <v>7545</v>
      </c>
      <c r="I10" s="142"/>
      <c r="J10" s="292">
        <f>23026.0983511588*(+'Ö Details'!Fak_1)</f>
        <v>230.26098351158799</v>
      </c>
      <c r="K10" s="292">
        <f>32552.2445259743*(+'Ö Details'!Fak_1)</f>
        <v>325.52244525974299</v>
      </c>
      <c r="L10" s="292">
        <f>86656.774308561*(+'Ö Details'!Fak_1)</f>
        <v>866.56774308561</v>
      </c>
      <c r="M10" s="292">
        <f>59658.9605354338*(+'Ö Details'!Fak_1)</f>
        <v>596.589605354338</v>
      </c>
      <c r="N10" s="292">
        <f>13505.7500006341*(+'Ö Details'!Fak_1)</f>
        <v>135.057500006341</v>
      </c>
      <c r="O10" s="292">
        <f>55281.937240779*(+'Ö Details'!Fak_1)</f>
        <v>552.81937240778996</v>
      </c>
      <c r="P10" s="292">
        <f>21648.560182164*(+'Ö Details'!Fak_1)</f>
        <v>216.48560182164002</v>
      </c>
      <c r="Q10" s="292">
        <f>11192.7524988085*(+'Ö Details'!Fak_1)</f>
        <v>111.92752498808501</v>
      </c>
      <c r="R10" s="292">
        <f>14715.3463707359*(+'Ö Details'!Fak_1)</f>
        <v>147.15346370735901</v>
      </c>
      <c r="S10" s="292">
        <f>318238.424014249*(+'Ö Details'!Fak_1)</f>
        <v>3182.3842401424899</v>
      </c>
      <c r="T10" s="143"/>
      <c r="U10" s="145"/>
      <c r="V10" s="146"/>
      <c r="W10" s="138"/>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row>
    <row r="11" spans="1:120" s="147" customFormat="1" ht="18" hidden="1" x14ac:dyDescent="0.35">
      <c r="B11" s="232"/>
      <c r="C11" s="233"/>
      <c r="D11" s="234"/>
      <c r="H11" s="152" t="s">
        <v>7523</v>
      </c>
      <c r="J11" s="147">
        <v>37814.1769025467</v>
      </c>
      <c r="K11" s="147">
        <v>50494.099137577003</v>
      </c>
      <c r="L11" s="147">
        <v>163010.666375414</v>
      </c>
      <c r="M11" s="147">
        <v>106002.495650529</v>
      </c>
      <c r="N11" s="147">
        <v>29201.159124891801</v>
      </c>
      <c r="O11" s="147">
        <v>100767.81646793299</v>
      </c>
      <c r="P11" s="147">
        <v>36428.369442658499</v>
      </c>
      <c r="Q11" s="147">
        <v>16574.632564795698</v>
      </c>
      <c r="R11" s="147">
        <v>24502.127377904799</v>
      </c>
      <c r="S11" s="147">
        <v>564795.54304424999</v>
      </c>
      <c r="V11" s="374"/>
    </row>
    <row r="12" spans="1:120" s="147" customFormat="1" x14ac:dyDescent="0.4">
      <c r="B12" s="227"/>
      <c r="C12" s="227"/>
      <c r="D12" s="235"/>
      <c r="E12" s="148"/>
      <c r="F12" s="149"/>
      <c r="G12" s="149"/>
      <c r="H12" s="150"/>
      <c r="I12" s="154"/>
      <c r="J12" s="254" t="s">
        <v>144</v>
      </c>
      <c r="K12" s="254" t="s">
        <v>145</v>
      </c>
      <c r="L12" s="254" t="s">
        <v>7355</v>
      </c>
      <c r="M12" s="254" t="s">
        <v>7354</v>
      </c>
      <c r="N12" s="254" t="s">
        <v>146</v>
      </c>
      <c r="O12" s="254" t="s">
        <v>150</v>
      </c>
      <c r="P12" s="254" t="s">
        <v>147</v>
      </c>
      <c r="Q12" s="254" t="s">
        <v>148</v>
      </c>
      <c r="R12" s="254" t="s">
        <v>149</v>
      </c>
      <c r="S12" s="312" t="s">
        <v>7414</v>
      </c>
      <c r="U12" s="151"/>
      <c r="V12" s="374"/>
      <c r="W12" s="155"/>
      <c r="X12" s="155"/>
    </row>
    <row r="13" spans="1:120" s="151" customFormat="1" ht="38.25" customHeight="1" thickBot="1" x14ac:dyDescent="0.4">
      <c r="B13" s="298"/>
      <c r="C13" s="298"/>
      <c r="D13" s="299"/>
      <c r="F13" s="195"/>
      <c r="G13" s="195"/>
      <c r="H13" s="195"/>
      <c r="I13" s="195"/>
      <c r="J13" s="378" t="str">
        <f xml:space="preserve"> "Baulandwidmung (ohne Verkehrsflächen) in " &amp; 'Ö Details'!Einheit</f>
        <v>Baulandwidmung (ohne Verkehrsflächen) in km²</v>
      </c>
      <c r="K13" s="378"/>
      <c r="L13" s="378"/>
      <c r="M13" s="378"/>
      <c r="N13" s="378"/>
      <c r="O13" s="378"/>
      <c r="P13" s="378"/>
      <c r="Q13" s="378"/>
      <c r="R13" s="378"/>
      <c r="S13" s="378"/>
      <c r="V13" s="153"/>
      <c r="W13" s="300"/>
      <c r="X13" s="300"/>
    </row>
    <row r="14" spans="1:120" s="210" customFormat="1" ht="28.5" thickTop="1" thickBot="1" x14ac:dyDescent="0.55000000000000004">
      <c r="B14" s="301"/>
      <c r="C14" s="228"/>
      <c r="D14" s="302"/>
      <c r="F14" s="245"/>
      <c r="G14" s="303"/>
      <c r="I14" s="158"/>
      <c r="J14" s="253">
        <f>23026.0983511588*(+'Ö Details'!Fak_1)</f>
        <v>230.26098351158799</v>
      </c>
      <c r="K14" s="253">
        <f>32552.2445259743*(+'Ö Details'!Fak_1)</f>
        <v>325.52244525974299</v>
      </c>
      <c r="L14" s="253">
        <f>86656.774308561*(+'Ö Details'!Fak_1)</f>
        <v>866.56774308561</v>
      </c>
      <c r="M14" s="253">
        <f>59658.9605354338*(+'Ö Details'!Fak_1)</f>
        <v>596.589605354338</v>
      </c>
      <c r="N14" s="253">
        <f>13505.7500006341*(+'Ö Details'!Fak_1)</f>
        <v>135.057500006341</v>
      </c>
      <c r="O14" s="253">
        <f>55281.937240779*(+'Ö Details'!Fak_1)</f>
        <v>552.81937240778996</v>
      </c>
      <c r="P14" s="253">
        <f>21648.560182164*(+'Ö Details'!Fak_1)</f>
        <v>216.48560182164002</v>
      </c>
      <c r="Q14" s="253">
        <f>11192.7524988085*(+'Ö Details'!Fak_1)</f>
        <v>111.92752498808501</v>
      </c>
      <c r="R14" s="253">
        <f>14715.3463707359*(+'Ö Details'!Fak_1)</f>
        <v>147.15346370735901</v>
      </c>
      <c r="S14" s="315">
        <f>318238.424014249*(+'Ö Details'!Fak_1)</f>
        <v>3182.3842401424899</v>
      </c>
      <c r="T14" s="159"/>
      <c r="U14" s="304"/>
      <c r="V14" s="305"/>
      <c r="W14" s="364"/>
      <c r="X14" s="306"/>
      <c r="Y14" s="159"/>
      <c r="BO14" s="212"/>
      <c r="BP14" s="212"/>
      <c r="BQ14" s="212"/>
    </row>
    <row r="15" spans="1:120" s="210" customFormat="1" ht="40.5" customHeight="1" thickTop="1" x14ac:dyDescent="0.25">
      <c r="B15" s="301"/>
      <c r="C15" s="228"/>
      <c r="D15" s="302"/>
      <c r="F15" s="245"/>
      <c r="G15" s="303"/>
      <c r="I15" s="158"/>
      <c r="J15" s="378" t="s">
        <v>7548</v>
      </c>
      <c r="K15" s="378"/>
      <c r="L15" s="378"/>
      <c r="M15" s="378"/>
      <c r="N15" s="378"/>
      <c r="O15" s="378"/>
      <c r="P15" s="378"/>
      <c r="Q15" s="378"/>
      <c r="R15" s="378"/>
      <c r="S15" s="378"/>
      <c r="T15" s="159"/>
      <c r="U15" s="304"/>
      <c r="V15" s="305"/>
      <c r="W15" s="364"/>
      <c r="X15" s="306"/>
      <c r="Y15" s="159"/>
      <c r="BO15" s="212"/>
      <c r="BP15" s="212"/>
      <c r="BQ15" s="212"/>
    </row>
    <row r="16" spans="1:120" s="156" customFormat="1" ht="21" customHeight="1" x14ac:dyDescent="0.3">
      <c r="B16" s="236"/>
      <c r="C16" s="237"/>
      <c r="D16" s="238"/>
      <c r="F16" s="265"/>
      <c r="G16" s="157"/>
      <c r="I16" s="152"/>
      <c r="J16" s="379"/>
      <c r="K16" s="379"/>
      <c r="L16" s="379"/>
      <c r="M16" s="379"/>
      <c r="N16" s="379"/>
      <c r="O16" s="379"/>
      <c r="P16" s="379"/>
      <c r="Q16" s="379"/>
      <c r="R16" s="379"/>
      <c r="S16" s="379"/>
      <c r="T16" s="171"/>
      <c r="U16" s="294"/>
      <c r="V16" s="295"/>
      <c r="W16" s="364"/>
      <c r="X16" s="296"/>
      <c r="Y16" s="171"/>
      <c r="BO16" s="164"/>
      <c r="BP16" s="164"/>
      <c r="BQ16" s="164"/>
    </row>
    <row r="17" spans="1:69" s="156" customFormat="1" ht="18.75" thickBot="1" x14ac:dyDescent="0.3">
      <c r="B17" s="236"/>
      <c r="C17" s="237"/>
      <c r="D17" s="238"/>
      <c r="F17" s="265"/>
      <c r="G17" s="157"/>
      <c r="I17" s="307" t="s">
        <v>7546</v>
      </c>
      <c r="J17" s="308">
        <f>+J18/'Ö Details'!Baulandwidmung</f>
        <v>0.33189970886736941</v>
      </c>
      <c r="K17" s="308">
        <f>+K18/'Ö Details'!Baulandwidmung</f>
        <v>0.22379271367774106</v>
      </c>
      <c r="L17" s="308">
        <f>+L18/'Ö Details'!Baulandwidmung</f>
        <v>0.22030200771127129</v>
      </c>
      <c r="M17" s="308">
        <f>+M18/'Ö Details'!Baulandwidmung</f>
        <v>0.18835118095129905</v>
      </c>
      <c r="N17" s="308">
        <f>+N18/'Ö Details'!Baulandwidmung</f>
        <v>0.14995749202318062</v>
      </c>
      <c r="O17" s="308">
        <f>+O18/'Ö Details'!Baulandwidmung</f>
        <v>0.22809146188338458</v>
      </c>
      <c r="P17" s="308">
        <f>+P18/'Ö Details'!Baulandwidmung</f>
        <v>0.16878576044418567</v>
      </c>
      <c r="Q17" s="308">
        <f>+Q18/'Ö Details'!Baulandwidmung</f>
        <v>0.22075094959619224</v>
      </c>
      <c r="R17" s="308">
        <f>+R18/'Ö Details'!Baulandwidmung</f>
        <v>7.6574719509485023E-2</v>
      </c>
      <c r="S17" s="308">
        <f>+S18/'Ö Details'!Baulandwidmung</f>
        <v>0.21097715322829744</v>
      </c>
      <c r="T17" s="171"/>
      <c r="U17" s="294"/>
      <c r="V17" s="295"/>
      <c r="W17" s="364"/>
      <c r="X17" s="296"/>
      <c r="Y17" s="171"/>
      <c r="BO17" s="164"/>
      <c r="BP17" s="164"/>
      <c r="BQ17" s="164"/>
    </row>
    <row r="18" spans="1:69" s="147" customFormat="1" ht="19.5" thickTop="1" thickBot="1" x14ac:dyDescent="0.4">
      <c r="B18" s="227"/>
      <c r="C18" s="228"/>
      <c r="D18" s="235"/>
      <c r="E18" s="148"/>
      <c r="F18" s="265"/>
      <c r="I18" s="152" t="str">
        <f>"in " &amp; 'Ö Details'!Einheit</f>
        <v>in km²</v>
      </c>
      <c r="J18" s="225">
        <f>7642.35533910102*(+'Ö Details'!Fak_1)</f>
        <v>76.423553391010202</v>
      </c>
      <c r="K18" s="225">
        <f>7284.95513876918*(+'Ö Details'!Fak_1)</f>
        <v>72.849551387691804</v>
      </c>
      <c r="L18" s="225">
        <f>19090.6613619585*(+'Ö Details'!Fak_1)</f>
        <v>190.90661361958502</v>
      </c>
      <c r="M18" s="225">
        <f>11236.8356711759*(+'Ö Details'!Fak_1)</f>
        <v>112.36835671175901</v>
      </c>
      <c r="N18" s="225">
        <f>2025.28839798716*(+'Ö Details'!Fak_1)</f>
        <v>20.252883979871598</v>
      </c>
      <c r="O18" s="225">
        <f>12609.3378809948*(+'Ö Details'!Fak_1)</f>
        <v>126.09337880994801</v>
      </c>
      <c r="P18" s="225">
        <f>3653.96869286827*(+'Ö Details'!Fak_1)</f>
        <v>36.539686928682698</v>
      </c>
      <c r="Q18" s="225">
        <f>2470.81074270713*(+'Ö Details'!Fak_1)</f>
        <v>24.708107427071301</v>
      </c>
      <c r="R18" s="225">
        <f>1126.82352082402*(+'Ö Details'!Fak_1)</f>
        <v>11.268235208240201</v>
      </c>
      <c r="S18" s="314">
        <f>67141.0367463861*(+'Ö Details'!Fak_1)</f>
        <v>671.41036746386101</v>
      </c>
      <c r="T18" s="172"/>
      <c r="U18" s="160"/>
      <c r="V18" s="293"/>
      <c r="W18" s="364"/>
      <c r="X18" s="163"/>
      <c r="Y18" s="159"/>
      <c r="BO18" s="164"/>
      <c r="BP18" s="164"/>
      <c r="BQ18" s="164"/>
    </row>
    <row r="19" spans="1:69" s="210" customFormat="1" ht="40.5" customHeight="1" thickTop="1" x14ac:dyDescent="0.25">
      <c r="B19" s="227"/>
      <c r="C19" s="228"/>
      <c r="D19" s="235"/>
      <c r="E19" s="148"/>
      <c r="F19" s="245"/>
      <c r="I19" s="148"/>
      <c r="J19" s="378" t="s">
        <v>7476</v>
      </c>
      <c r="K19" s="378"/>
      <c r="L19" s="378"/>
      <c r="M19" s="378"/>
      <c r="N19" s="378"/>
      <c r="O19" s="378"/>
      <c r="P19" s="378"/>
      <c r="Q19" s="378"/>
      <c r="R19" s="378"/>
      <c r="S19" s="378"/>
      <c r="T19" s="159"/>
      <c r="U19" s="160"/>
      <c r="V19" s="305"/>
      <c r="W19" s="364"/>
      <c r="X19" s="306"/>
      <c r="Y19" s="159"/>
      <c r="BO19" s="212"/>
      <c r="BP19" s="212"/>
      <c r="BQ19" s="212"/>
    </row>
    <row r="20" spans="1:69" s="147" customFormat="1" ht="19.5" customHeight="1" x14ac:dyDescent="0.3">
      <c r="B20" s="227"/>
      <c r="C20" s="228"/>
      <c r="D20" s="235"/>
      <c r="E20" s="148"/>
      <c r="F20" s="265"/>
      <c r="I20" s="152"/>
      <c r="J20" s="376"/>
      <c r="K20" s="376"/>
      <c r="L20" s="376"/>
      <c r="M20" s="376"/>
      <c r="N20" s="376"/>
      <c r="O20" s="376"/>
      <c r="P20" s="376"/>
      <c r="Q20" s="376"/>
      <c r="R20" s="376"/>
      <c r="S20" s="377"/>
      <c r="T20" s="172"/>
      <c r="U20" s="160"/>
      <c r="V20" s="293"/>
      <c r="W20" s="364"/>
      <c r="X20" s="163"/>
      <c r="Y20" s="159"/>
      <c r="BO20" s="164"/>
      <c r="BP20" s="164"/>
      <c r="BQ20" s="164"/>
    </row>
    <row r="21" spans="1:69" s="156" customFormat="1" ht="19.5" customHeight="1" thickBot="1" x14ac:dyDescent="0.3">
      <c r="B21" s="309"/>
      <c r="C21" s="237"/>
      <c r="D21" s="310"/>
      <c r="E21" s="307"/>
      <c r="F21" s="265"/>
      <c r="I21" s="307" t="s">
        <v>7546</v>
      </c>
      <c r="J21" s="308">
        <f>+J22/'Ö Details'!Baulandwidmung</f>
        <v>0.1616174807121806</v>
      </c>
      <c r="K21" s="308">
        <f>+K22/'Ö Details'!Baulandwidmung</f>
        <v>0.16459517487954284</v>
      </c>
      <c r="L21" s="308">
        <f>+L22/'Ö Details'!Baulandwidmung</f>
        <v>0.1165932638639902</v>
      </c>
      <c r="M21" s="308">
        <f>+M22/'Ö Details'!Baulandwidmung</f>
        <v>0.11323801980341357</v>
      </c>
      <c r="N21" s="308">
        <f>+N22/'Ö Details'!Baulandwidmung</f>
        <v>7.227607119445871E-2</v>
      </c>
      <c r="O21" s="308">
        <f>+O22/'Ö Details'!Baulandwidmung</f>
        <v>0.13632082504087112</v>
      </c>
      <c r="P21" s="308">
        <f>+P22/'Ö Details'!Baulandwidmung</f>
        <v>0.11441481104336824</v>
      </c>
      <c r="Q21" s="308">
        <f>+Q22/'Ö Details'!Baulandwidmung</f>
        <v>0.15607538068559129</v>
      </c>
      <c r="R21" s="308">
        <f>+R22/'Ö Details'!Baulandwidmung</f>
        <v>1.2774249313002506E-2</v>
      </c>
      <c r="S21" s="308">
        <f>+S22/'Ö Details'!Baulandwidmung</f>
        <v>0.12211803018526965</v>
      </c>
      <c r="T21" s="171"/>
      <c r="U21" s="294"/>
      <c r="V21" s="295"/>
      <c r="W21" s="364"/>
      <c r="X21" s="296"/>
      <c r="Y21" s="171"/>
      <c r="BO21" s="164"/>
      <c r="BP21" s="164"/>
      <c r="BQ21" s="164"/>
    </row>
    <row r="22" spans="1:69" s="147" customFormat="1" ht="19.5" customHeight="1" thickTop="1" thickBot="1" x14ac:dyDescent="0.4">
      <c r="A22" s="167"/>
      <c r="B22" s="227"/>
      <c r="C22" s="228"/>
      <c r="D22" s="235"/>
      <c r="E22" s="148"/>
      <c r="F22" s="265"/>
      <c r="I22" s="152" t="str">
        <f>"in " &amp; 'Ö Details'!Einheit</f>
        <v>in km²</v>
      </c>
      <c r="J22" s="225">
        <f>3721.42000614518*(+'Ö Details'!Fak_1)</f>
        <v>37.214200061451805</v>
      </c>
      <c r="K22" s="225">
        <f>5357.94238047438*(+'Ö Details'!Fak_1)</f>
        <v>53.579423804743804</v>
      </c>
      <c r="L22" s="225">
        <f>10103.5961525603*(+'Ö Details'!Fak_1)</f>
        <v>101.035961525603</v>
      </c>
      <c r="M22" s="225">
        <f>6755.66255456252*(+'Ö Details'!Fak_1)</f>
        <v>67.556625545625209</v>
      </c>
      <c r="N22" s="225">
        <f>976.142548580391*(+'Ö Details'!Fak_1)</f>
        <v>9.76142548580391</v>
      </c>
      <c r="O22" s="225">
        <f>7536.07929452065*(+'Ö Details'!Fak_1)</f>
        <v>75.360792945206512</v>
      </c>
      <c r="P22" s="225">
        <f>2476.91592260328*(+'Ö Details'!Fak_1)</f>
        <v>24.769159226032798</v>
      </c>
      <c r="Q22" s="225">
        <f>1746.91310717114*(+'Ö Details'!Fak_1)</f>
        <v>17.469131071711399</v>
      </c>
      <c r="R22" s="225">
        <f>187.977503266967*(+'Ö Details'!Fak_1)</f>
        <v>1.8797750326696701</v>
      </c>
      <c r="S22" s="314">
        <f>38862.6494698847*(+'Ö Details'!Fak_1)</f>
        <v>388.62649469884701</v>
      </c>
      <c r="T22" s="172"/>
      <c r="U22" s="160"/>
      <c r="V22" s="293"/>
      <c r="W22" s="364"/>
      <c r="X22" s="163"/>
      <c r="Y22" s="159"/>
      <c r="BO22" s="164"/>
      <c r="BP22" s="164"/>
      <c r="BQ22" s="164"/>
    </row>
    <row r="23" spans="1:69" s="210" customFormat="1" ht="40.5" customHeight="1" thickTop="1" x14ac:dyDescent="0.25">
      <c r="A23" s="167"/>
      <c r="B23" s="227"/>
      <c r="C23" s="228"/>
      <c r="D23" s="235"/>
      <c r="E23" s="148"/>
      <c r="F23" s="245"/>
      <c r="I23" s="148"/>
      <c r="J23" s="378" t="s">
        <v>7420</v>
      </c>
      <c r="K23" s="378"/>
      <c r="L23" s="378"/>
      <c r="M23" s="378"/>
      <c r="N23" s="378"/>
      <c r="O23" s="378"/>
      <c r="P23" s="378"/>
      <c r="Q23" s="378"/>
      <c r="R23" s="378"/>
      <c r="S23" s="378"/>
      <c r="T23" s="159"/>
      <c r="U23" s="160"/>
      <c r="V23" s="305"/>
      <c r="W23" s="364"/>
      <c r="X23" s="306"/>
      <c r="Y23" s="159"/>
      <c r="BO23" s="212"/>
      <c r="BP23" s="212"/>
      <c r="BQ23" s="212"/>
    </row>
    <row r="24" spans="1:69" s="147" customFormat="1" ht="19.5" customHeight="1" x14ac:dyDescent="0.3">
      <c r="A24" s="167"/>
      <c r="B24" s="227"/>
      <c r="C24" s="228"/>
      <c r="D24" s="235"/>
      <c r="E24" s="148"/>
      <c r="F24" s="265"/>
      <c r="I24" s="152"/>
      <c r="J24" s="376"/>
      <c r="K24" s="376"/>
      <c r="L24" s="376"/>
      <c r="M24" s="376"/>
      <c r="N24" s="376"/>
      <c r="O24" s="376"/>
      <c r="P24" s="376"/>
      <c r="Q24" s="376"/>
      <c r="R24" s="376"/>
      <c r="S24" s="377"/>
      <c r="T24" s="172"/>
      <c r="U24" s="160"/>
      <c r="V24" s="293"/>
      <c r="W24" s="364"/>
      <c r="X24" s="163"/>
      <c r="Y24" s="159"/>
      <c r="BO24" s="164"/>
      <c r="BP24" s="164"/>
      <c r="BQ24" s="164"/>
    </row>
    <row r="25" spans="1:69" s="156" customFormat="1" ht="19.5" customHeight="1" x14ac:dyDescent="0.25">
      <c r="A25" s="311"/>
      <c r="B25" s="309"/>
      <c r="C25" s="237"/>
      <c r="D25" s="310"/>
      <c r="E25" s="307"/>
      <c r="F25" s="265"/>
      <c r="I25" s="307"/>
      <c r="J25" s="308"/>
      <c r="K25" s="308"/>
      <c r="L25" s="308"/>
      <c r="M25" s="308"/>
      <c r="N25" s="308"/>
      <c r="O25" s="308"/>
      <c r="P25" s="308"/>
      <c r="Q25" s="308"/>
      <c r="R25" s="308"/>
      <c r="S25" s="308"/>
      <c r="T25" s="171"/>
      <c r="U25" s="294"/>
      <c r="V25" s="295"/>
      <c r="W25" s="364"/>
      <c r="X25" s="296"/>
      <c r="Y25" s="171"/>
      <c r="BO25" s="164"/>
      <c r="BP25" s="164"/>
      <c r="BQ25" s="164"/>
    </row>
    <row r="26" spans="1:69" s="147" customFormat="1" ht="19.5" customHeight="1" x14ac:dyDescent="0.3">
      <c r="B26" s="227"/>
      <c r="C26" s="228"/>
      <c r="D26" s="235"/>
      <c r="E26" s="148"/>
      <c r="F26" s="265"/>
      <c r="I26" s="152" t="str">
        <f>"in " &amp; 'Ö Details'!Einheit</f>
        <v>in km²</v>
      </c>
      <c r="J26" s="225">
        <f>Fak_1*3994.438762</f>
        <v>39.944387620000001</v>
      </c>
      <c r="K26" s="225">
        <f>Fak_1*5748.518838</f>
        <v>57.485188380000004</v>
      </c>
      <c r="L26" s="225">
        <f>Fak_1*20641.194345</f>
        <v>206.41194345</v>
      </c>
      <c r="M26" s="225">
        <f>Fak_1*15535.086667</f>
        <v>155.35086666999999</v>
      </c>
      <c r="N26" s="225">
        <f>Fak_1*4201.850034</f>
        <v>42.018500340000003</v>
      </c>
      <c r="O26" s="225">
        <f>Fak_1*12779.494908</f>
        <v>127.79494908000001</v>
      </c>
      <c r="P26" s="225">
        <f>Fak_1*6136.395146</f>
        <v>61.363951460000003</v>
      </c>
      <c r="Q26" s="225">
        <f>Fak_1*2817.716648</f>
        <v>28.17716648</v>
      </c>
      <c r="R26" s="225">
        <f>Fak_1*5454.121247</f>
        <v>54.541212470000005</v>
      </c>
      <c r="S26" s="169">
        <f>Fak_1*77308.816594</f>
        <v>773.08816594000007</v>
      </c>
      <c r="T26" s="172"/>
      <c r="U26" s="160"/>
      <c r="V26" s="293"/>
      <c r="W26" s="364"/>
      <c r="X26" s="163"/>
      <c r="Y26" s="159"/>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4"/>
      <c r="BP26" s="164"/>
      <c r="BQ26" s="164"/>
    </row>
    <row r="27" spans="1:69" s="147" customFormat="1" ht="19.5" customHeight="1" x14ac:dyDescent="0.3">
      <c r="B27" s="227"/>
      <c r="C27" s="228"/>
      <c r="D27" s="235"/>
      <c r="E27" s="148"/>
      <c r="F27" s="265"/>
      <c r="I27" s="152"/>
      <c r="J27" s="225"/>
      <c r="K27" s="225"/>
      <c r="L27" s="225"/>
      <c r="M27" s="225"/>
      <c r="N27" s="225"/>
      <c r="O27" s="225"/>
      <c r="P27" s="225"/>
      <c r="Q27" s="225"/>
      <c r="R27" s="225"/>
      <c r="S27" s="169"/>
      <c r="T27" s="172"/>
      <c r="U27" s="160"/>
      <c r="V27" s="293"/>
      <c r="W27" s="162"/>
      <c r="X27" s="163"/>
      <c r="Y27" s="159"/>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4"/>
      <c r="BP27" s="164"/>
      <c r="BQ27" s="164"/>
    </row>
    <row r="28" spans="1:69" s="147" customFormat="1" ht="19.5" customHeight="1" x14ac:dyDescent="0.3">
      <c r="B28" s="227"/>
      <c r="C28" s="228"/>
      <c r="D28" s="235"/>
      <c r="E28" s="148"/>
      <c r="F28" s="265"/>
      <c r="I28" s="152"/>
      <c r="J28" s="225"/>
      <c r="K28" s="225"/>
      <c r="L28" s="225"/>
      <c r="M28" s="225"/>
      <c r="N28" s="225"/>
      <c r="O28" s="225"/>
      <c r="P28" s="225"/>
      <c r="Q28" s="225"/>
      <c r="R28" s="225"/>
      <c r="S28" s="169"/>
      <c r="T28" s="172"/>
      <c r="U28" s="160"/>
      <c r="V28" s="293"/>
      <c r="W28" s="162"/>
      <c r="X28" s="163"/>
      <c r="Y28" s="159"/>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4"/>
      <c r="BP28" s="164"/>
      <c r="BQ28" s="164"/>
    </row>
    <row r="29" spans="1:69" s="147" customFormat="1" ht="21" customHeight="1" x14ac:dyDescent="0.3">
      <c r="B29" s="227"/>
      <c r="C29" s="228"/>
      <c r="D29" s="235"/>
      <c r="E29" s="148"/>
      <c r="F29" s="265"/>
      <c r="I29" s="152"/>
      <c r="J29" s="168"/>
      <c r="K29" s="168"/>
      <c r="L29" s="168"/>
      <c r="M29" s="168"/>
      <c r="N29" s="168"/>
      <c r="O29" s="168"/>
      <c r="P29" s="168"/>
      <c r="Q29" s="168"/>
      <c r="R29" s="168"/>
      <c r="S29" s="297"/>
      <c r="T29" s="172"/>
      <c r="U29" s="168"/>
    </row>
    <row r="30" spans="1:69" x14ac:dyDescent="0.3">
      <c r="F30" s="181"/>
      <c r="G30" s="137"/>
      <c r="H30" s="178"/>
      <c r="I30" s="180"/>
      <c r="J30" s="137"/>
      <c r="K30" s="137"/>
      <c r="L30" s="179"/>
      <c r="M30" s="179"/>
      <c r="N30" s="179"/>
      <c r="O30" s="179"/>
      <c r="P30" s="179"/>
      <c r="Q30" s="179"/>
      <c r="R30" s="178"/>
      <c r="S30" s="137"/>
      <c r="T30" s="137"/>
      <c r="U30" s="137"/>
      <c r="V30" s="136"/>
    </row>
    <row r="31" spans="1:69" hidden="1" x14ac:dyDescent="0.3">
      <c r="F31" s="137"/>
      <c r="G31" s="137"/>
      <c r="H31" s="178" t="s">
        <v>7532</v>
      </c>
      <c r="I31" s="180"/>
      <c r="J31" s="137">
        <f t="shared" ref="J31:S31" si="1">IF(Versatz = 1, Fak_Einheit, IF(Versatz = 2, 10000/J33, 100*Fak_Einheit/J34))</f>
        <v>0.01</v>
      </c>
      <c r="K31" s="137">
        <f t="shared" si="1"/>
        <v>0.01</v>
      </c>
      <c r="L31" s="137">
        <f t="shared" si="1"/>
        <v>0.01</v>
      </c>
      <c r="M31" s="137">
        <f t="shared" si="1"/>
        <v>0.01</v>
      </c>
      <c r="N31" s="137">
        <f t="shared" si="1"/>
        <v>0.01</v>
      </c>
      <c r="O31" s="137">
        <f t="shared" si="1"/>
        <v>0.01</v>
      </c>
      <c r="P31" s="137">
        <f t="shared" si="1"/>
        <v>0.01</v>
      </c>
      <c r="Q31" s="137">
        <f t="shared" si="1"/>
        <v>0.01</v>
      </c>
      <c r="R31" s="137">
        <f t="shared" si="1"/>
        <v>0.01</v>
      </c>
      <c r="S31" s="137">
        <f t="shared" si="1"/>
        <v>0.01</v>
      </c>
      <c r="T31" s="137"/>
      <c r="U31" s="137"/>
      <c r="V31" s="136"/>
    </row>
    <row r="32" spans="1:69" hidden="1" x14ac:dyDescent="0.3">
      <c r="F32" s="137"/>
      <c r="G32" s="137"/>
      <c r="H32" s="178" t="s">
        <v>7531</v>
      </c>
      <c r="I32" s="180"/>
      <c r="J32" s="137">
        <v>1</v>
      </c>
      <c r="K32" s="137">
        <v>1</v>
      </c>
      <c r="L32" s="137">
        <v>1</v>
      </c>
      <c r="M32" s="137">
        <v>1</v>
      </c>
      <c r="N32" s="137">
        <v>1</v>
      </c>
      <c r="O32" s="137">
        <v>1</v>
      </c>
      <c r="P32" s="137">
        <v>1</v>
      </c>
      <c r="Q32" s="137">
        <v>1</v>
      </c>
      <c r="R32" s="137">
        <v>1</v>
      </c>
      <c r="S32" s="137">
        <v>1</v>
      </c>
      <c r="T32" s="137"/>
      <c r="U32" s="137"/>
      <c r="V32" s="136"/>
    </row>
    <row r="33" spans="6:24" x14ac:dyDescent="0.3">
      <c r="F33" s="149"/>
      <c r="G33" s="149"/>
      <c r="H33" s="192" t="s">
        <v>7547</v>
      </c>
      <c r="I33" s="154"/>
      <c r="J33" s="313">
        <v>297583</v>
      </c>
      <c r="K33" s="313">
        <v>564513</v>
      </c>
      <c r="L33" s="313">
        <v>1698796</v>
      </c>
      <c r="M33" s="313">
        <v>1505140</v>
      </c>
      <c r="N33" s="313">
        <v>562606</v>
      </c>
      <c r="O33" s="313">
        <v>1252922</v>
      </c>
      <c r="P33" s="313">
        <v>764102</v>
      </c>
      <c r="Q33" s="313">
        <v>401674</v>
      </c>
      <c r="R33" s="313">
        <v>1931593</v>
      </c>
      <c r="S33" s="263">
        <v>8978929</v>
      </c>
      <c r="T33" s="194"/>
      <c r="U33" s="194"/>
      <c r="V33" s="195"/>
      <c r="W33" s="147"/>
      <c r="X33" s="147"/>
    </row>
    <row r="34" spans="6:24" x14ac:dyDescent="0.3">
      <c r="F34" s="150"/>
      <c r="G34" s="150"/>
      <c r="H34" s="192" t="str">
        <f xml:space="preserve"> "Dauersiedlungsraum in " &amp; 'Ö Details'!Einheit</f>
        <v>Dauersiedlungsraum in km²</v>
      </c>
      <c r="I34" s="154"/>
      <c r="J34" s="313">
        <f>248472.125236831*(Fak_Einheit)</f>
        <v>2484.7212523683102</v>
      </c>
      <c r="K34" s="313">
        <f>245524.560234622*(Fak_Einheit)</f>
        <v>2455.24560234622</v>
      </c>
      <c r="L34" s="313">
        <f>1161561.50934769*(Fak_Einheit)</f>
        <v>11615.615093476901</v>
      </c>
      <c r="M34" s="313">
        <f>684230.978527465*(Fak_Einheit)</f>
        <v>6842.3097852746505</v>
      </c>
      <c r="N34" s="313">
        <f>149604.544828193*(Fak_Einheit)</f>
        <v>1496.04544828193</v>
      </c>
      <c r="O34" s="313">
        <f>522954.587087725*(Fak_Einheit)</f>
        <v>5229.5458708772503</v>
      </c>
      <c r="P34" s="313">
        <f>157291.607883013*(Fak_Einheit)</f>
        <v>1572.9160788301301</v>
      </c>
      <c r="Q34" s="313">
        <f>56729.5862789156*(Fak_Einheit)</f>
        <v>567.29586278915599</v>
      </c>
      <c r="R34" s="313">
        <f>33431.2772801946*(Fak_Einheit)</f>
        <v>334.31277280194598</v>
      </c>
      <c r="S34" s="263">
        <f>3259800.77670465*(Fak_Einheit)</f>
        <v>32598.0077670465</v>
      </c>
      <c r="T34" s="194"/>
      <c r="U34" s="194"/>
      <c r="V34" s="195"/>
      <c r="W34" s="147"/>
      <c r="X34" s="147"/>
    </row>
    <row r="35" spans="6:24" x14ac:dyDescent="0.3">
      <c r="F35" s="150"/>
      <c r="G35" s="150"/>
      <c r="H35" s="192"/>
      <c r="I35" s="154"/>
      <c r="J35" s="193"/>
      <c r="K35" s="193"/>
      <c r="L35" s="193"/>
      <c r="M35" s="193"/>
      <c r="N35" s="193"/>
      <c r="O35" s="193"/>
      <c r="P35" s="193"/>
      <c r="Q35" s="193"/>
      <c r="R35" s="193"/>
      <c r="S35" s="193"/>
      <c r="T35" s="194"/>
      <c r="U35" s="194"/>
      <c r="V35" s="195"/>
      <c r="W35" s="147"/>
      <c r="X35" s="147"/>
    </row>
    <row r="39" spans="6:24" x14ac:dyDescent="0.3">
      <c r="M39" s="184">
        <f>+'Ö Details'!Fak_1</f>
        <v>0.01</v>
      </c>
    </row>
  </sheetData>
  <mergeCells count="13">
    <mergeCell ref="J24:S24"/>
    <mergeCell ref="F1:T1"/>
    <mergeCell ref="B3:D3"/>
    <mergeCell ref="I8:U8"/>
    <mergeCell ref="V11:V12"/>
    <mergeCell ref="J13:S13"/>
    <mergeCell ref="J16:S16"/>
    <mergeCell ref="E3:DP6"/>
    <mergeCell ref="J15:S15"/>
    <mergeCell ref="J19:S19"/>
    <mergeCell ref="J20:S20"/>
    <mergeCell ref="J23:S23"/>
    <mergeCell ref="W14:W26"/>
  </mergeCells>
  <conditionalFormatting sqref="A11:U11">
    <cfRule type="expression" dxfId="121" priority="11">
      <formula>$A$22=1</formula>
    </cfRule>
    <cfRule type="expression" dxfId="120" priority="14">
      <formula>$A$22=2</formula>
    </cfRule>
  </conditionalFormatting>
  <conditionalFormatting sqref="J14:S14 J18:S18 J22:S22 J26:S26">
    <cfRule type="expression" dxfId="119" priority="1">
      <formula>$C$5="km²"</formula>
    </cfRule>
  </conditionalFormatting>
  <conditionalFormatting sqref="J27:S28">
    <cfRule type="expression" dxfId="118" priority="12">
      <formula>$C$8 = "relativ"</formula>
    </cfRule>
  </conditionalFormatting>
  <conditionalFormatting sqref="U14:U28">
    <cfRule type="dataBar" priority="16">
      <dataBar showValue="0">
        <cfvo type="num" val="0"/>
        <cfvo type="num" val="1"/>
        <color theme="0" tint="-0.499984740745262"/>
      </dataBar>
      <extLst>
        <ext xmlns:x14="http://schemas.microsoft.com/office/spreadsheetml/2009/9/main" uri="{B025F937-C7B1-47D3-B67F-A62EFF666E3E}">
          <x14:id>{D2B0BD4C-FD63-48B2-A5E8-8D0AC4D546E2}</x14:id>
        </ext>
      </extLst>
    </cfRule>
  </conditionalFormatting>
  <conditionalFormatting sqref="W11:XFD11">
    <cfRule type="expression" dxfId="117" priority="5">
      <formula>$A$22=2</formula>
    </cfRule>
    <cfRule type="expression" dxfId="116" priority="6">
      <formula>$A$22=1</formula>
    </cfRule>
  </conditionalFormatting>
  <dataValidations count="2">
    <dataValidation type="list" allowBlank="1" showInputMessage="1" showErrorMessage="1" sqref="C5 D7" xr:uid="{00000000-0002-0000-0400-000000000000}">
      <formula1>"ha,km²"</formula1>
    </dataValidation>
    <dataValidation type="list" allowBlank="1" showInputMessage="1" showErrorMessage="1" sqref="D8" xr:uid="{00000000-0002-0000-0400-000001000000}">
      <formula1>"absolut,relativ"</formula1>
    </dataValidation>
  </dataValidations>
  <pageMargins left="1.0236220472440944" right="0.23622047244094491" top="0.74803149606299213" bottom="0.74803149606299213" header="0.31496062992125984" footer="0.31496062992125984"/>
  <pageSetup paperSize="8" scale="30" orientation="landscape" r:id="rId1"/>
  <extLst>
    <ext xmlns:x14="http://schemas.microsoft.com/office/spreadsheetml/2009/9/main" uri="{78C0D931-6437-407d-A8EE-F0AAD7539E65}">
      <x14:conditionalFormattings>
        <x14:conditionalFormatting xmlns:xm="http://schemas.microsoft.com/office/excel/2006/main">
          <x14:cfRule type="dataBar" id="{D2B0BD4C-FD63-48B2-A5E8-8D0AC4D546E2}">
            <x14:dataBar minLength="0" maxLength="100" gradient="0">
              <x14:cfvo type="num">
                <xm:f>0</xm:f>
              </x14:cfvo>
              <x14:cfvo type="num">
                <xm:f>1</xm:f>
              </x14:cfvo>
              <x14:negativeFillColor rgb="FFFF0000"/>
              <x14:axisColor rgb="FF000000"/>
            </x14:dataBar>
          </x14:cfRule>
          <xm:sqref>U14:U28</xm:sqref>
        </x14:conditionalFormatting>
      </x14:conditionalFormattings>
    </ext>
    <ext xmlns:x14="http://schemas.microsoft.com/office/spreadsheetml/2009/9/main" uri="{05C60535-1F16-4fd2-B633-F4F36F0B64E0}">
      <x14:sparklineGroups xmlns:xm="http://schemas.microsoft.com/office/excel/2006/main">
        <x14:sparklineGroup type="column" displayEmptyCellsAs="gap" xr2:uid="{00000000-0003-0000-0400-000004000000}">
          <x14:colorSeries theme="0" tint="-0.249977111117893"/>
          <x14:colorNegative rgb="FFD00000"/>
          <x14:colorAxis rgb="FF000000"/>
          <x14:colorMarkers rgb="FFD00000"/>
          <x14:colorFirst rgb="FFD00000"/>
          <x14:colorLast rgb="FFD00000"/>
          <x14:colorHigh rgb="FFD00000"/>
          <x14:colorLow rgb="FFD00000"/>
          <x14:sparklines>
            <x14:sparkline>
              <xm:f>'Ö Details'!J25:S25</xm:f>
              <xm:sqref>J24</xm:sqref>
            </x14:sparkline>
          </x14:sparklines>
        </x14:sparklineGroup>
        <x14:sparklineGroup type="column" displayEmptyCellsAs="gap" xr2:uid="{00000000-0003-0000-0400-000003000000}">
          <x14:colorSeries theme="0" tint="-0.249977111117893"/>
          <x14:colorNegative rgb="FFD00000"/>
          <x14:colorAxis rgb="FF000000"/>
          <x14:colorMarkers rgb="FFD00000"/>
          <x14:colorFirst rgb="FFD00000"/>
          <x14:colorLast rgb="FFD00000"/>
          <x14:colorHigh rgb="FFD00000"/>
          <x14:colorLow rgb="FFD00000"/>
          <x14:sparklines>
            <x14:sparkline>
              <xm:f>'Ö Details'!J21:S21</xm:f>
              <xm:sqref>J20</xm:sqref>
            </x14:sparkline>
          </x14:sparklines>
        </x14:sparklineGroup>
        <x14:sparklineGroup type="column" displayEmptyCellsAs="gap" xr2:uid="{00000000-0003-0000-0400-000002000000}">
          <x14:colorSeries theme="0" tint="-0.249977111117893"/>
          <x14:colorNegative rgb="FFD00000"/>
          <x14:colorAxis rgb="FF000000"/>
          <x14:colorMarkers rgb="FFD00000"/>
          <x14:colorFirst rgb="FFD00000"/>
          <x14:colorLast rgb="FFD00000"/>
          <x14:colorHigh rgb="FFD00000"/>
          <x14:colorLow rgb="FFD00000"/>
          <x14:sparklines>
            <x14:sparkline>
              <xm:f>'Ö Details'!J17:S17</xm:f>
              <xm:sqref>J16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rgb="FFFFFF00"/>
    <pageSetUpPr fitToPage="1"/>
  </sheetPr>
  <dimension ref="A1:DX74"/>
  <sheetViews>
    <sheetView topLeftCell="B1" zoomScale="80" zoomScaleNormal="80" workbookViewId="0">
      <pane xSplit="3" ySplit="4" topLeftCell="E12" activePane="bottomRight" state="frozen"/>
      <selection activeCell="B43" sqref="B43"/>
      <selection pane="topRight" activeCell="B43" sqref="B43"/>
      <selection pane="bottomLeft" activeCell="B43" sqref="B43"/>
      <selection pane="bottomRight" activeCell="J20" sqref="J20"/>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34" width="15.42578125" style="138" customWidth="1"/>
    <col min="35" max="35" width="27.42578125" style="138" bestFit="1" customWidth="1"/>
    <col min="36" max="36" width="30" style="186" bestFit="1" customWidth="1"/>
    <col min="37" max="37" width="9.5703125" style="138" customWidth="1"/>
    <col min="38" max="38" width="15.5703125" style="138" customWidth="1"/>
    <col min="39" max="39" width="14.140625" style="138" customWidth="1"/>
    <col min="40" max="41" width="11.42578125" style="138"/>
    <col min="42" max="78" width="11.42578125" style="138" customWidth="1"/>
    <col min="79" max="81" width="11.42578125" style="138"/>
    <col min="82" max="82" width="12.28515625" style="138" bestFit="1" customWidth="1"/>
    <col min="83" max="83" width="13.140625" style="138" bestFit="1" customWidth="1"/>
    <col min="84" max="84" width="12.85546875" style="138" bestFit="1" customWidth="1"/>
    <col min="85" max="16384" width="11.42578125" style="138"/>
  </cols>
  <sheetData>
    <row r="1" spans="1:84" s="239" customFormat="1" ht="53.25" customHeight="1" x14ac:dyDescent="0.3">
      <c r="A1" s="133" t="s">
        <v>7355</v>
      </c>
      <c r="B1" s="366" t="s">
        <v>7540</v>
      </c>
      <c r="C1" s="366"/>
      <c r="D1" s="366"/>
      <c r="E1" s="381" t="str">
        <f>"Indikatoren zur Bodenstrategie (Baseline 2022) - Ergebnisse " &amp; VLOOKUP(BL,Konstanten!$E$38:$F$46,2,FALSE)</f>
        <v>Indikatoren zur Bodenstrategie (Baseline 2022) - Ergebnisse Niederösterreich</v>
      </c>
      <c r="F1" s="381"/>
      <c r="G1" s="381"/>
      <c r="H1" s="381"/>
      <c r="I1" s="381"/>
      <c r="J1" s="381"/>
      <c r="K1" s="381"/>
      <c r="L1" s="381"/>
      <c r="M1" s="381"/>
      <c r="N1" s="381"/>
      <c r="O1" s="381"/>
      <c r="P1" s="381"/>
      <c r="Q1" s="381"/>
      <c r="R1" s="381"/>
      <c r="S1" s="380"/>
      <c r="T1" s="380"/>
      <c r="U1" s="380"/>
      <c r="V1" s="380"/>
      <c r="W1" s="380"/>
      <c r="X1" s="380"/>
      <c r="Y1" s="380"/>
      <c r="Z1" s="380"/>
      <c r="AA1" s="380"/>
      <c r="AB1" s="380"/>
      <c r="AC1" s="380"/>
      <c r="AD1" s="380"/>
      <c r="AE1" s="380"/>
      <c r="AF1" s="380"/>
      <c r="AG1" s="380"/>
      <c r="AH1" s="256"/>
      <c r="AI1" s="256"/>
      <c r="AJ1" s="257"/>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row>
    <row r="2" spans="1:84" s="239" customFormat="1" ht="15" customHeight="1" x14ac:dyDescent="0.3">
      <c r="A2" s="133"/>
      <c r="B2" s="243"/>
      <c r="C2" s="243"/>
      <c r="D2" s="243"/>
      <c r="E2" s="381"/>
      <c r="F2" s="381"/>
      <c r="G2" s="381"/>
      <c r="H2" s="381"/>
      <c r="I2" s="381"/>
      <c r="J2" s="381"/>
      <c r="K2" s="381"/>
      <c r="L2" s="381"/>
      <c r="M2" s="381"/>
      <c r="N2" s="381"/>
      <c r="O2" s="381"/>
      <c r="P2" s="381"/>
      <c r="Q2" s="381"/>
      <c r="R2" s="381"/>
      <c r="S2" s="380"/>
      <c r="T2" s="380"/>
      <c r="U2" s="380"/>
      <c r="V2" s="380"/>
      <c r="W2" s="380"/>
      <c r="X2" s="380"/>
      <c r="Y2" s="380"/>
      <c r="Z2" s="380"/>
      <c r="AA2" s="380"/>
      <c r="AB2" s="380"/>
      <c r="AC2" s="380"/>
      <c r="AD2" s="380"/>
      <c r="AE2" s="380"/>
      <c r="AF2" s="380"/>
      <c r="AG2" s="380"/>
      <c r="AH2" s="256"/>
      <c r="AI2" s="256"/>
      <c r="AJ2" s="257"/>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row>
    <row r="3" spans="1:84"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380"/>
      <c r="U3" s="380"/>
      <c r="V3" s="380"/>
      <c r="W3" s="380"/>
      <c r="X3" s="380"/>
      <c r="Y3" s="380"/>
      <c r="Z3" s="380"/>
      <c r="AA3" s="380"/>
      <c r="AB3" s="380"/>
      <c r="AC3" s="380"/>
      <c r="AD3" s="380"/>
      <c r="AE3" s="380"/>
      <c r="AF3" s="380"/>
      <c r="AG3" s="380"/>
      <c r="AH3" s="256"/>
      <c r="AI3" s="256"/>
      <c r="AJ3" s="257"/>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row>
    <row r="4" spans="1:84" s="239" customFormat="1" ht="22.5" customHeight="1" x14ac:dyDescent="0.3">
      <c r="A4" s="131"/>
      <c r="B4" s="227"/>
      <c r="C4" s="228"/>
      <c r="D4" s="229"/>
      <c r="E4" s="381"/>
      <c r="F4" s="381"/>
      <c r="G4" s="381"/>
      <c r="H4" s="381"/>
      <c r="I4" s="381"/>
      <c r="J4" s="381"/>
      <c r="K4" s="381"/>
      <c r="L4" s="381"/>
      <c r="M4" s="381"/>
      <c r="N4" s="381"/>
      <c r="O4" s="381"/>
      <c r="P4" s="381"/>
      <c r="Q4" s="381"/>
      <c r="R4" s="381"/>
      <c r="S4" s="380"/>
      <c r="T4" s="380"/>
      <c r="U4" s="380"/>
      <c r="V4" s="380"/>
      <c r="W4" s="380"/>
      <c r="X4" s="380"/>
      <c r="Y4" s="380"/>
      <c r="Z4" s="380"/>
      <c r="AA4" s="380"/>
      <c r="AB4" s="380"/>
      <c r="AC4" s="380"/>
      <c r="AD4" s="380"/>
      <c r="AE4" s="380"/>
      <c r="AF4" s="380"/>
      <c r="AG4" s="380"/>
      <c r="AJ4" s="261"/>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row>
    <row r="5" spans="1:84" ht="52.5" customHeight="1" x14ac:dyDescent="0.3">
      <c r="A5" s="133">
        <f>+IF(Einheit = "ha", 1, 0.01)</f>
        <v>0.01</v>
      </c>
      <c r="C5" s="227"/>
      <c r="D5" s="231"/>
      <c r="E5" s="226" t="s">
        <v>7530</v>
      </c>
      <c r="F5" s="140"/>
      <c r="G5" s="140"/>
      <c r="H5" s="140"/>
      <c r="I5" s="140"/>
      <c r="J5" s="1"/>
      <c r="K5" s="1"/>
      <c r="L5" s="1"/>
      <c r="M5" s="1"/>
      <c r="N5" s="1"/>
      <c r="O5" s="1"/>
      <c r="P5" s="1"/>
      <c r="Q5" s="1"/>
      <c r="R5" s="1"/>
      <c r="S5" s="1"/>
      <c r="T5" s="1"/>
      <c r="U5" s="1"/>
      <c r="V5" s="1"/>
      <c r="W5" s="1"/>
      <c r="X5" s="1"/>
      <c r="Y5" s="1"/>
      <c r="Z5" s="1"/>
      <c r="AA5" s="1"/>
      <c r="AB5" s="1"/>
      <c r="AC5" s="1"/>
      <c r="AD5" s="1"/>
      <c r="AE5" s="1"/>
      <c r="AF5" s="1"/>
      <c r="AG5" s="1"/>
      <c r="AH5" s="140"/>
      <c r="AI5" s="140"/>
      <c r="AJ5" s="140"/>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row>
    <row r="6" spans="1:84"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146"/>
      <c r="AL6" s="138"/>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row>
    <row r="7" spans="1:84" s="144" customFormat="1" ht="34.5" hidden="1" customHeight="1" x14ac:dyDescent="0.3">
      <c r="A7" s="133"/>
      <c r="B7" s="227"/>
      <c r="C7" s="230"/>
      <c r="D7" s="231"/>
      <c r="E7" s="139"/>
      <c r="F7" s="141"/>
      <c r="G7" s="141"/>
      <c r="H7" s="141"/>
      <c r="I7" s="142"/>
      <c r="J7" s="131">
        <f>Fak_Einheit/IF(denom_1="absolut",1,Fak_Einheit*'BL-Template'!FI_gesamt)</f>
        <v>0.01</v>
      </c>
      <c r="K7" s="131">
        <f>Fak_Einheit/IF(denom_1="absolut",1,Fak_Einheit*'BL-Template'!FI_gesamt)</f>
        <v>0.01</v>
      </c>
      <c r="L7" s="131">
        <f>Fak_Einheit/IF(denom_1="absolut",1,Fak_Einheit*'BL-Template'!FI_gesamt)</f>
        <v>0.01</v>
      </c>
      <c r="M7" s="131">
        <f>Fak_Einheit/IF(denom_1="absolut",1,Fak_Einheit*'BL-Template'!FI_gesamt)</f>
        <v>0.01</v>
      </c>
      <c r="N7" s="131">
        <f>Fak_Einheit/IF(denom_1="absolut",1,Fak_Einheit*'BL-Template'!FI_gesamt)</f>
        <v>0.01</v>
      </c>
      <c r="O7" s="131">
        <f>Fak_Einheit/IF(denom_1="absolut",1,Fak_Einheit*'BL-Template'!FI_gesamt)</f>
        <v>0.01</v>
      </c>
      <c r="P7" s="131">
        <f>Fak_Einheit/IF(denom_1="absolut",1,Fak_Einheit*'BL-Template'!FI_gesamt)</f>
        <v>0.01</v>
      </c>
      <c r="Q7" s="131">
        <f>Fak_Einheit/IF(denom_1="absolut",1,Fak_Einheit*'BL-Template'!FI_gesamt)</f>
        <v>0.01</v>
      </c>
      <c r="R7" s="131">
        <f>Fak_Einheit/IF(denom_1="absolut",1,Fak_Einheit*'BL-Template'!FI_gesamt)</f>
        <v>0.01</v>
      </c>
      <c r="S7" s="131">
        <f>Fak_Einheit/IF(denom_1="absolut",1,Fak_Einheit*'BL-Template'!FI_gesamt)</f>
        <v>0.01</v>
      </c>
      <c r="T7" s="131">
        <f>Fak_Einheit/IF(denom_1="absolut",1,Fak_Einheit*'BL-Template'!FI_gesamt)</f>
        <v>0.01</v>
      </c>
      <c r="U7" s="131">
        <f>Fak_Einheit/IF(denom_1="absolut",1,Fak_Einheit*'BL-Template'!FI_gesamt)</f>
        <v>0.01</v>
      </c>
      <c r="V7" s="131">
        <f>Fak_Einheit/IF(denom_1="absolut",1,Fak_Einheit*'BL-Template'!FI_gesamt)</f>
        <v>0.01</v>
      </c>
      <c r="W7" s="131">
        <f>Fak_Einheit/IF(denom_1="absolut",1,Fak_Einheit*'BL-Template'!FI_gesamt)</f>
        <v>0.01</v>
      </c>
      <c r="X7" s="131">
        <f>Fak_Einheit/IF(denom_1="absolut",1,Fak_Einheit*'BL-Template'!FI_gesamt)</f>
        <v>0.01</v>
      </c>
      <c r="Y7" s="131">
        <f>Fak_Einheit/IF(denom_1="absolut",1,Fak_Einheit*'BL-Template'!FI_gesamt)</f>
        <v>0.01</v>
      </c>
      <c r="Z7" s="131">
        <f>Fak_Einheit/IF(denom_1="absolut",1,Fak_Einheit*'BL-Template'!FI_gesamt)</f>
        <v>0.01</v>
      </c>
      <c r="AA7" s="131">
        <f>Fak_Einheit/IF(denom_1="absolut",1,Fak_Einheit*'BL-Template'!FI_gesamt)</f>
        <v>0.01</v>
      </c>
      <c r="AB7" s="131">
        <f>Fak_Einheit/IF(denom_1="absolut",1,Fak_Einheit*'BL-Template'!FI_gesamt)</f>
        <v>0.01</v>
      </c>
      <c r="AC7" s="131">
        <f>Fak_Einheit/IF(denom_1="absolut",1,Fak_Einheit*'BL-Template'!FI_gesamt)</f>
        <v>0.01</v>
      </c>
      <c r="AD7" s="131">
        <f>Fak_Einheit/IF(denom_1="absolut",1,Fak_Einheit*'BL-Template'!FI_gesamt)</f>
        <v>0.01</v>
      </c>
      <c r="AE7" s="131">
        <f>Fak_Einheit/IF(denom_1="absolut",1,Fak_Einheit*'BL-Template'!FI_gesamt)</f>
        <v>0.01</v>
      </c>
      <c r="AF7" s="131">
        <f>Fak_Einheit/IF(denom_1="absolut",1,Fak_Einheit*'BL-Template'!FI_gesamt)</f>
        <v>0.01</v>
      </c>
      <c r="AG7" s="131">
        <f>Fak_Einheit/IF(denom_1="absolut",1,Fak_Einheit*'BL-Template'!FI_gesamt)</f>
        <v>0.01</v>
      </c>
      <c r="AH7" s="131">
        <f>Fak_Einheit/IF(denom_1="absolut",1,Fak_Einheit*'BL-Template'!FI_gesamt)</f>
        <v>0.01</v>
      </c>
      <c r="AI7" s="143"/>
      <c r="AJ7" s="145"/>
      <c r="AK7" s="146"/>
      <c r="AL7" s="138"/>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row>
    <row r="8" spans="1:84" s="270" customFormat="1" ht="16.5" hidden="1" x14ac:dyDescent="0.25">
      <c r="B8" s="271"/>
      <c r="C8" s="272"/>
      <c r="D8" s="271"/>
      <c r="H8" s="273" t="s">
        <v>7523</v>
      </c>
      <c r="J8" s="270">
        <v>10359.238647681799</v>
      </c>
      <c r="K8" s="270">
        <v>9392.3114052323999</v>
      </c>
      <c r="L8" s="270">
        <v>9995.2669699252201</v>
      </c>
      <c r="M8" s="270">
        <v>5132.92264648949</v>
      </c>
      <c r="N8" s="270">
        <v>12188.8902515803</v>
      </c>
      <c r="O8" s="270">
        <v>7600.9966622830398</v>
      </c>
      <c r="P8" s="270">
        <v>5223.1043937015302</v>
      </c>
      <c r="Q8" s="270">
        <v>8208.0393402008194</v>
      </c>
      <c r="R8" s="270">
        <v>1278.3703395748801</v>
      </c>
      <c r="S8" s="270">
        <v>6361.00351316042</v>
      </c>
      <c r="T8" s="270">
        <v>2735.4791316452302</v>
      </c>
      <c r="U8" s="270">
        <v>8299.6788445816201</v>
      </c>
      <c r="V8" s="270">
        <v>10719.057351228101</v>
      </c>
      <c r="W8" s="270">
        <v>6300.1822114288298</v>
      </c>
      <c r="X8" s="270">
        <v>8063.2577050824702</v>
      </c>
      <c r="Y8" s="270">
        <v>11985.9689579278</v>
      </c>
      <c r="Z8" s="270">
        <v>3191.7849756249998</v>
      </c>
      <c r="AA8" s="270">
        <v>4142.1941131735603</v>
      </c>
      <c r="AB8" s="270">
        <v>9771.0346503376695</v>
      </c>
      <c r="AC8" s="270">
        <v>4182.9469677204497</v>
      </c>
      <c r="AD8" s="270">
        <v>794.705866677627</v>
      </c>
      <c r="AE8" s="270">
        <v>7858.6431200614397</v>
      </c>
      <c r="AF8" s="270">
        <v>2528.3375586939501</v>
      </c>
      <c r="AG8" s="270">
        <v>6697.2507513999199</v>
      </c>
      <c r="AH8" s="270">
        <v>564795.54304424999</v>
      </c>
      <c r="AK8" s="382"/>
    </row>
    <row r="9" spans="1:84" s="274" customFormat="1" ht="93" customHeight="1" x14ac:dyDescent="0.4">
      <c r="B9" s="272"/>
      <c r="C9" s="272"/>
      <c r="D9" s="272"/>
      <c r="F9" s="275"/>
      <c r="G9" s="275"/>
      <c r="H9" s="275"/>
      <c r="I9" s="275"/>
      <c r="J9" s="278" t="s">
        <v>54</v>
      </c>
      <c r="K9" s="278" t="s">
        <v>55</v>
      </c>
      <c r="L9" s="278" t="s">
        <v>56</v>
      </c>
      <c r="M9" s="278" t="s">
        <v>58</v>
      </c>
      <c r="N9" s="278" t="s">
        <v>57</v>
      </c>
      <c r="O9" s="278" t="s">
        <v>59</v>
      </c>
      <c r="P9" s="278" t="s">
        <v>60</v>
      </c>
      <c r="Q9" s="278" t="s">
        <v>61</v>
      </c>
      <c r="R9" s="278" t="s">
        <v>49</v>
      </c>
      <c r="S9" s="278" t="s">
        <v>62</v>
      </c>
      <c r="T9" s="278" t="s">
        <v>63</v>
      </c>
      <c r="U9" s="278" t="s">
        <v>64</v>
      </c>
      <c r="V9" s="278" t="s">
        <v>65</v>
      </c>
      <c r="W9" s="278" t="s">
        <v>66</v>
      </c>
      <c r="X9" s="278" t="s">
        <v>67</v>
      </c>
      <c r="Y9" s="278" t="s">
        <v>68</v>
      </c>
      <c r="Z9" s="278" t="s">
        <v>51</v>
      </c>
      <c r="AA9" s="278" t="s">
        <v>69</v>
      </c>
      <c r="AB9" s="278" t="s">
        <v>70</v>
      </c>
      <c r="AC9" s="278" t="s">
        <v>71</v>
      </c>
      <c r="AD9" s="278" t="s">
        <v>52</v>
      </c>
      <c r="AE9" s="278" t="s">
        <v>72</v>
      </c>
      <c r="AF9" s="278" t="s">
        <v>53</v>
      </c>
      <c r="AG9" s="278" t="s">
        <v>73</v>
      </c>
      <c r="AH9" s="279" t="s">
        <v>7541</v>
      </c>
      <c r="AK9" s="382"/>
      <c r="AL9" s="276"/>
      <c r="AM9" s="276"/>
      <c r="CD9" s="274" t="s">
        <v>7524</v>
      </c>
      <c r="CE9" s="274" t="s">
        <v>7525</v>
      </c>
      <c r="CF9" s="274" t="s">
        <v>7526</v>
      </c>
    </row>
    <row r="10" spans="1:84" s="156" customFormat="1" ht="19.5" customHeight="1" thickBot="1" x14ac:dyDescent="0.45">
      <c r="B10" s="236"/>
      <c r="C10" s="237"/>
      <c r="D10" s="238"/>
      <c r="F10" s="265"/>
      <c r="G10" s="157"/>
      <c r="I10" s="192" t="s">
        <v>7515</v>
      </c>
      <c r="J10" s="286">
        <f>10359.2386476818*(+'BL-Template'!Fak_1)</f>
        <v>103.59238647681799</v>
      </c>
      <c r="K10" s="286">
        <f>9392.3114052324*(+'BL-Template'!Fak_1)</f>
        <v>93.923114052323996</v>
      </c>
      <c r="L10" s="286">
        <f>9995.26696992522*(+'BL-Template'!Fak_1)</f>
        <v>99.952669699252198</v>
      </c>
      <c r="M10" s="286">
        <f>5132.92264648949*(+'BL-Template'!Fak_1)</f>
        <v>51.329226464894901</v>
      </c>
      <c r="N10" s="286">
        <f>12188.8902515803*(+'BL-Template'!Fak_1)</f>
        <v>121.88890251580301</v>
      </c>
      <c r="O10" s="286">
        <f>7600.99666228304*(+'BL-Template'!Fak_1)</f>
        <v>76.009966622830405</v>
      </c>
      <c r="P10" s="286">
        <f>5223.10439370153*(+'BL-Template'!Fak_1)</f>
        <v>52.231043937015301</v>
      </c>
      <c r="Q10" s="286">
        <f>8208.03934020082*(+'BL-Template'!Fak_1)</f>
        <v>82.080393402008198</v>
      </c>
      <c r="R10" s="286">
        <f>1278.37033957488*(+'BL-Template'!Fak_1)</f>
        <v>12.783703395748802</v>
      </c>
      <c r="S10" s="286">
        <f>6361.00351316042*(+'BL-Template'!Fak_1)</f>
        <v>63.610035131604199</v>
      </c>
      <c r="T10" s="286">
        <f>2735.47913164523*(+'BL-Template'!Fak_1)</f>
        <v>27.354791316452303</v>
      </c>
      <c r="U10" s="286">
        <f>8299.67884458162*(+'BL-Template'!Fak_1)</f>
        <v>82.996788445816208</v>
      </c>
      <c r="V10" s="286">
        <f>10719.0573512281*(+'BL-Template'!Fak_1)</f>
        <v>107.19057351228101</v>
      </c>
      <c r="W10" s="286">
        <f>6300.18221142883*(+'BL-Template'!Fak_1)</f>
        <v>63.001822114288302</v>
      </c>
      <c r="X10" s="286">
        <f>8063.25770508247*(+'BL-Template'!Fak_1)</f>
        <v>80.632577050824707</v>
      </c>
      <c r="Y10" s="286">
        <f>11985.9689579278*(+'BL-Template'!Fak_1)</f>
        <v>119.859689579278</v>
      </c>
      <c r="Z10" s="286">
        <f>3191.784975625*(+'BL-Template'!Fak_1)</f>
        <v>31.91784975625</v>
      </c>
      <c r="AA10" s="286">
        <f>4142.19411317356*(+'BL-Template'!Fak_1)</f>
        <v>41.421941131735601</v>
      </c>
      <c r="AB10" s="286">
        <f>9771.03465033767*(+'BL-Template'!Fak_1)</f>
        <v>97.710346503376698</v>
      </c>
      <c r="AC10" s="286">
        <f>4182.94696772045*(+'BL-Template'!Fak_1)</f>
        <v>41.8294696772045</v>
      </c>
      <c r="AD10" s="286">
        <f>794.705866677627*(+'BL-Template'!Fak_1)</f>
        <v>7.9470586667762699</v>
      </c>
      <c r="AE10" s="286">
        <f>7858.64312006144*(+'BL-Template'!Fak_1)</f>
        <v>78.586431200614399</v>
      </c>
      <c r="AF10" s="286">
        <f>2528.33755869395*(+'BL-Template'!Fak_1)</f>
        <v>25.283375586939503</v>
      </c>
      <c r="AG10" s="286">
        <f>6697.25075139992*(+'BL-Template'!Fak_1)</f>
        <v>66.972507513999204</v>
      </c>
      <c r="AH10" s="287">
        <f t="shared" ref="AH10:AH15" si="0">SUM(J10:AG10)</f>
        <v>1630.106663754136</v>
      </c>
      <c r="AI10" s="172" t="str">
        <f t="shared" ref="AI10:AI15" si="1">IF(denom_1="absolut",Einheit,"% FI gesamt")</f>
        <v>km²</v>
      </c>
      <c r="AJ10" s="160"/>
      <c r="AK10" s="161">
        <f>+CE10/CD10</f>
        <v>0.5241637875598999</v>
      </c>
      <c r="AL10" s="364" t="s">
        <v>7527</v>
      </c>
      <c r="AM10" s="163"/>
      <c r="AN10" s="159"/>
      <c r="CD10" s="164">
        <f>+AH10</f>
        <v>1630.106663754136</v>
      </c>
      <c r="CE10" s="164">
        <f>+AH25</f>
        <v>854.44288300000005</v>
      </c>
      <c r="CF10" s="164">
        <f>+CD10-CE10</f>
        <v>775.66378075413593</v>
      </c>
    </row>
    <row r="11" spans="1:84" s="147" customFormat="1" ht="19.5" customHeight="1" thickTop="1" thickBot="1" x14ac:dyDescent="0.35">
      <c r="B11" s="227"/>
      <c r="C11" s="228"/>
      <c r="D11" s="235"/>
      <c r="E11" s="148"/>
      <c r="F11" s="265"/>
      <c r="I11" s="152" t="s">
        <v>25</v>
      </c>
      <c r="J11" s="288">
        <f>3313.7708583425*(+'BL-Template'!Fak_1)</f>
        <v>33.137708583425002</v>
      </c>
      <c r="K11" s="288">
        <f>2409.58637068391*(+'BL-Template'!Fak_1)</f>
        <v>24.095863706839101</v>
      </c>
      <c r="L11" s="288">
        <f>3746.64770719745*(+'BL-Template'!Fak_1)</f>
        <v>37.466477071974502</v>
      </c>
      <c r="M11" s="288">
        <f>1612.42550966181*(+'BL-Template'!Fak_1)</f>
        <v>16.1242550966181</v>
      </c>
      <c r="N11" s="288">
        <f>4273.15498149914*(+'BL-Template'!Fak_1)</f>
        <v>42.731549814991403</v>
      </c>
      <c r="O11" s="288">
        <f>3227.96694629913*(+'BL-Template'!Fak_1)</f>
        <v>32.279669462991301</v>
      </c>
      <c r="P11" s="288">
        <f>2328.09949718561*(+'BL-Template'!Fak_1)</f>
        <v>23.280994971856099</v>
      </c>
      <c r="Q11" s="288">
        <f>2820.31119624996*(+'BL-Template'!Fak_1)</f>
        <v>28.203111962499602</v>
      </c>
      <c r="R11" s="288">
        <f>340.074412548994*(+'BL-Template'!Fak_1)</f>
        <v>3.4007441254899402</v>
      </c>
      <c r="S11" s="288">
        <f>2254.38856190664*(+'BL-Template'!Fak_1)</f>
        <v>22.543885619066401</v>
      </c>
      <c r="T11" s="288">
        <f>892.157249196437*(+'BL-Template'!Fak_1)</f>
        <v>8.9215724919643691</v>
      </c>
      <c r="U11" s="288">
        <f>3008.27471844547*(+'BL-Template'!Fak_1)</f>
        <v>30.082747184454703</v>
      </c>
      <c r="V11" s="288">
        <f>4652.6414605818*(+'BL-Template'!Fak_1)</f>
        <v>46.526414605817997</v>
      </c>
      <c r="W11" s="288">
        <f>1464.5866417085*(+'BL-Template'!Fak_1)</f>
        <v>14.645866417085001</v>
      </c>
      <c r="X11" s="288">
        <f>2406.31475660023*(+'BL-Template'!Fak_1)</f>
        <v>24.0631475660023</v>
      </c>
      <c r="Y11" s="288">
        <f>3825.91358114684*(+'BL-Template'!Fak_1)</f>
        <v>38.259135811468404</v>
      </c>
      <c r="Z11" s="288">
        <f>964.264829014713*(+'BL-Template'!Fak_1)</f>
        <v>9.6426482901471307</v>
      </c>
      <c r="AA11" s="288">
        <f>1401.31375695051*(+'BL-Template'!Fak_1)</f>
        <v>14.013137569505099</v>
      </c>
      <c r="AB11" s="288">
        <f>3026.65984771605*(+'BL-Template'!Fak_1)</f>
        <v>30.2665984771605</v>
      </c>
      <c r="AC11" s="288">
        <f>1788.64661480435*(+'BL-Template'!Fak_1)</f>
        <v>17.8864661480435</v>
      </c>
      <c r="AD11" s="288">
        <f>266.642138144542*(+'BL-Template'!Fak_1)</f>
        <v>2.6664213814454203</v>
      </c>
      <c r="AE11" s="288">
        <f>1980.7489334336*(+'BL-Template'!Fak_1)</f>
        <v>19.807489334336001</v>
      </c>
      <c r="AF11" s="288">
        <f>874.768409066463*(+'BL-Template'!Fak_1)</f>
        <v>8.7476840906646309</v>
      </c>
      <c r="AG11" s="288">
        <f>2737.44131005691*(+'BL-Template'!Fak_1)</f>
        <v>27.3744131005691</v>
      </c>
      <c r="AH11" s="289">
        <f t="shared" si="0"/>
        <v>556.16800288441573</v>
      </c>
      <c r="AI11" s="172" t="str">
        <f t="shared" si="1"/>
        <v>km²</v>
      </c>
      <c r="AJ11" s="160"/>
      <c r="AK11" s="161">
        <f t="shared" ref="AK11:AK15" si="2">+CE11/CD11</f>
        <v>0.7306940095301685</v>
      </c>
      <c r="AL11" s="364"/>
      <c r="AM11" s="163"/>
      <c r="AN11" s="159"/>
      <c r="CD11" s="164">
        <f t="shared" ref="CD11:CD15" si="3">+AH11</f>
        <v>556.16800288441573</v>
      </c>
      <c r="CE11" s="164">
        <f t="shared" ref="CE11:CE15" si="4">+AH26</f>
        <v>406.38862800000004</v>
      </c>
      <c r="CF11" s="164">
        <f t="shared" ref="CF11:CF15" si="5">+CD11-CE11</f>
        <v>149.77937488441569</v>
      </c>
    </row>
    <row r="12" spans="1:84" s="147" customFormat="1" ht="19.5" customHeight="1" thickTop="1" thickBot="1" x14ac:dyDescent="0.35">
      <c r="A12" s="167"/>
      <c r="B12" s="227"/>
      <c r="C12" s="228"/>
      <c r="D12" s="235"/>
      <c r="E12" s="148"/>
      <c r="F12" s="265"/>
      <c r="I12" s="152" t="s">
        <v>7410</v>
      </c>
      <c r="J12" s="288">
        <f>4341.6368092404*(+'BL-Template'!Fak_1)</f>
        <v>43.416368092403999</v>
      </c>
      <c r="K12" s="288">
        <f>5287.23408928004*(+'BL-Template'!Fak_1)</f>
        <v>52.872340892800402</v>
      </c>
      <c r="L12" s="288">
        <f>4517.47340179473*(+'BL-Template'!Fak_1)</f>
        <v>45.174734017947301</v>
      </c>
      <c r="M12" s="288">
        <f>2291.44751158445*(+'BL-Template'!Fak_1)</f>
        <v>22.9144751158445</v>
      </c>
      <c r="N12" s="288">
        <f>5482.94145778988*(+'BL-Template'!Fak_1)</f>
        <v>54.829414577898795</v>
      </c>
      <c r="O12" s="288">
        <f>3378.06039114661*(+'BL-Template'!Fak_1)</f>
        <v>33.780603911466102</v>
      </c>
      <c r="P12" s="288">
        <f>2167.56553919534*(+'BL-Template'!Fak_1)</f>
        <v>21.675655391953402</v>
      </c>
      <c r="Q12" s="288">
        <f>4132.21311528364*(+'BL-Template'!Fak_1)</f>
        <v>41.322131152836398</v>
      </c>
      <c r="R12" s="288">
        <f>741.956978520206*(+'BL-Template'!Fak_1)</f>
        <v>7.4195697852020599</v>
      </c>
      <c r="S12" s="288">
        <f>2848.99854924091*(+'BL-Template'!Fak_1)</f>
        <v>28.489985492409101</v>
      </c>
      <c r="T12" s="288">
        <f>1019.85728285499*(+'BL-Template'!Fak_1)</f>
        <v>10.198572828549899</v>
      </c>
      <c r="U12" s="288">
        <f>3442.05128664425*(+'BL-Template'!Fak_1)</f>
        <v>34.4205128664425</v>
      </c>
      <c r="V12" s="288">
        <f>4642.07881911174*(+'BL-Template'!Fak_1)</f>
        <v>46.420788191117403</v>
      </c>
      <c r="W12" s="288">
        <f>3851.00804779694*(+'BL-Template'!Fak_1)</f>
        <v>38.510080477969403</v>
      </c>
      <c r="X12" s="288">
        <f>3926.59380671918*(+'BL-Template'!Fak_1)</f>
        <v>39.265938067191804</v>
      </c>
      <c r="Y12" s="288">
        <f>6036.29212515886*(+'BL-Template'!Fak_1)</f>
        <v>60.362921251588595</v>
      </c>
      <c r="Z12" s="288">
        <f>1839.72164251648*(+'BL-Template'!Fak_1)</f>
        <v>18.3972164251648</v>
      </c>
      <c r="AA12" s="288">
        <f>1509.1886451462*(+'BL-Template'!Fak_1)</f>
        <v>15.091886451462001</v>
      </c>
      <c r="AB12" s="288">
        <f>5057.43221846917*(+'BL-Template'!Fak_1)</f>
        <v>50.574322184691702</v>
      </c>
      <c r="AC12" s="288">
        <f>1781.77553932983*(+'BL-Template'!Fak_1)</f>
        <v>17.817755393298302</v>
      </c>
      <c r="AD12" s="288">
        <f>292.628128855481*(+'BL-Template'!Fak_1)</f>
        <v>2.9262812885548102</v>
      </c>
      <c r="AE12" s="288">
        <f>4000.11965359806*(+'BL-Template'!Fak_1)</f>
        <v>40.001196535980597</v>
      </c>
      <c r="AF12" s="288">
        <f>1235.81171011448*(+'BL-Template'!Fak_1)</f>
        <v>12.358117101144801</v>
      </c>
      <c r="AG12" s="288">
        <f>2729.09140660889*(+'BL-Template'!Fak_1)</f>
        <v>27.290914066088899</v>
      </c>
      <c r="AH12" s="289">
        <f t="shared" si="0"/>
        <v>765.53178156000752</v>
      </c>
      <c r="AI12" s="172" t="str">
        <f t="shared" si="1"/>
        <v>km²</v>
      </c>
      <c r="AJ12" s="160"/>
      <c r="AK12" s="161">
        <f t="shared" si="2"/>
        <v>0.4710966241859818</v>
      </c>
      <c r="AL12" s="364"/>
      <c r="AM12" s="163"/>
      <c r="AN12" s="159"/>
      <c r="CD12" s="164">
        <f t="shared" si="3"/>
        <v>765.53178156000752</v>
      </c>
      <c r="CE12" s="164">
        <f t="shared" si="4"/>
        <v>360.63943799999998</v>
      </c>
      <c r="CF12" s="164">
        <f t="shared" si="5"/>
        <v>404.89234356000753</v>
      </c>
    </row>
    <row r="13" spans="1:84" s="147" customFormat="1" ht="19.5" customHeight="1" thickTop="1" thickBot="1" x14ac:dyDescent="0.35">
      <c r="B13" s="227"/>
      <c r="C13" s="228"/>
      <c r="D13" s="235"/>
      <c r="E13" s="148"/>
      <c r="F13" s="265"/>
      <c r="I13" s="152" t="s">
        <v>7409</v>
      </c>
      <c r="J13" s="288">
        <f>2044.27997853524*(+'BL-Template'!Fak_1)</f>
        <v>20.442799785352399</v>
      </c>
      <c r="K13" s="288">
        <f>637.564143439333*(+'BL-Template'!Fak_1)</f>
        <v>6.3756414343933301</v>
      </c>
      <c r="L13" s="288">
        <f>525.680783421694*(+'BL-Template'!Fak_1)</f>
        <v>5.2568078342169393</v>
      </c>
      <c r="M13" s="288">
        <f>672.501427220322*(+'BL-Template'!Fak_1)</f>
        <v>6.7250142722032198</v>
      </c>
      <c r="N13" s="288">
        <f>694.579836979503*(+'BL-Template'!Fak_1)</f>
        <v>6.945798369795031</v>
      </c>
      <c r="O13" s="288">
        <f>451.075321085723*(+'BL-Template'!Fak_1)</f>
        <v>4.5107532108572297</v>
      </c>
      <c r="P13" s="288">
        <f>413.585867303737*(+'BL-Template'!Fak_1)</f>
        <v>4.1358586730373705</v>
      </c>
      <c r="Q13" s="288">
        <f>423.073643079982*(+'BL-Template'!Fak_1)</f>
        <v>4.2307364307998201</v>
      </c>
      <c r="R13" s="288">
        <f>57.5604089860688*(+'BL-Template'!Fak_1)</f>
        <v>0.57560408986068801</v>
      </c>
      <c r="S13" s="288">
        <f>706.924289326635*(+'BL-Template'!Fak_1)</f>
        <v>7.0692428932663498</v>
      </c>
      <c r="T13" s="288">
        <f>545.209056888347*(+'BL-Template'!Fak_1)</f>
        <v>5.4520905688834702</v>
      </c>
      <c r="U13" s="288">
        <f>1321.66937380894*(+'BL-Template'!Fak_1)</f>
        <v>13.216693738089401</v>
      </c>
      <c r="V13" s="288">
        <f>657.72159126946*(+'BL-Template'!Fak_1)</f>
        <v>6.5772159126945997</v>
      </c>
      <c r="W13" s="288">
        <f>284.777350770886*(+'BL-Template'!Fak_1)</f>
        <v>2.8477735077088604</v>
      </c>
      <c r="X13" s="288">
        <f>1136.3252765806*(+'BL-Template'!Fak_1)</f>
        <v>11.363252765806001</v>
      </c>
      <c r="Y13" s="288">
        <f>1457.88757291899*(+'BL-Template'!Fak_1)</f>
        <v>14.5788757291899</v>
      </c>
      <c r="Z13" s="288">
        <f>114.961589879557*(+'BL-Template'!Fak_1)</f>
        <v>1.14961589879557</v>
      </c>
      <c r="AA13" s="288">
        <f>958.731948929708*(+'BL-Template'!Fak_1)</f>
        <v>9.5873194892970801</v>
      </c>
      <c r="AB13" s="288">
        <f>838.921444069893*(+'BL-Template'!Fak_1)</f>
        <v>8.3892144406989306</v>
      </c>
      <c r="AC13" s="288">
        <f>414.905938855166*(+'BL-Template'!Fak_1)</f>
        <v>4.1490593885516605</v>
      </c>
      <c r="AD13" s="288">
        <f>181.578510230259*(+'BL-Template'!Fak_1)</f>
        <v>1.8157851023025902</v>
      </c>
      <c r="AE13" s="288">
        <f>921.630085689286*(+'BL-Template'!Fak_1)</f>
        <v>9.216300856892861</v>
      </c>
      <c r="AF13" s="288">
        <f>85.6492305227707*(+'BL-Template'!Fak_1)</f>
        <v>0.85649230522770692</v>
      </c>
      <c r="AG13" s="288">
        <f>943.199816867482*(+'BL-Template'!Fak_1)</f>
        <v>9.43199816867482</v>
      </c>
      <c r="AH13" s="289">
        <f t="shared" si="0"/>
        <v>164.89994486659583</v>
      </c>
      <c r="AI13" s="172" t="str">
        <f t="shared" si="1"/>
        <v>km²</v>
      </c>
      <c r="AJ13" s="160"/>
      <c r="AK13" s="161">
        <f t="shared" si="2"/>
        <v>0.41759239553238531</v>
      </c>
      <c r="AL13" s="364"/>
      <c r="AM13" s="163"/>
      <c r="AN13" s="159"/>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4">
        <f t="shared" si="3"/>
        <v>164.89994486659583</v>
      </c>
      <c r="CE13" s="164">
        <f t="shared" si="4"/>
        <v>68.860963000000012</v>
      </c>
      <c r="CF13" s="164">
        <f t="shared" si="5"/>
        <v>96.038981866595819</v>
      </c>
    </row>
    <row r="14" spans="1:84" s="147" customFormat="1" ht="19.5" customHeight="1" thickTop="1" x14ac:dyDescent="0.3">
      <c r="B14" s="227"/>
      <c r="C14" s="228"/>
      <c r="D14" s="235"/>
      <c r="E14" s="148"/>
      <c r="F14" s="265"/>
      <c r="I14" s="152" t="s">
        <v>7518</v>
      </c>
      <c r="J14" s="288">
        <f>384.597679036741*(+'BL-Template'!Fak_1)</f>
        <v>3.84597679036741</v>
      </c>
      <c r="K14" s="288">
        <f>806.806453514652*(+'BL-Template'!Fak_1)</f>
        <v>8.0680645351465206</v>
      </c>
      <c r="L14" s="288">
        <f>773.388800806881*(+'BL-Template'!Fak_1)</f>
        <v>7.7338880080688108</v>
      </c>
      <c r="M14" s="288">
        <f>388.680068766482*(+'BL-Template'!Fak_1)</f>
        <v>3.8868006876648202</v>
      </c>
      <c r="N14" s="288">
        <f>637.133224748539*(+'BL-Template'!Fak_1)</f>
        <v>6.3713322474853902</v>
      </c>
      <c r="O14" s="288">
        <f>351.171580280205*(+'BL-Template'!Fak_1)</f>
        <v>3.5117158028020499</v>
      </c>
      <c r="P14" s="288">
        <f>213.570290194609*(+'BL-Template'!Fak_1)</f>
        <v>2.13570290194609</v>
      </c>
      <c r="Q14" s="288">
        <f>524.617969221208*(+'BL-Template'!Fak_1)</f>
        <v>5.2461796922120802</v>
      </c>
      <c r="R14" s="288">
        <f>110.606637868692*(+'BL-Template'!Fak_1)</f>
        <v>1.10606637868692</v>
      </c>
      <c r="S14" s="288">
        <f>415.64973930268*(+'BL-Template'!Fak_1)</f>
        <v>4.1564973930268003</v>
      </c>
      <c r="T14" s="288">
        <f>201.728169500297*(+'BL-Template'!Fak_1)</f>
        <v>2.0172816950029704</v>
      </c>
      <c r="U14" s="288">
        <f>336.540717761263*(+'BL-Template'!Fak_1)</f>
        <v>3.3654071776126302</v>
      </c>
      <c r="V14" s="288">
        <f>489.13687893783*(+'BL-Template'!Fak_1)</f>
        <v>4.8913687893782996</v>
      </c>
      <c r="W14" s="288">
        <f>546.132726669184*(+'BL-Template'!Fak_1)</f>
        <v>5.46132726669184</v>
      </c>
      <c r="X14" s="288">
        <f>393.574699331394*(+'BL-Template'!Fak_1)</f>
        <v>3.9357469933139404</v>
      </c>
      <c r="Y14" s="288">
        <f>447.607101425154*(+'BL-Template'!Fak_1)</f>
        <v>4.4760710142515396</v>
      </c>
      <c r="Z14" s="288">
        <f>193.551800831829*(+'BL-Template'!Fak_1)</f>
        <v>1.9355180083182901</v>
      </c>
      <c r="AA14" s="288">
        <f>189.310271987458*(+'BL-Template'!Fak_1)</f>
        <v>1.8931027198745802</v>
      </c>
      <c r="AB14" s="288">
        <f>599.146341172669*(+'BL-Template'!Fak_1)</f>
        <v>5.9914634117266905</v>
      </c>
      <c r="AC14" s="288">
        <f>143.223202363915*(+'BL-Template'!Fak_1)</f>
        <v>1.4322320236391499</v>
      </c>
      <c r="AD14" s="288">
        <f>25.9880564607311*(+'BL-Template'!Fak_1)</f>
        <v>0.25988056460731102</v>
      </c>
      <c r="AE14" s="288">
        <f>433.641079422638*(+'BL-Template'!Fak_1)</f>
        <v>4.3364107942263797</v>
      </c>
      <c r="AF14" s="288">
        <f>150.95049815946*(+'BL-Template'!Fak_1)</f>
        <v>1.5095049815946002</v>
      </c>
      <c r="AG14" s="288">
        <f>191.041199772486*(+'BL-Template'!Fak_1)</f>
        <v>1.9104119977248601</v>
      </c>
      <c r="AH14" s="290">
        <f t="shared" si="0"/>
        <v>89.477951875369982</v>
      </c>
      <c r="AI14" s="172" t="str">
        <f t="shared" si="1"/>
        <v>km²</v>
      </c>
      <c r="AJ14" s="160"/>
      <c r="AK14" s="161">
        <f t="shared" si="2"/>
        <v>0.14187641462426476</v>
      </c>
      <c r="AL14" s="364"/>
      <c r="AM14" s="163"/>
      <c r="AN14" s="159"/>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4">
        <f t="shared" si="3"/>
        <v>89.477951875369982</v>
      </c>
      <c r="CE14" s="164">
        <f t="shared" si="4"/>
        <v>12.694811</v>
      </c>
      <c r="CF14" s="164">
        <f t="shared" si="5"/>
        <v>76.78314087536998</v>
      </c>
    </row>
    <row r="15" spans="1:84" s="147" customFormat="1" ht="19.5" customHeight="1" x14ac:dyDescent="0.3">
      <c r="B15" s="227"/>
      <c r="C15" s="228"/>
      <c r="D15" s="235"/>
      <c r="E15" s="148"/>
      <c r="F15" s="265"/>
      <c r="I15" s="152" t="s">
        <v>7519</v>
      </c>
      <c r="J15" s="288">
        <f>274.953322526928*(+'BL-Template'!Fak_1)</f>
        <v>2.7495332252692801</v>
      </c>
      <c r="K15" s="288">
        <f>251.120348314466*(+'BL-Template'!Fak_1)</f>
        <v>2.5112034831446604</v>
      </c>
      <c r="L15" s="288">
        <f>432.076276704457*(+'BL-Template'!Fak_1)</f>
        <v>4.3207627670445694</v>
      </c>
      <c r="M15" s="288">
        <f>167.868129256426*(+'BL-Template'!Fak_1)</f>
        <v>1.67868129256426</v>
      </c>
      <c r="N15" s="288">
        <f>1101.08075056327*(+'BL-Template'!Fak_1)</f>
        <v>11.0108075056327</v>
      </c>
      <c r="O15" s="288">
        <f>192.722423471371*(+'BL-Template'!Fak_1)</f>
        <v>1.9272242347137101</v>
      </c>
      <c r="P15" s="288">
        <f>100.283199822241*(+'BL-Template'!Fak_1)</f>
        <v>1.0028319982224101</v>
      </c>
      <c r="Q15" s="288">
        <f>307.823416366042*(+'BL-Template'!Fak_1)</f>
        <v>3.07823416366042</v>
      </c>
      <c r="R15" s="288">
        <f>28.1719016509207*(+'BL-Template'!Fak_1)</f>
        <v>0.281719016509207</v>
      </c>
      <c r="S15" s="288">
        <f>135.042373383553*(+'BL-Template'!Fak_1)</f>
        <v>1.35042373383553</v>
      </c>
      <c r="T15" s="288">
        <f>76.5273732051582*(+'BL-Template'!Fak_1)</f>
        <v>0.765273732051582</v>
      </c>
      <c r="U15" s="288">
        <f>191.1427479217*(+'BL-Template'!Fak_1)</f>
        <v>1.9114274792170001</v>
      </c>
      <c r="V15" s="288">
        <f>277.478601327297*(+'BL-Template'!Fak_1)</f>
        <v>2.77478601327297</v>
      </c>
      <c r="W15" s="288">
        <f>153.677444483325*(+'BL-Template'!Fak_1)</f>
        <v>1.5367744448332499</v>
      </c>
      <c r="X15" s="288">
        <f>200.449165851059*(+'BL-Template'!Fak_1)</f>
        <v>2.0044916585105903</v>
      </c>
      <c r="Y15" s="288">
        <f>218.268577277959*(+'BL-Template'!Fak_1)</f>
        <v>2.1826857727795899</v>
      </c>
      <c r="Z15" s="288">
        <f>79.2851133824237*(+'BL-Template'!Fak_1)</f>
        <v>0.792851133824237</v>
      </c>
      <c r="AA15" s="288">
        <f>83.6494901596868*(+'BL-Template'!Fak_1)</f>
        <v>0.83649490159686812</v>
      </c>
      <c r="AB15" s="288">
        <f>248.874798909884*(+'BL-Template'!Fak_1)</f>
        <v>2.4887479890988398</v>
      </c>
      <c r="AC15" s="288">
        <f>54.3956723671817*(+'BL-Template'!Fak_1)</f>
        <v>0.54395672367181702</v>
      </c>
      <c r="AD15" s="288">
        <f>27.8690329866135*(+'BL-Template'!Fak_1)</f>
        <v>0.27869032986613501</v>
      </c>
      <c r="AE15" s="288">
        <f>522.503367917866*(+'BL-Template'!Fak_1)</f>
        <v>5.2250336791786598</v>
      </c>
      <c r="AF15" s="288">
        <f>181.157710830775*(+'BL-Template'!Fak_1)</f>
        <v>1.8115771083077499</v>
      </c>
      <c r="AG15" s="288">
        <f>96.4770180941533*(+'BL-Template'!Fak_1)</f>
        <v>0.964770180941533</v>
      </c>
      <c r="AH15" s="290">
        <f t="shared" si="0"/>
        <v>54.028982567747569</v>
      </c>
      <c r="AI15" s="172" t="str">
        <f t="shared" si="1"/>
        <v>km²</v>
      </c>
      <c r="AJ15" s="160"/>
      <c r="AK15" s="161">
        <f t="shared" si="2"/>
        <v>0.10844259361451566</v>
      </c>
      <c r="AL15" s="364"/>
      <c r="AM15" s="163"/>
      <c r="AN15" s="159"/>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4">
        <f t="shared" si="3"/>
        <v>54.028982567747569</v>
      </c>
      <c r="CE15" s="164">
        <f t="shared" si="4"/>
        <v>5.8590430000000007</v>
      </c>
      <c r="CF15" s="164">
        <f t="shared" si="5"/>
        <v>48.169939567747569</v>
      </c>
    </row>
    <row r="16" spans="1:84" s="147" customFormat="1" ht="21" customHeight="1" x14ac:dyDescent="0.3">
      <c r="B16" s="227"/>
      <c r="C16" s="228"/>
      <c r="D16" s="235"/>
      <c r="E16" s="148"/>
      <c r="F16" s="265"/>
      <c r="I16" s="152"/>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70"/>
      <c r="AI16" s="172"/>
      <c r="AJ16" s="168"/>
    </row>
    <row r="17" spans="2:38"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172"/>
      <c r="AJ17" s="168"/>
    </row>
    <row r="18" spans="2:38" s="147" customFormat="1" ht="42.75" customHeight="1" x14ac:dyDescent="0.3">
      <c r="B18" s="227"/>
      <c r="C18" s="228"/>
      <c r="D18" s="235"/>
      <c r="E18" s="148"/>
      <c r="F18" s="265"/>
      <c r="J18" s="173">
        <f t="shared" ref="J18:AG18" si="6">FI_gesamt/EW*10000</f>
        <v>885.52611021009693</v>
      </c>
      <c r="K18" s="173">
        <f t="shared" si="6"/>
        <v>635.25947955579306</v>
      </c>
      <c r="L18" s="173">
        <f t="shared" si="6"/>
        <v>937.3257595863704</v>
      </c>
      <c r="M18" s="173">
        <f t="shared" si="6"/>
        <v>1422.4532760120519</v>
      </c>
      <c r="N18" s="173">
        <f t="shared" si="6"/>
        <v>1140.7905070456825</v>
      </c>
      <c r="O18" s="173">
        <f t="shared" si="6"/>
        <v>1471.7493440504668</v>
      </c>
      <c r="P18" s="173">
        <f t="shared" si="6"/>
        <v>1696.3638823324229</v>
      </c>
      <c r="Q18" s="173">
        <f t="shared" si="6"/>
        <v>892.35277991355042</v>
      </c>
      <c r="R18" s="173">
        <f t="shared" si="6"/>
        <v>512.96911824360177</v>
      </c>
      <c r="S18" s="173">
        <f t="shared" si="6"/>
        <v>1123.6139887586414</v>
      </c>
      <c r="T18" s="173">
        <f t="shared" si="6"/>
        <v>1076.8754947032635</v>
      </c>
      <c r="U18" s="173">
        <f t="shared" si="6"/>
        <v>1057.2165906097216</v>
      </c>
      <c r="V18" s="173">
        <f t="shared" si="6"/>
        <v>1409.0488545512994</v>
      </c>
      <c r="W18" s="173">
        <f t="shared" si="6"/>
        <v>526.65219485808632</v>
      </c>
      <c r="X18" s="173">
        <f t="shared" si="6"/>
        <v>932.17929745805964</v>
      </c>
      <c r="Y18" s="173">
        <f t="shared" si="6"/>
        <v>903.88514444612201</v>
      </c>
      <c r="Z18" s="173">
        <f t="shared" si="6"/>
        <v>566.32096799591909</v>
      </c>
      <c r="AA18" s="173">
        <f t="shared" si="6"/>
        <v>996.12680979572428</v>
      </c>
      <c r="AB18" s="173">
        <f t="shared" si="6"/>
        <v>914.65965068172557</v>
      </c>
      <c r="AC18" s="173">
        <f t="shared" si="6"/>
        <v>1639.6640538279369</v>
      </c>
      <c r="AD18" s="173">
        <f t="shared" si="6"/>
        <v>716.46760428924176</v>
      </c>
      <c r="AE18" s="173">
        <f t="shared" si="6"/>
        <v>988.22266766362441</v>
      </c>
      <c r="AF18" s="173">
        <f t="shared" si="6"/>
        <v>536.73365573259241</v>
      </c>
      <c r="AG18" s="173">
        <f t="shared" si="6"/>
        <v>1604.8622729864899</v>
      </c>
      <c r="AH18" s="173">
        <f>SUM(FI_gesamt)/SUM(EW)*10000</f>
        <v>959.56587121357472</v>
      </c>
      <c r="AI18" s="171" t="s">
        <v>7413</v>
      </c>
    </row>
    <row r="19" spans="2:38" s="147" customFormat="1" ht="42.75" customHeight="1" x14ac:dyDescent="0.3">
      <c r="B19" s="227"/>
      <c r="C19" s="228"/>
      <c r="D19" s="235"/>
      <c r="E19" s="148"/>
      <c r="F19" s="265"/>
      <c r="I19" s="152" t="s">
        <v>7407</v>
      </c>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171"/>
      <c r="AJ19" s="168"/>
    </row>
    <row r="20" spans="2:38" s="147" customFormat="1" ht="66.75" customHeight="1" x14ac:dyDescent="0.3">
      <c r="B20" s="227"/>
      <c r="C20" s="228"/>
      <c r="D20" s="235"/>
      <c r="E20" s="148"/>
      <c r="F20" s="265"/>
      <c r="I20" s="245"/>
      <c r="J20" s="174">
        <f t="shared" ref="J20:AG20" si="7">100*Fak_Einheit*FI_gesamt/DSR</f>
        <v>13.106162365167343</v>
      </c>
      <c r="K20" s="174">
        <f t="shared" si="7"/>
        <v>23.829796461128559</v>
      </c>
      <c r="L20" s="174">
        <f t="shared" si="7"/>
        <v>17.782016252839707</v>
      </c>
      <c r="M20" s="174">
        <f t="shared" si="7"/>
        <v>13.257052860687855</v>
      </c>
      <c r="N20" s="174">
        <f t="shared" si="7"/>
        <v>11.039730641520007</v>
      </c>
      <c r="O20" s="174">
        <f t="shared" si="7"/>
        <v>9.4065470700291236</v>
      </c>
      <c r="P20" s="174">
        <f t="shared" si="7"/>
        <v>9.2337812370481149</v>
      </c>
      <c r="Q20" s="174">
        <f t="shared" si="7"/>
        <v>15.216231803048558</v>
      </c>
      <c r="R20" s="174">
        <f t="shared" si="7"/>
        <v>40.486441328959238</v>
      </c>
      <c r="S20" s="174">
        <f t="shared" si="7"/>
        <v>13.298786145232821</v>
      </c>
      <c r="T20" s="174">
        <f t="shared" si="7"/>
        <v>15.235597712946964</v>
      </c>
      <c r="U20" s="174">
        <f t="shared" si="7"/>
        <v>13.782665299029784</v>
      </c>
      <c r="V20" s="174">
        <f t="shared" si="7"/>
        <v>9.6614661210715838</v>
      </c>
      <c r="W20" s="174">
        <f t="shared" si="7"/>
        <v>36.214007617032593</v>
      </c>
      <c r="X20" s="174">
        <f t="shared" si="7"/>
        <v>21.466015024839045</v>
      </c>
      <c r="Y20" s="174">
        <f t="shared" si="7"/>
        <v>15.595637493312719</v>
      </c>
      <c r="Z20" s="174">
        <f t="shared" si="7"/>
        <v>34.181245087768623</v>
      </c>
      <c r="AA20" s="174">
        <f t="shared" si="7"/>
        <v>11.342923522085391</v>
      </c>
      <c r="AB20" s="174">
        <f t="shared" si="7"/>
        <v>18.801689838742078</v>
      </c>
      <c r="AC20" s="174">
        <f t="shared" si="7"/>
        <v>8.8132919443687303</v>
      </c>
      <c r="AD20" s="174">
        <f t="shared" si="7"/>
        <v>10.947702512041337</v>
      </c>
      <c r="AE20" s="174">
        <f t="shared" si="7"/>
        <v>19.441611259491825</v>
      </c>
      <c r="AF20" s="174">
        <f t="shared" si="7"/>
        <v>56.714885447487809</v>
      </c>
      <c r="AG20" s="174">
        <f t="shared" si="7"/>
        <v>8.6856212066696123</v>
      </c>
      <c r="AH20" s="174">
        <f>100*Fak_Einheit*SUM(FI_gesamt)/SUM(DSR)</f>
        <v>14.033752415484036</v>
      </c>
      <c r="AI20" s="373" t="s">
        <v>7418</v>
      </c>
      <c r="AJ20" s="373"/>
      <c r="AK20" s="373"/>
      <c r="AL20" s="266"/>
    </row>
    <row r="21" spans="2:38" ht="51" customHeight="1" x14ac:dyDescent="0.3">
      <c r="G21" s="176"/>
      <c r="H21" s="176"/>
      <c r="I21" s="369" t="s">
        <v>7474</v>
      </c>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175"/>
    </row>
    <row r="22" spans="2:38" ht="49.5" hidden="1" customHeight="1" x14ac:dyDescent="0.3">
      <c r="H22" s="177" t="s">
        <v>7522</v>
      </c>
      <c r="I22" s="138"/>
      <c r="J22" s="138">
        <v>6037.4032999999999</v>
      </c>
      <c r="K22" s="138">
        <v>4530.0259999999998</v>
      </c>
      <c r="L22" s="138">
        <v>4964.0072</v>
      </c>
      <c r="M22" s="138">
        <v>2614.6133</v>
      </c>
      <c r="N22" s="138">
        <v>6090.5460999999996</v>
      </c>
      <c r="O22" s="138">
        <v>4192.6998000000003</v>
      </c>
      <c r="P22" s="138">
        <v>2801.5545000000002</v>
      </c>
      <c r="Q22" s="138">
        <v>4486.2329</v>
      </c>
      <c r="R22" s="138">
        <v>759.7885</v>
      </c>
      <c r="S22" s="138">
        <v>3518.1817000000001</v>
      </c>
      <c r="T22" s="138">
        <v>1420.8994</v>
      </c>
      <c r="U22" s="138">
        <v>4695.5272999999997</v>
      </c>
      <c r="V22" s="138">
        <v>5898.866</v>
      </c>
      <c r="W22" s="138">
        <v>3215.2474000000002</v>
      </c>
      <c r="X22" s="138">
        <v>3776.9430000000002</v>
      </c>
      <c r="Y22" s="138">
        <v>5963.0666000000001</v>
      </c>
      <c r="Z22" s="138">
        <v>1734.2648999999999</v>
      </c>
      <c r="AA22" s="138">
        <v>2357.6930000000002</v>
      </c>
      <c r="AB22" s="138">
        <v>4852.0369000000001</v>
      </c>
      <c r="AC22" s="138">
        <v>2423.1731</v>
      </c>
      <c r="AD22" s="138">
        <v>457.50479999999999</v>
      </c>
      <c r="AE22" s="138">
        <v>3569.98</v>
      </c>
      <c r="AF22" s="138">
        <v>1210.8776</v>
      </c>
      <c r="AG22" s="138">
        <v>3873.1550000000002</v>
      </c>
      <c r="AH22" s="138">
        <v>296380.82579999999</v>
      </c>
      <c r="AJ22" s="138"/>
    </row>
    <row r="23" spans="2:38" ht="18" hidden="1" x14ac:dyDescent="0.35">
      <c r="B23" s="232"/>
      <c r="C23" s="233"/>
      <c r="D23" s="239"/>
      <c r="E23" s="138"/>
      <c r="H23" s="177" t="s">
        <v>7521</v>
      </c>
      <c r="I23" s="138"/>
      <c r="J23" s="138">
        <f>Fak_Einheit/IF(denom_1="absolut",1,Fak_Einheit*'BL-Template'!VS_gesamt)</f>
        <v>0.01</v>
      </c>
      <c r="K23" s="138">
        <f>Fak_Einheit/IF(denom_1="absolut",1,Fak_Einheit*'BL-Template'!VS_gesamt)</f>
        <v>0.01</v>
      </c>
      <c r="L23" s="138">
        <f>Fak_Einheit/IF(denom_1="absolut",1,Fak_Einheit*'BL-Template'!VS_gesamt)</f>
        <v>0.01</v>
      </c>
      <c r="M23" s="138">
        <f>Fak_Einheit/IF(denom_1="absolut",1,Fak_Einheit*'BL-Template'!VS_gesamt)</f>
        <v>0.01</v>
      </c>
      <c r="N23" s="138">
        <f>Fak_Einheit/IF(denom_1="absolut",1,Fak_Einheit*'BL-Template'!VS_gesamt)</f>
        <v>0.01</v>
      </c>
      <c r="O23" s="138">
        <f>Fak_Einheit/IF(denom_1="absolut",1,Fak_Einheit*'BL-Template'!VS_gesamt)</f>
        <v>0.01</v>
      </c>
      <c r="P23" s="138">
        <f>Fak_Einheit/IF(denom_1="absolut",1,Fak_Einheit*'BL-Template'!VS_gesamt)</f>
        <v>0.01</v>
      </c>
      <c r="Q23" s="138">
        <f>Fak_Einheit/IF(denom_1="absolut",1,Fak_Einheit*'BL-Template'!VS_gesamt)</f>
        <v>0.01</v>
      </c>
      <c r="R23" s="138">
        <f>Fak_Einheit/IF(denom_1="absolut",1,Fak_Einheit*'BL-Template'!VS_gesamt)</f>
        <v>0.01</v>
      </c>
      <c r="S23" s="138">
        <f>Fak_Einheit/IF(denom_1="absolut",1,Fak_Einheit*'BL-Template'!VS_gesamt)</f>
        <v>0.01</v>
      </c>
      <c r="T23" s="138">
        <f>Fak_Einheit/IF(denom_1="absolut",1,Fak_Einheit*'BL-Template'!VS_gesamt)</f>
        <v>0.01</v>
      </c>
      <c r="U23" s="138">
        <f>Fak_Einheit/IF(denom_1="absolut",1,Fak_Einheit*'BL-Template'!VS_gesamt)</f>
        <v>0.01</v>
      </c>
      <c r="V23" s="138">
        <f>Fak_Einheit/IF(denom_1="absolut",1,Fak_Einheit*'BL-Template'!VS_gesamt)</f>
        <v>0.01</v>
      </c>
      <c r="W23" s="138">
        <f>Fak_Einheit/IF(denom_1="absolut",1,Fak_Einheit*'BL-Template'!VS_gesamt)</f>
        <v>0.01</v>
      </c>
      <c r="X23" s="138">
        <f>Fak_Einheit/IF(denom_1="absolut",1,Fak_Einheit*'BL-Template'!VS_gesamt)</f>
        <v>0.01</v>
      </c>
      <c r="Y23" s="138">
        <f>Fak_Einheit/IF(denom_1="absolut",1,Fak_Einheit*'BL-Template'!VS_gesamt)</f>
        <v>0.01</v>
      </c>
      <c r="Z23" s="138">
        <f>Fak_Einheit/IF(denom_1="absolut",1,Fak_Einheit*'BL-Template'!VS_gesamt)</f>
        <v>0.01</v>
      </c>
      <c r="AA23" s="138">
        <f>Fak_Einheit/IF(denom_1="absolut",1,Fak_Einheit*'BL-Template'!VS_gesamt)</f>
        <v>0.01</v>
      </c>
      <c r="AB23" s="138">
        <f>Fak_Einheit/IF(denom_1="absolut",1,Fak_Einheit*'BL-Template'!VS_gesamt)</f>
        <v>0.01</v>
      </c>
      <c r="AC23" s="138">
        <f>Fak_Einheit/IF(denom_1="absolut",1,Fak_Einheit*'BL-Template'!VS_gesamt)</f>
        <v>0.01</v>
      </c>
      <c r="AD23" s="138">
        <f>Fak_Einheit/IF(denom_1="absolut",1,Fak_Einheit*'BL-Template'!VS_gesamt)</f>
        <v>0.01</v>
      </c>
      <c r="AE23" s="138">
        <f>Fak_Einheit/IF(denom_1="absolut",1,Fak_Einheit*'BL-Template'!VS_gesamt)</f>
        <v>0.01</v>
      </c>
      <c r="AF23" s="138">
        <f>Fak_Einheit/IF(denom_1="absolut",1,Fak_Einheit*'BL-Template'!VS_gesamt)</f>
        <v>0.01</v>
      </c>
      <c r="AG23" s="138">
        <f>Fak_Einheit/IF(denom_1="absolut",1,Fak_Einheit*'BL-Template'!VS_gesamt)</f>
        <v>0.01</v>
      </c>
      <c r="AH23" s="138">
        <f>Fak_Einheit/IF(denom_1="absolut",1,Fak_Einheit*'BL-Template'!VS_gesamt)</f>
        <v>0.01</v>
      </c>
      <c r="AJ23" s="138"/>
    </row>
    <row r="24" spans="2:38" ht="86.25" customHeight="1" x14ac:dyDescent="0.4">
      <c r="G24" s="144"/>
      <c r="H24" s="210"/>
      <c r="I24" s="210"/>
      <c r="J24" s="278" t="str">
        <f t="shared" ref="J24:AH24" si="8">+J9</f>
        <v>Amstetten</v>
      </c>
      <c r="K24" s="278" t="str">
        <f t="shared" si="8"/>
        <v>Baden</v>
      </c>
      <c r="L24" s="278" t="str">
        <f t="shared" si="8"/>
        <v>Bruck an der Leitha</v>
      </c>
      <c r="M24" s="278" t="str">
        <f t="shared" si="8"/>
        <v>Gmünd</v>
      </c>
      <c r="N24" s="278" t="str">
        <f t="shared" si="8"/>
        <v>Gänserndorf</v>
      </c>
      <c r="O24" s="278" t="str">
        <f t="shared" si="8"/>
        <v>Hollabrunn</v>
      </c>
      <c r="P24" s="278" t="str">
        <f t="shared" si="8"/>
        <v>Horn</v>
      </c>
      <c r="Q24" s="278" t="str">
        <f t="shared" si="8"/>
        <v>Korneuburg</v>
      </c>
      <c r="R24" s="278" t="str">
        <f t="shared" si="8"/>
        <v>Krems an der Donau(Stadt)</v>
      </c>
      <c r="S24" s="278" t="str">
        <f t="shared" si="8"/>
        <v>Krems(Land)</v>
      </c>
      <c r="T24" s="278" t="str">
        <f t="shared" si="8"/>
        <v>Lilienfeld</v>
      </c>
      <c r="U24" s="278" t="str">
        <f t="shared" si="8"/>
        <v>Melk</v>
      </c>
      <c r="V24" s="278" t="str">
        <f t="shared" si="8"/>
        <v>Mistelbach</v>
      </c>
      <c r="W24" s="278" t="str">
        <f t="shared" si="8"/>
        <v>Mödling</v>
      </c>
      <c r="X24" s="278" t="str">
        <f t="shared" si="8"/>
        <v>Neunkirchen</v>
      </c>
      <c r="Y24" s="278" t="str">
        <f t="shared" si="8"/>
        <v>Sankt Pölten(Land)</v>
      </c>
      <c r="Z24" s="278" t="str">
        <f t="shared" si="8"/>
        <v>Sankt Pölten(Stadt)</v>
      </c>
      <c r="AA24" s="278" t="str">
        <f t="shared" si="8"/>
        <v>Scheibbs</v>
      </c>
      <c r="AB24" s="278" t="str">
        <f t="shared" si="8"/>
        <v>Tulln</v>
      </c>
      <c r="AC24" s="278" t="str">
        <f t="shared" si="8"/>
        <v>Waidhofen an der Thaya</v>
      </c>
      <c r="AD24" s="278" t="str">
        <f t="shared" si="8"/>
        <v>Waidhofen an der Ybbs(Stadt)</v>
      </c>
      <c r="AE24" s="278" t="str">
        <f t="shared" si="8"/>
        <v>Wiener Neustadt(Land)</v>
      </c>
      <c r="AF24" s="278" t="str">
        <f t="shared" si="8"/>
        <v>Wiener Neustadt(Stadt)</v>
      </c>
      <c r="AG24" s="278" t="str">
        <f t="shared" si="8"/>
        <v>Zwettl</v>
      </c>
      <c r="AH24" s="279" t="str">
        <f t="shared" si="8"/>
        <v>Total</v>
      </c>
      <c r="AI24" s="210"/>
      <c r="AJ24" s="147"/>
      <c r="AK24" s="147"/>
      <c r="AL24" s="147"/>
    </row>
    <row r="25" spans="2:38" ht="19.5" customHeight="1" thickBot="1" x14ac:dyDescent="0.35">
      <c r="G25" s="146"/>
      <c r="I25" s="158" t="s">
        <v>7516</v>
      </c>
      <c r="J25" s="280">
        <f>6037.4033*(+'BL-Template'!Fak_2)</f>
        <v>60.374032999999997</v>
      </c>
      <c r="K25" s="280">
        <f>4530.026*(+'BL-Template'!Fak_2)</f>
        <v>45.300260000000002</v>
      </c>
      <c r="L25" s="280">
        <f>4964.0072*(+'BL-Template'!Fak_2)</f>
        <v>49.640072000000004</v>
      </c>
      <c r="M25" s="280">
        <f>2614.6133*(+'BL-Template'!Fak_2)</f>
        <v>26.146132999999999</v>
      </c>
      <c r="N25" s="280">
        <f>6090.5461*(+'BL-Template'!Fak_2)</f>
        <v>60.905460999999995</v>
      </c>
      <c r="O25" s="280">
        <f>4192.6998*(+'BL-Template'!Fak_2)</f>
        <v>41.926998000000005</v>
      </c>
      <c r="P25" s="280">
        <f>2801.5545*(+'BL-Template'!Fak_2)</f>
        <v>28.015545000000003</v>
      </c>
      <c r="Q25" s="280">
        <f>4486.2329*(+'BL-Template'!Fak_2)</f>
        <v>44.862329000000003</v>
      </c>
      <c r="R25" s="280">
        <f>759.7885*(+'BL-Template'!Fak_2)</f>
        <v>7.5978849999999998</v>
      </c>
      <c r="S25" s="280">
        <f>3518.1817*(+'BL-Template'!Fak_2)</f>
        <v>35.181817000000002</v>
      </c>
      <c r="T25" s="280">
        <f>1420.8994*(+'BL-Template'!Fak_2)</f>
        <v>14.208994000000001</v>
      </c>
      <c r="U25" s="280">
        <f>4695.5273*(+'BL-Template'!Fak_2)</f>
        <v>46.955272999999998</v>
      </c>
      <c r="V25" s="280">
        <f>5898.866*(+'BL-Template'!Fak_2)</f>
        <v>58.988660000000003</v>
      </c>
      <c r="W25" s="280">
        <f>3215.2474*(+'BL-Template'!Fak_2)</f>
        <v>32.152474000000005</v>
      </c>
      <c r="X25" s="280">
        <f>3776.943*(+'BL-Template'!Fak_2)</f>
        <v>37.76943</v>
      </c>
      <c r="Y25" s="280">
        <f>5963.0666*(+'BL-Template'!Fak_2)</f>
        <v>59.630666000000005</v>
      </c>
      <c r="Z25" s="280">
        <f>1734.2649*(+'BL-Template'!Fak_2)</f>
        <v>17.342648999999998</v>
      </c>
      <c r="AA25" s="280">
        <f>2357.693*(+'BL-Template'!Fak_2)</f>
        <v>23.576930000000001</v>
      </c>
      <c r="AB25" s="280">
        <f>4852.0369*(+'BL-Template'!Fak_2)</f>
        <v>48.520369000000002</v>
      </c>
      <c r="AC25" s="280">
        <f>2423.1731*(+'BL-Template'!Fak_2)</f>
        <v>24.231731</v>
      </c>
      <c r="AD25" s="280">
        <f>457.5048*(+'BL-Template'!Fak_2)</f>
        <v>4.5750479999999998</v>
      </c>
      <c r="AE25" s="280">
        <f>3569.98*(+'BL-Template'!Fak_2)</f>
        <v>35.699800000000003</v>
      </c>
      <c r="AF25" s="280">
        <f>1210.8776*(+'BL-Template'!Fak_2)</f>
        <v>12.108776000000001</v>
      </c>
      <c r="AG25" s="280">
        <f>3873.155*(+'BL-Template'!Fak_2)</f>
        <v>38.731550000000006</v>
      </c>
      <c r="AH25" s="281">
        <f t="shared" ref="AH25:AH30" si="9">SUM(J25:AG25)</f>
        <v>854.44288300000005</v>
      </c>
      <c r="AI25" s="159" t="str">
        <f t="shared" ref="AI25:AI30" si="10">IF(denom_1="absolut",Einheit,"% VS gesamt")</f>
        <v>km²</v>
      </c>
      <c r="AJ25" s="160"/>
      <c r="AK25" s="161">
        <f>CE10/CD10</f>
        <v>0.5241637875598999</v>
      </c>
      <c r="AL25" s="364" t="s">
        <v>7528</v>
      </c>
    </row>
    <row r="26" spans="2:38" ht="19.5" customHeight="1" thickTop="1" thickBot="1" x14ac:dyDescent="0.35">
      <c r="F26" s="138" t="s">
        <v>7411</v>
      </c>
      <c r="G26" s="144"/>
      <c r="I26" s="148" t="s">
        <v>25</v>
      </c>
      <c r="J26" s="282">
        <f>2650.0821*(+'BL-Template'!Fak_2)</f>
        <v>26.500821000000002</v>
      </c>
      <c r="K26" s="282">
        <f>1778.6016*(+'BL-Template'!Fak_2)</f>
        <v>17.786016</v>
      </c>
      <c r="L26" s="282">
        <f>2360.2828*(+'BL-Template'!Fak_2)</f>
        <v>23.602827999999999</v>
      </c>
      <c r="M26" s="282">
        <f>1250.178*(+'BL-Template'!Fak_2)</f>
        <v>12.501780000000002</v>
      </c>
      <c r="N26" s="282">
        <f>3035.8876*(+'BL-Template'!Fak_2)</f>
        <v>30.358876000000002</v>
      </c>
      <c r="O26" s="282">
        <f>2287.545*(+'BL-Template'!Fak_2)</f>
        <v>22.875450000000001</v>
      </c>
      <c r="P26" s="282">
        <f>1593.7868*(+'BL-Template'!Fak_2)</f>
        <v>15.937868000000002</v>
      </c>
      <c r="Q26" s="282">
        <f>2063.8554*(+'BL-Template'!Fak_2)</f>
        <v>20.638553999999999</v>
      </c>
      <c r="R26" s="282">
        <f>258.19*(+'BL-Template'!Fak_2)</f>
        <v>2.5819000000000001</v>
      </c>
      <c r="S26" s="282">
        <f>1769.0677*(+'BL-Template'!Fak_2)</f>
        <v>17.690677000000001</v>
      </c>
      <c r="T26" s="282">
        <f>687.4752*(+'BL-Template'!Fak_2)</f>
        <v>6.874752</v>
      </c>
      <c r="U26" s="282">
        <f>2319.8586*(+'BL-Template'!Fak_2)</f>
        <v>23.198586000000002</v>
      </c>
      <c r="V26" s="282">
        <f>3292.2971*(+'BL-Template'!Fak_2)</f>
        <v>32.922970999999997</v>
      </c>
      <c r="W26" s="282">
        <f>1110.4031*(+'BL-Template'!Fak_2)</f>
        <v>11.104031000000001</v>
      </c>
      <c r="X26" s="282">
        <f>1758.8121*(+'BL-Template'!Fak_2)</f>
        <v>17.588121000000001</v>
      </c>
      <c r="Y26" s="282">
        <f>2832.1397*(+'BL-Template'!Fak_2)</f>
        <v>28.321397000000001</v>
      </c>
      <c r="Z26" s="282">
        <f>692.3404*(+'BL-Template'!Fak_2)</f>
        <v>6.9234040000000006</v>
      </c>
      <c r="AA26" s="282">
        <f>1094.0711*(+'BL-Template'!Fak_2)</f>
        <v>10.940710999999999</v>
      </c>
      <c r="AB26" s="282">
        <f>2216.3402*(+'BL-Template'!Fak_2)</f>
        <v>22.163402000000001</v>
      </c>
      <c r="AC26" s="282">
        <f>1305.0268*(+'BL-Template'!Fak_2)</f>
        <v>13.050268000000001</v>
      </c>
      <c r="AD26" s="282">
        <f>204.9412*(+'BL-Template'!Fak_2)</f>
        <v>2.0494120000000002</v>
      </c>
      <c r="AE26" s="282">
        <f>1501.6483*(+'BL-Template'!Fak_2)</f>
        <v>15.016483000000001</v>
      </c>
      <c r="AF26" s="282">
        <f>482.8666*(+'BL-Template'!Fak_2)</f>
        <v>4.8286660000000001</v>
      </c>
      <c r="AG26" s="282">
        <f>2093.1654*(+'BL-Template'!Fak_2)</f>
        <v>20.931653999999998</v>
      </c>
      <c r="AH26" s="283">
        <f t="shared" si="9"/>
        <v>406.38862800000004</v>
      </c>
      <c r="AI26" s="159" t="str">
        <f t="shared" si="10"/>
        <v>km²</v>
      </c>
      <c r="AJ26" s="160"/>
      <c r="AK26" s="161">
        <f t="shared" ref="AK26:AK30" si="11">CE11/CD11</f>
        <v>0.7306940095301685</v>
      </c>
      <c r="AL26" s="364"/>
    </row>
    <row r="27" spans="2:38" ht="19.5" customHeight="1" thickTop="1" thickBot="1" x14ac:dyDescent="0.35">
      <c r="G27" s="222"/>
      <c r="I27" s="148" t="s">
        <v>7410</v>
      </c>
      <c r="J27" s="282">
        <f>2060.1623*(+'BL-Template'!Fak_2)</f>
        <v>20.601623</v>
      </c>
      <c r="K27" s="282">
        <f>2450.5015*(+'BL-Template'!Fak_2)</f>
        <v>24.505015</v>
      </c>
      <c r="L27" s="282">
        <f>2316.8622*(+'BL-Template'!Fak_2)</f>
        <v>23.168621999999999</v>
      </c>
      <c r="M27" s="282">
        <f>1074.8357*(+'BL-Template'!Fak_2)</f>
        <v>10.748357</v>
      </c>
      <c r="N27" s="282">
        <f>2666.9278*(+'BL-Template'!Fak_2)</f>
        <v>26.669277999999998</v>
      </c>
      <c r="O27" s="282">
        <f>1675.0715*(+'BL-Template'!Fak_2)</f>
        <v>16.750715</v>
      </c>
      <c r="P27" s="282">
        <f>1037.0247*(+'BL-Template'!Fak_2)</f>
        <v>10.370246999999999</v>
      </c>
      <c r="Q27" s="282">
        <f>2122.9659*(+'BL-Template'!Fak_2)</f>
        <v>21.229659000000002</v>
      </c>
      <c r="R27" s="282">
        <f>439.5883*(+'BL-Template'!Fak_2)</f>
        <v>4.3958830000000004</v>
      </c>
      <c r="S27" s="282">
        <f>1419.2436*(+'BL-Template'!Fak_2)</f>
        <v>14.192436000000001</v>
      </c>
      <c r="T27" s="282">
        <f>443.7143*(+'BL-Template'!Fak_2)</f>
        <v>4.4371429999999998</v>
      </c>
      <c r="U27" s="282">
        <f>1600.0223*(+'BL-Template'!Fak_2)</f>
        <v>16.000223000000002</v>
      </c>
      <c r="V27" s="282">
        <f>2298.8835*(+'BL-Template'!Fak_2)</f>
        <v>22.988834999999998</v>
      </c>
      <c r="W27" s="282">
        <f>1920.2785*(+'BL-Template'!Fak_2)</f>
        <v>19.202784999999999</v>
      </c>
      <c r="X27" s="282">
        <f>1566.0189*(+'BL-Template'!Fak_2)</f>
        <v>15.660189000000001</v>
      </c>
      <c r="Y27" s="282">
        <f>2379.3801*(+'BL-Template'!Fak_2)</f>
        <v>23.793800999999998</v>
      </c>
      <c r="Z27" s="282">
        <f>947.994*(+'BL-Template'!Fak_2)</f>
        <v>9.4799400000000009</v>
      </c>
      <c r="AA27" s="282">
        <f>683.5331*(+'BL-Template'!Fak_2)</f>
        <v>6.835331</v>
      </c>
      <c r="AB27" s="282">
        <f>2266.687*(+'BL-Template'!Fak_2)</f>
        <v>22.666869999999999</v>
      </c>
      <c r="AC27" s="282">
        <f>912.6329*(+'BL-Template'!Fak_2)</f>
        <v>9.1263290000000001</v>
      </c>
      <c r="AD27" s="282">
        <f>138.2558*(+'BL-Template'!Fak_2)</f>
        <v>1.382558</v>
      </c>
      <c r="AE27" s="282">
        <f>1667.1688*(+'BL-Template'!Fak_2)</f>
        <v>16.671688</v>
      </c>
      <c r="AF27" s="282">
        <f>665.3779*(+'BL-Template'!Fak_2)</f>
        <v>6.6537790000000001</v>
      </c>
      <c r="AG27" s="282">
        <f>1310.8132*(+'BL-Template'!Fak_2)</f>
        <v>13.108132000000001</v>
      </c>
      <c r="AH27" s="283">
        <f t="shared" si="9"/>
        <v>360.63943799999998</v>
      </c>
      <c r="AI27" s="159" t="str">
        <f t="shared" si="10"/>
        <v>km²</v>
      </c>
      <c r="AJ27" s="160"/>
      <c r="AK27" s="161">
        <f t="shared" si="11"/>
        <v>0.4710966241859818</v>
      </c>
      <c r="AL27" s="364"/>
    </row>
    <row r="28" spans="2:38" ht="19.5" customHeight="1" thickTop="1" thickBot="1" x14ac:dyDescent="0.35">
      <c r="G28" s="222"/>
      <c r="I28" s="148" t="s">
        <v>7409</v>
      </c>
      <c r="J28" s="282">
        <f>1203.8775*(+'BL-Template'!Fak_2)</f>
        <v>12.038775000000001</v>
      </c>
      <c r="K28" s="282">
        <f>183.1272*(+'BL-Template'!Fak_2)</f>
        <v>1.831272</v>
      </c>
      <c r="L28" s="282">
        <f>160.0033*(+'BL-Template'!Fak_2)</f>
        <v>1.600033</v>
      </c>
      <c r="M28" s="282">
        <f>241.7102*(+'BL-Template'!Fak_2)</f>
        <v>2.4171019999999999</v>
      </c>
      <c r="N28" s="282">
        <f>249.1224*(+'BL-Template'!Fak_2)</f>
        <v>2.4912239999999999</v>
      </c>
      <c r="O28" s="282">
        <f>161.9366*(+'BL-Template'!Fak_2)</f>
        <v>1.6193660000000001</v>
      </c>
      <c r="P28" s="282">
        <f>127.7306*(+'BL-Template'!Fak_2)</f>
        <v>1.2773060000000001</v>
      </c>
      <c r="Q28" s="282">
        <f>160.3273*(+'BL-Template'!Fak_2)</f>
        <v>1.6032730000000002</v>
      </c>
      <c r="R28" s="282">
        <f>24.5728*(+'BL-Template'!Fak_2)</f>
        <v>0.245728</v>
      </c>
      <c r="S28" s="282">
        <f>262.5626*(+'BL-Template'!Fak_2)</f>
        <v>2.625626</v>
      </c>
      <c r="T28" s="282">
        <f>247.4038*(+'BL-Template'!Fak_2)</f>
        <v>2.4740379999999997</v>
      </c>
      <c r="U28" s="282">
        <f>675.5599*(+'BL-Template'!Fak_2)</f>
        <v>6.7555990000000001</v>
      </c>
      <c r="V28" s="282">
        <f>214.0672*(+'BL-Template'!Fak_2)</f>
        <v>2.1406720000000004</v>
      </c>
      <c r="W28" s="282">
        <f>92.1247*(+'BL-Template'!Fak_2)</f>
        <v>0.92124700000000004</v>
      </c>
      <c r="X28" s="282">
        <f>382.7392*(+'BL-Template'!Fak_2)</f>
        <v>3.8273919999999997</v>
      </c>
      <c r="Y28" s="282">
        <f>645.7431*(+'BL-Template'!Fak_2)</f>
        <v>6.4574310000000006</v>
      </c>
      <c r="Z28" s="282">
        <f>45.4534*(+'BL-Template'!Fak_2)</f>
        <v>0.45453400000000005</v>
      </c>
      <c r="AA28" s="282">
        <f>534.2459*(+'BL-Template'!Fak_2)</f>
        <v>5.3424589999999998</v>
      </c>
      <c r="AB28" s="282">
        <f>239.0552*(+'BL-Template'!Fak_2)</f>
        <v>2.390552</v>
      </c>
      <c r="AC28" s="282">
        <f>171.0714*(+'BL-Template'!Fak_2)</f>
        <v>1.7107140000000001</v>
      </c>
      <c r="AD28" s="282">
        <f>105.0632*(+'BL-Template'!Fak_2)</f>
        <v>1.050632</v>
      </c>
      <c r="AE28" s="282">
        <f>318.8654*(+'BL-Template'!Fak_2)</f>
        <v>3.1886540000000001</v>
      </c>
      <c r="AF28" s="282">
        <f>20.3385*(+'BL-Template'!Fak_2)</f>
        <v>0.20338500000000001</v>
      </c>
      <c r="AG28" s="282">
        <f>419.3949*(+'BL-Template'!Fak_2)</f>
        <v>4.1939489999999999</v>
      </c>
      <c r="AH28" s="283">
        <f t="shared" si="9"/>
        <v>68.860963000000012</v>
      </c>
      <c r="AI28" s="159" t="str">
        <f t="shared" si="10"/>
        <v>km²</v>
      </c>
      <c r="AJ28" s="160"/>
      <c r="AK28" s="161">
        <f t="shared" si="11"/>
        <v>0.41759239553238531</v>
      </c>
      <c r="AL28" s="364"/>
    </row>
    <row r="29" spans="2:38" ht="19.5" customHeight="1" thickTop="1" x14ac:dyDescent="0.3">
      <c r="G29" s="222"/>
      <c r="I29" s="148" t="s">
        <v>7518</v>
      </c>
      <c r="J29" s="282">
        <f>75.6341*(+'BL-Template'!Fak_2)</f>
        <v>0.75634100000000004</v>
      </c>
      <c r="K29" s="282">
        <f>96.7579*(+'BL-Template'!Fak_2)</f>
        <v>0.96757900000000008</v>
      </c>
      <c r="L29" s="282">
        <f>85.7918*(+'BL-Template'!Fak_2)</f>
        <v>0.85791799999999996</v>
      </c>
      <c r="M29" s="282">
        <f>35.2597*(+'BL-Template'!Fak_2)</f>
        <v>0.35259700000000005</v>
      </c>
      <c r="N29" s="282">
        <f>85.4048*(+'BL-Template'!Fak_2)</f>
        <v>0.85404799999999992</v>
      </c>
      <c r="O29" s="282">
        <f>39.9885*(+'BL-Template'!Fak_2)</f>
        <v>0.39988500000000005</v>
      </c>
      <c r="P29" s="282">
        <f>30.1241*(+'BL-Template'!Fak_2)</f>
        <v>0.30124099999999998</v>
      </c>
      <c r="Q29" s="282">
        <f>85.7463*(+'BL-Template'!Fak_2)</f>
        <v>0.85746300000000009</v>
      </c>
      <c r="R29" s="282">
        <f>21.7181*(+'BL-Template'!Fak_2)</f>
        <v>0.21718100000000001</v>
      </c>
      <c r="S29" s="282">
        <f>49.566*(+'BL-Template'!Fak_2)</f>
        <v>0.49566000000000004</v>
      </c>
      <c r="T29" s="282">
        <f>31.2623*(+'BL-Template'!Fak_2)</f>
        <v>0.31262299999999998</v>
      </c>
      <c r="U29" s="282">
        <f>66.3156*(+'BL-Template'!Fak_2)</f>
        <v>0.66315600000000008</v>
      </c>
      <c r="V29" s="282">
        <f>61.3783*(+'BL-Template'!Fak_2)</f>
        <v>0.61378300000000008</v>
      </c>
      <c r="W29" s="282">
        <f>72.8039*(+'BL-Template'!Fak_2)</f>
        <v>0.72803899999999999</v>
      </c>
      <c r="X29" s="282">
        <f>52.8484*(+'BL-Template'!Fak_2)</f>
        <v>0.52848399999999995</v>
      </c>
      <c r="Y29" s="282">
        <f>73.6246*(+'BL-Template'!Fak_2)</f>
        <v>0.73624600000000007</v>
      </c>
      <c r="Z29" s="282">
        <f>35.4861*(+'BL-Template'!Fak_2)</f>
        <v>0.35486100000000004</v>
      </c>
      <c r="AA29" s="282">
        <f>26.6167*(+'BL-Template'!Fak_2)</f>
        <v>0.26616700000000004</v>
      </c>
      <c r="AB29" s="282">
        <f>103.0942*(+'BL-Template'!Fak_2)</f>
        <v>1.030942</v>
      </c>
      <c r="AC29" s="282">
        <f>19.6543*(+'BL-Template'!Fak_2)</f>
        <v>0.196543</v>
      </c>
      <c r="AD29" s="282">
        <f>7.5334*(+'BL-Template'!Fak_2)</f>
        <v>7.5333999999999998E-2</v>
      </c>
      <c r="AE29" s="282">
        <f>56.0423*(+'BL-Template'!Fak_2)</f>
        <v>0.560423</v>
      </c>
      <c r="AF29" s="282">
        <f>26.5167*(+'BL-Template'!Fak_2)</f>
        <v>0.26516699999999999</v>
      </c>
      <c r="AG29" s="282">
        <f>30.313*(+'BL-Template'!Fak_2)</f>
        <v>0.30313000000000001</v>
      </c>
      <c r="AH29" s="204">
        <f t="shared" si="9"/>
        <v>12.694811</v>
      </c>
      <c r="AI29" s="159" t="str">
        <f t="shared" si="10"/>
        <v>km²</v>
      </c>
      <c r="AJ29" s="160"/>
      <c r="AK29" s="161">
        <f t="shared" si="11"/>
        <v>0.14187641462426476</v>
      </c>
      <c r="AL29" s="364"/>
    </row>
    <row r="30" spans="2:38" ht="19.5" customHeight="1" x14ac:dyDescent="0.3">
      <c r="G30" s="222"/>
      <c r="I30" s="148" t="s">
        <v>7519</v>
      </c>
      <c r="J30" s="282">
        <f>47.6473*(+'BL-Template'!Fak_2)</f>
        <v>0.47647300000000004</v>
      </c>
      <c r="K30" s="282">
        <f>21.0378*(+'BL-Template'!Fak_2)</f>
        <v>0.21037800000000001</v>
      </c>
      <c r="L30" s="282">
        <f>41.0671*(+'BL-Template'!Fak_2)</f>
        <v>0.41067100000000006</v>
      </c>
      <c r="M30" s="282">
        <f>12.6297*(+'BL-Template'!Fak_2)</f>
        <v>0.12629699999999999</v>
      </c>
      <c r="N30" s="282">
        <f>53.2035*(+'BL-Template'!Fak_2)</f>
        <v>0.53203500000000004</v>
      </c>
      <c r="O30" s="282">
        <f>28.1582*(+'BL-Template'!Fak_2)</f>
        <v>0.281582</v>
      </c>
      <c r="P30" s="282">
        <f>12.8883*(+'BL-Template'!Fak_2)</f>
        <v>0.128883</v>
      </c>
      <c r="Q30" s="282">
        <f>53.338*(+'BL-Template'!Fak_2)</f>
        <v>0.53337999999999997</v>
      </c>
      <c r="R30" s="282">
        <f>15.7193*(+'BL-Template'!Fak_2)</f>
        <v>0.157193</v>
      </c>
      <c r="S30" s="282">
        <f>17.7418*(+'BL-Template'!Fak_2)</f>
        <v>0.17741800000000002</v>
      </c>
      <c r="T30" s="282">
        <f>11.0438*(+'BL-Template'!Fak_2)</f>
        <v>0.11043799999999999</v>
      </c>
      <c r="U30" s="282">
        <f>33.7709*(+'BL-Template'!Fak_2)</f>
        <v>0.33770899999999998</v>
      </c>
      <c r="V30" s="282">
        <f>32.2399*(+'BL-Template'!Fak_2)</f>
        <v>0.32239899999999999</v>
      </c>
      <c r="W30" s="282">
        <f>19.6372*(+'BL-Template'!Fak_2)</f>
        <v>0.19637199999999999</v>
      </c>
      <c r="X30" s="282">
        <f>16.5244*(+'BL-Template'!Fak_2)</f>
        <v>0.165244</v>
      </c>
      <c r="Y30" s="282">
        <f>32.1791*(+'BL-Template'!Fak_2)</f>
        <v>0.32179099999999999</v>
      </c>
      <c r="Z30" s="282">
        <f>12.991*(+'BL-Template'!Fak_2)</f>
        <v>0.12991</v>
      </c>
      <c r="AA30" s="282">
        <f>19.2262*(+'BL-Template'!Fak_2)</f>
        <v>0.19226199999999999</v>
      </c>
      <c r="AB30" s="282">
        <f>26.8603*(+'BL-Template'!Fak_2)</f>
        <v>0.26860299999999998</v>
      </c>
      <c r="AC30" s="282">
        <f>14.7877*(+'BL-Template'!Fak_2)</f>
        <v>0.14787700000000001</v>
      </c>
      <c r="AD30" s="282">
        <f>1.7112*(+'BL-Template'!Fak_2)</f>
        <v>1.7112000000000002E-2</v>
      </c>
      <c r="AE30" s="282">
        <f>26.2552*(+'BL-Template'!Fak_2)</f>
        <v>0.26255200000000001</v>
      </c>
      <c r="AF30" s="282">
        <f>15.7779*(+'BL-Template'!Fak_2)</f>
        <v>0.157779</v>
      </c>
      <c r="AG30" s="282">
        <f>19.4685*(+'BL-Template'!Fak_2)</f>
        <v>0.194685</v>
      </c>
      <c r="AH30" s="204">
        <f t="shared" si="9"/>
        <v>5.8590430000000007</v>
      </c>
      <c r="AI30" s="159" t="str">
        <f t="shared" si="10"/>
        <v>km²</v>
      </c>
      <c r="AJ30" s="160"/>
      <c r="AK30" s="161">
        <f t="shared" si="11"/>
        <v>0.10844259361451566</v>
      </c>
      <c r="AL30" s="364"/>
    </row>
    <row r="31" spans="2:38" ht="19.5" customHeight="1" x14ac:dyDescent="0.3">
      <c r="G31" s="222"/>
      <c r="I31" s="148"/>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159"/>
      <c r="AJ31" s="160"/>
      <c r="AK31" s="189"/>
      <c r="AL31" s="147"/>
    </row>
    <row r="32" spans="2:38" ht="19.5" customHeight="1" x14ac:dyDescent="0.3">
      <c r="G32" s="144"/>
      <c r="I32" s="148" t="s">
        <v>7514</v>
      </c>
      <c r="J32" s="282">
        <f t="shared" ref="J32:AG32" si="12">+VS_gesamt*10000/EW</f>
        <v>516.08795219859121</v>
      </c>
      <c r="K32" s="282">
        <f t="shared" si="12"/>
        <v>306.3933716604667</v>
      </c>
      <c r="L32" s="282">
        <f t="shared" si="12"/>
        <v>465.50950898383286</v>
      </c>
      <c r="M32" s="282">
        <f t="shared" si="12"/>
        <v>724.5706803380906</v>
      </c>
      <c r="N32" s="282">
        <f t="shared" si="12"/>
        <v>570.03033337700981</v>
      </c>
      <c r="O32" s="282">
        <f t="shared" si="12"/>
        <v>811.81500987491768</v>
      </c>
      <c r="P32" s="282">
        <f t="shared" si="12"/>
        <v>909.89103605066589</v>
      </c>
      <c r="Q32" s="282">
        <f t="shared" si="12"/>
        <v>487.72943619403799</v>
      </c>
      <c r="R32" s="282">
        <f t="shared" si="12"/>
        <v>304.87881706191564</v>
      </c>
      <c r="S32" s="282">
        <f t="shared" si="12"/>
        <v>621.45511552321068</v>
      </c>
      <c r="T32" s="282">
        <f t="shared" si="12"/>
        <v>559.36516809700026</v>
      </c>
      <c r="U32" s="282">
        <f t="shared" si="12"/>
        <v>598.11824724539838</v>
      </c>
      <c r="V32" s="282">
        <f t="shared" si="12"/>
        <v>775.42176593535157</v>
      </c>
      <c r="W32" s="282">
        <f t="shared" si="12"/>
        <v>268.77271853344149</v>
      </c>
      <c r="X32" s="282">
        <f t="shared" si="12"/>
        <v>436.6458571775396</v>
      </c>
      <c r="Y32" s="282">
        <f t="shared" si="12"/>
        <v>449.68640699822782</v>
      </c>
      <c r="Z32" s="282">
        <f t="shared" si="12"/>
        <v>307.71201206529452</v>
      </c>
      <c r="AA32" s="282">
        <f t="shared" si="12"/>
        <v>566.98482552966368</v>
      </c>
      <c r="AB32" s="282">
        <f t="shared" si="12"/>
        <v>454.19574639370194</v>
      </c>
      <c r="AC32" s="282">
        <f t="shared" si="12"/>
        <v>949.85421974834389</v>
      </c>
      <c r="AD32" s="282">
        <f t="shared" si="12"/>
        <v>412.46375766318067</v>
      </c>
      <c r="AE32" s="282">
        <f t="shared" si="12"/>
        <v>448.92421060573673</v>
      </c>
      <c r="AF32" s="282">
        <f t="shared" si="12"/>
        <v>257.05379357194414</v>
      </c>
      <c r="AG32" s="282">
        <f t="shared" si="12"/>
        <v>928.12417627183629</v>
      </c>
      <c r="AH32" s="282">
        <f>SUM(VS_gesamt)*10000/SUM(EW)</f>
        <v>502.96968146852248</v>
      </c>
      <c r="AI32" s="224" t="s">
        <v>7513</v>
      </c>
      <c r="AJ32" s="147"/>
      <c r="AK32" s="147"/>
      <c r="AL32" s="147"/>
    </row>
    <row r="33" spans="1:128" ht="19.5" customHeight="1" x14ac:dyDescent="0.3">
      <c r="G33" s="144"/>
      <c r="I33" s="148" t="s">
        <v>7472</v>
      </c>
      <c r="J33" s="285">
        <f>100*Fak_Einheit*VS_gesamt/'BL-Template'!DSR</f>
        <v>7.6383207883239841</v>
      </c>
      <c r="K33" s="285">
        <f>100*Fak_Einheit*VS_gesamt/'BL-Template'!DSR</f>
        <v>11.493400600355127</v>
      </c>
      <c r="L33" s="285">
        <f>100*Fak_Einheit*VS_gesamt/'BL-Template'!DSR</f>
        <v>8.8311854976169517</v>
      </c>
      <c r="M33" s="285">
        <f>100*Fak_Einheit*VS_gesamt/'BL-Template'!DSR</f>
        <v>6.7528909191849218</v>
      </c>
      <c r="N33" s="285">
        <f>100*Fak_Einheit*VS_gesamt/'BL-Template'!DSR</f>
        <v>5.5163338922542771</v>
      </c>
      <c r="O33" s="285">
        <f>100*Fak_Einheit*VS_gesamt/'BL-Template'!DSR</f>
        <v>5.1886390392593364</v>
      </c>
      <c r="P33" s="285">
        <f>100*Fak_Einheit*VS_gesamt/'BL-Template'!DSR</f>
        <v>4.9527904148082342</v>
      </c>
      <c r="Q33" s="285">
        <f>100*Fak_Einheit*VS_gesamt/'BL-Template'!DSR</f>
        <v>8.3166706322331798</v>
      </c>
      <c r="R33" s="285">
        <f>100*Fak_Einheit*VS_gesamt/'BL-Template'!DSR</f>
        <v>24.06277083829832</v>
      </c>
      <c r="S33" s="285">
        <f>100*Fak_Einheit*VS_gesamt/'BL-Template'!DSR</f>
        <v>7.3553718295504584</v>
      </c>
      <c r="T33" s="285">
        <f>100*Fak_Einheit*VS_gesamt/'BL-Template'!DSR</f>
        <v>7.9138792902973316</v>
      </c>
      <c r="U33" s="285">
        <f>100*Fak_Einheit*VS_gesamt/'BL-Template'!DSR</f>
        <v>7.7975163124061018</v>
      </c>
      <c r="V33" s="285">
        <f>100*Fak_Einheit*VS_gesamt/'BL-Template'!DSR</f>
        <v>5.3168568974221806</v>
      </c>
      <c r="W33" s="285">
        <f>100*Fak_Einheit*VS_gesamt/'BL-Template'!DSR</f>
        <v>18.481527982321211</v>
      </c>
      <c r="X33" s="285">
        <f>100*Fak_Einheit*VS_gesamt/'BL-Template'!DSR</f>
        <v>10.054982508478739</v>
      </c>
      <c r="Y33" s="285">
        <f>100*Fak_Einheit*VS_gesamt/'BL-Template'!DSR</f>
        <v>7.758890863852093</v>
      </c>
      <c r="Z33" s="285">
        <f>100*Fak_Einheit*VS_gesamt/'BL-Template'!DSR</f>
        <v>18.572470904750325</v>
      </c>
      <c r="AA33" s="285">
        <f>100*Fak_Einheit*VS_gesamt/'BL-Template'!DSR</f>
        <v>6.4562718831799764</v>
      </c>
      <c r="AB33" s="285">
        <f>100*Fak_Einheit*VS_gesamt/'BL-Template'!DSR</f>
        <v>9.336420977360774</v>
      </c>
      <c r="AC33" s="285">
        <f>100*Fak_Einheit*VS_gesamt/'BL-Template'!DSR</f>
        <v>5.1055230025254899</v>
      </c>
      <c r="AD33" s="285">
        <f>100*Fak_Einheit*VS_gesamt/'BL-Template'!DSR</f>
        <v>6.3024908437761944</v>
      </c>
      <c r="AE33" s="285">
        <f>100*Fak_Einheit*VS_gesamt/'BL-Template'!DSR</f>
        <v>8.8318253296146629</v>
      </c>
      <c r="AF33" s="285">
        <f>100*Fak_Einheit*VS_gesamt/'BL-Template'!DSR</f>
        <v>27.162031485385967</v>
      </c>
      <c r="AG33" s="285">
        <f>100*Fak_Einheit*VS_gesamt/'BL-Template'!DSR</f>
        <v>5.0230696823896803</v>
      </c>
      <c r="AH33" s="285">
        <f>100*Fak_Einheit*SUM(VS_gesamt)/SUM('BL-Template'!DSR)</f>
        <v>7.3559848197780067</v>
      </c>
      <c r="AI33" s="210" t="s">
        <v>7418</v>
      </c>
      <c r="AJ33" s="147"/>
      <c r="AK33" s="147"/>
      <c r="AL33" s="147"/>
    </row>
    <row r="34" spans="1:128" ht="18.600000000000001" customHeight="1" x14ac:dyDescent="0.3">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38"/>
    </row>
    <row r="35" spans="1:128" s="144" customFormat="1" ht="74.25" customHeight="1" x14ac:dyDescent="0.6">
      <c r="B35" s="227"/>
      <c r="C35" s="228"/>
      <c r="D35" s="229"/>
      <c r="E35" s="244" t="s">
        <v>7408</v>
      </c>
      <c r="F35" s="188"/>
      <c r="G35" s="187"/>
      <c r="H35" s="187"/>
    </row>
    <row r="36" spans="1:128" ht="27" x14ac:dyDescent="0.3">
      <c r="A36" s="138">
        <f>+MATCH(Bezugsgroesse,{"absolut";"Bevölkerung";"Dauersiedlungsraum"})</f>
        <v>1</v>
      </c>
      <c r="B36" s="228" t="s">
        <v>7432</v>
      </c>
      <c r="C36" s="242" t="s">
        <v>161</v>
      </c>
      <c r="D36" s="231"/>
      <c r="E36" s="139"/>
      <c r="F36" s="137"/>
      <c r="G36" s="137"/>
      <c r="H36" s="178"/>
      <c r="I36" s="369" t="str">
        <f xml:space="preserve"> "Flächeninanspruchnahme " &amp; IF(Versatz = 1, "in "&amp;'BL-Template'!Einheit, IF(Versatz = 2, "in m² pro Einwohner:in", "in Prozent des Dauersiedlungsraums"))</f>
        <v>Flächeninanspruchnahme in km²</v>
      </c>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row>
    <row r="37" spans="1:128" x14ac:dyDescent="0.3">
      <c r="F37" s="181"/>
      <c r="G37" s="137"/>
      <c r="H37" s="178"/>
      <c r="I37" s="180"/>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6"/>
    </row>
    <row r="38" spans="1:128" hidden="1" x14ac:dyDescent="0.3">
      <c r="F38" s="137"/>
      <c r="G38" s="137"/>
      <c r="H38" s="178" t="s">
        <v>7532</v>
      </c>
      <c r="I38" s="180"/>
      <c r="J38" s="137">
        <f t="shared" ref="J38:AG38" si="13">IF(Versatz = 1, Fak_Einheit, IF(Versatz = 2, 10000/J40, 100*Fak_Einheit/J41))</f>
        <v>0.01</v>
      </c>
      <c r="K38" s="137">
        <f t="shared" si="13"/>
        <v>0.01</v>
      </c>
      <c r="L38" s="137">
        <f t="shared" si="13"/>
        <v>0.01</v>
      </c>
      <c r="M38" s="137">
        <f t="shared" si="13"/>
        <v>0.01</v>
      </c>
      <c r="N38" s="137">
        <f t="shared" si="13"/>
        <v>0.01</v>
      </c>
      <c r="O38" s="137">
        <f t="shared" si="13"/>
        <v>0.01</v>
      </c>
      <c r="P38" s="137">
        <f t="shared" si="13"/>
        <v>0.01</v>
      </c>
      <c r="Q38" s="137">
        <f t="shared" si="13"/>
        <v>0.01</v>
      </c>
      <c r="R38" s="137">
        <f t="shared" si="13"/>
        <v>0.01</v>
      </c>
      <c r="S38" s="137">
        <f t="shared" si="13"/>
        <v>0.01</v>
      </c>
      <c r="T38" s="137">
        <f t="shared" si="13"/>
        <v>0.01</v>
      </c>
      <c r="U38" s="137">
        <f t="shared" si="13"/>
        <v>0.01</v>
      </c>
      <c r="V38" s="137">
        <f t="shared" si="13"/>
        <v>0.01</v>
      </c>
      <c r="W38" s="137">
        <f t="shared" si="13"/>
        <v>0.01</v>
      </c>
      <c r="X38" s="137">
        <f t="shared" si="13"/>
        <v>0.01</v>
      </c>
      <c r="Y38" s="137">
        <f t="shared" si="13"/>
        <v>0.01</v>
      </c>
      <c r="Z38" s="137">
        <f t="shared" si="13"/>
        <v>0.01</v>
      </c>
      <c r="AA38" s="137">
        <f t="shared" si="13"/>
        <v>0.01</v>
      </c>
      <c r="AB38" s="137">
        <f t="shared" si="13"/>
        <v>0.01</v>
      </c>
      <c r="AC38" s="137">
        <f t="shared" si="13"/>
        <v>0.01</v>
      </c>
      <c r="AD38" s="137">
        <f t="shared" si="13"/>
        <v>0.01</v>
      </c>
      <c r="AE38" s="137">
        <f t="shared" si="13"/>
        <v>0.01</v>
      </c>
      <c r="AF38" s="137">
        <f t="shared" si="13"/>
        <v>0.01</v>
      </c>
      <c r="AG38" s="137">
        <f t="shared" si="13"/>
        <v>0.01</v>
      </c>
      <c r="AH38" s="137">
        <f t="shared" ref="AH38" si="14">IF(Versatz = 1, Fak_Einheit, IF(Versatz = 2, 10000/AH40, 100*Fak_Einheit/AH41))</f>
        <v>0.01</v>
      </c>
      <c r="AI38" s="137"/>
      <c r="AJ38" s="137"/>
      <c r="AK38" s="136"/>
    </row>
    <row r="39" spans="1:128" hidden="1" x14ac:dyDescent="0.3">
      <c r="F39" s="137"/>
      <c r="G39" s="137"/>
      <c r="H39" s="178" t="s">
        <v>7531</v>
      </c>
      <c r="I39" s="180"/>
      <c r="J39" s="137">
        <v>1</v>
      </c>
      <c r="K39" s="137">
        <v>1</v>
      </c>
      <c r="L39" s="137">
        <v>1</v>
      </c>
      <c r="M39" s="137">
        <v>1</v>
      </c>
      <c r="N39" s="137">
        <v>1</v>
      </c>
      <c r="O39" s="137">
        <v>1</v>
      </c>
      <c r="P39" s="137">
        <v>1</v>
      </c>
      <c r="Q39" s="137">
        <v>1</v>
      </c>
      <c r="R39" s="137">
        <v>1</v>
      </c>
      <c r="S39" s="137">
        <v>1</v>
      </c>
      <c r="T39" s="137">
        <v>1</v>
      </c>
      <c r="U39" s="137">
        <v>1</v>
      </c>
      <c r="V39" s="137">
        <v>1</v>
      </c>
      <c r="W39" s="137">
        <v>1</v>
      </c>
      <c r="X39" s="137">
        <v>1</v>
      </c>
      <c r="Y39" s="137">
        <v>1</v>
      </c>
      <c r="Z39" s="137">
        <v>1</v>
      </c>
      <c r="AA39" s="137">
        <v>1</v>
      </c>
      <c r="AB39" s="137">
        <v>1</v>
      </c>
      <c r="AC39" s="137">
        <v>1</v>
      </c>
      <c r="AD39" s="137">
        <v>1</v>
      </c>
      <c r="AE39" s="137">
        <v>1</v>
      </c>
      <c r="AF39" s="137">
        <v>1</v>
      </c>
      <c r="AG39" s="137">
        <v>1</v>
      </c>
      <c r="AH39" s="137">
        <v>1</v>
      </c>
      <c r="AI39" s="137"/>
      <c r="AJ39" s="137"/>
      <c r="AK39" s="136"/>
    </row>
    <row r="40" spans="1:128" x14ac:dyDescent="0.3">
      <c r="F40" s="149"/>
      <c r="G40" s="149"/>
      <c r="H40" s="192" t="s">
        <v>159</v>
      </c>
      <c r="I40" s="154"/>
      <c r="J40" s="193">
        <v>116984</v>
      </c>
      <c r="K40" s="193">
        <v>147850</v>
      </c>
      <c r="L40" s="193">
        <v>106636</v>
      </c>
      <c r="M40" s="193">
        <v>36085</v>
      </c>
      <c r="N40" s="193">
        <v>106846</v>
      </c>
      <c r="O40" s="193">
        <v>51646</v>
      </c>
      <c r="P40" s="193">
        <v>30790</v>
      </c>
      <c r="Q40" s="193">
        <v>91982</v>
      </c>
      <c r="R40" s="193">
        <v>24921</v>
      </c>
      <c r="S40" s="193">
        <v>56612</v>
      </c>
      <c r="T40" s="193">
        <v>25402</v>
      </c>
      <c r="U40" s="193">
        <v>78505</v>
      </c>
      <c r="V40" s="193">
        <v>76073</v>
      </c>
      <c r="W40" s="193">
        <v>119627</v>
      </c>
      <c r="X40" s="193">
        <v>86499</v>
      </c>
      <c r="Y40" s="193">
        <v>132605</v>
      </c>
      <c r="Z40" s="193">
        <v>56360</v>
      </c>
      <c r="AA40" s="193">
        <v>41583</v>
      </c>
      <c r="AB40" s="193">
        <v>106827</v>
      </c>
      <c r="AC40" s="193">
        <v>25511</v>
      </c>
      <c r="AD40" s="193">
        <v>11092</v>
      </c>
      <c r="AE40" s="193">
        <v>79523</v>
      </c>
      <c r="AF40" s="193">
        <v>47106</v>
      </c>
      <c r="AG40" s="193">
        <v>41731</v>
      </c>
      <c r="AH40" s="193">
        <f>SUM(EW)</f>
        <v>1698796</v>
      </c>
      <c r="AI40" s="194" t="s">
        <v>163</v>
      </c>
      <c r="AJ40" s="194"/>
      <c r="AK40" s="195"/>
      <c r="AL40" s="147"/>
      <c r="AM40" s="147"/>
    </row>
    <row r="41" spans="1:128" x14ac:dyDescent="0.3">
      <c r="F41" s="150"/>
      <c r="G41" s="150"/>
      <c r="H41" s="192" t="s">
        <v>171</v>
      </c>
      <c r="I41" s="154"/>
      <c r="J41" s="193">
        <f>79040.9759855705*(+'BL-Template'!Fak_Einheit)</f>
        <v>790.40975985570503</v>
      </c>
      <c r="K41" s="193">
        <f>39414.1486711951*(+'BL-Template'!Fak_Einheit)</f>
        <v>394.14148671195102</v>
      </c>
      <c r="L41" s="193">
        <f>56209.9754482511*(+'BL-Template'!Fak_Einheit)</f>
        <v>562.099754482511</v>
      </c>
      <c r="M41" s="193">
        <f>38718.4293555209*(+'BL-Template'!Fak_Einheit)</f>
        <v>387.18429355520902</v>
      </c>
      <c r="N41" s="193">
        <f>110409.308409558*(+'BL-Template'!Fak_Einheit)</f>
        <v>1104.09308409558</v>
      </c>
      <c r="O41" s="193">
        <f>80805.3859263738*(+'BL-Template'!Fak_Einheit)</f>
        <v>808.05385926373799</v>
      </c>
      <c r="P41" s="193">
        <f>56565.1736771194*(+'BL-Template'!Fak_Einheit)</f>
        <v>565.65173677119401</v>
      </c>
      <c r="Q41" s="193">
        <f>53942.6544392965*(+'BL-Template'!Fak_Einheit)</f>
        <v>539.42654439296507</v>
      </c>
      <c r="R41" s="193">
        <f>3157.5270574855*(+'BL-Template'!Fak_Einheit)</f>
        <v>31.575270574855001</v>
      </c>
      <c r="S41" s="193">
        <f>47831.4595309184*(+'BL-Template'!Fak_Einheit)</f>
        <v>478.31459530918403</v>
      </c>
      <c r="T41" s="193">
        <f>17954.5245495729*(+'BL-Template'!Fak_Einheit)</f>
        <v>179.54524549572901</v>
      </c>
      <c r="U41" s="193">
        <f>60218.2427310766*(+'BL-Template'!Fak_Einheit)</f>
        <v>602.182427310766</v>
      </c>
      <c r="V41" s="193">
        <f>110946.4880061*(+'BL-Template'!Fak_Einheit)</f>
        <v>1109.464880061</v>
      </c>
      <c r="W41" s="193">
        <f>17397.0864480231*(+'BL-Template'!Fak_Einheit)</f>
        <v>173.970864480231</v>
      </c>
      <c r="X41" s="193">
        <f>37562.8997545758*(+'BL-Template'!Fak_Einheit)</f>
        <v>375.62899754575801</v>
      </c>
      <c r="Y41" s="193">
        <f>76854.6265778958*(+'BL-Template'!Fak_Einheit)</f>
        <v>768.54626577895806</v>
      </c>
      <c r="Z41" s="193">
        <f>9337.8253701096*(+'BL-Template'!Fak_Einheit)</f>
        <v>93.378253701096</v>
      </c>
      <c r="AA41" s="193">
        <f>36517.8704159333*(+'BL-Template'!Fak_Einheit)</f>
        <v>365.17870415933299</v>
      </c>
      <c r="AB41" s="193">
        <f>51968.9173374397*(+'BL-Template'!Fak_Einheit)</f>
        <v>519.689173374397</v>
      </c>
      <c r="AC41" s="193">
        <f>47461.7996785316*(+'BL-Template'!Fak_Einheit)</f>
        <v>474.617996785316</v>
      </c>
      <c r="AD41" s="193">
        <f>7259.110902982*(+'BL-Template'!Fak_Einheit)</f>
        <v>72.591109029820004</v>
      </c>
      <c r="AE41" s="193">
        <f>40421.7686238566*(+'BL-Template'!Fak_Einheit)</f>
        <v>404.21768623856605</v>
      </c>
      <c r="AF41" s="193">
        <f>4457.9787806059*(+'BL-Template'!Fak_Einheit)</f>
        <v>44.579787806059002</v>
      </c>
      <c r="AG41" s="193">
        <f>77107.3316696929*(+'BL-Template'!Fak_Einheit)</f>
        <v>771.07331669692894</v>
      </c>
      <c r="AH41" s="193">
        <f>SUM(DSR)</f>
        <v>11615.615093476852</v>
      </c>
      <c r="AI41" s="194" t="str">
        <f t="shared" ref="AI41" si="15">Einheit</f>
        <v>km²</v>
      </c>
      <c r="AJ41" s="194"/>
      <c r="AK41" s="195"/>
      <c r="AL41" s="147"/>
      <c r="AM41" s="147"/>
    </row>
    <row r="42" spans="1:128" x14ac:dyDescent="0.3">
      <c r="F42" s="150"/>
      <c r="G42" s="150"/>
      <c r="H42" s="192"/>
      <c r="I42" s="154"/>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4"/>
      <c r="AJ42" s="194"/>
      <c r="AK42" s="195"/>
      <c r="AL42" s="147"/>
      <c r="AM42" s="147"/>
    </row>
    <row r="43" spans="1:128" s="144" customFormat="1" ht="112.5" customHeight="1" x14ac:dyDescent="0.4">
      <c r="B43" s="227"/>
      <c r="C43" s="228"/>
      <c r="D43" s="229"/>
      <c r="E43" s="131"/>
      <c r="F43" s="210"/>
      <c r="G43" s="196"/>
      <c r="H43" s="210"/>
      <c r="I43" s="148"/>
      <c r="J43" s="278" t="str">
        <f t="shared" ref="J43:AH43" si="16">+J24</f>
        <v>Amstetten</v>
      </c>
      <c r="K43" s="278" t="str">
        <f t="shared" si="16"/>
        <v>Baden</v>
      </c>
      <c r="L43" s="278" t="str">
        <f t="shared" si="16"/>
        <v>Bruck an der Leitha</v>
      </c>
      <c r="M43" s="278" t="str">
        <f t="shared" si="16"/>
        <v>Gmünd</v>
      </c>
      <c r="N43" s="278" t="str">
        <f t="shared" si="16"/>
        <v>Gänserndorf</v>
      </c>
      <c r="O43" s="278" t="str">
        <f t="shared" si="16"/>
        <v>Hollabrunn</v>
      </c>
      <c r="P43" s="278" t="str">
        <f t="shared" si="16"/>
        <v>Horn</v>
      </c>
      <c r="Q43" s="278" t="str">
        <f t="shared" si="16"/>
        <v>Korneuburg</v>
      </c>
      <c r="R43" s="278" t="str">
        <f t="shared" si="16"/>
        <v>Krems an der Donau(Stadt)</v>
      </c>
      <c r="S43" s="278" t="str">
        <f t="shared" si="16"/>
        <v>Krems(Land)</v>
      </c>
      <c r="T43" s="278" t="str">
        <f t="shared" si="16"/>
        <v>Lilienfeld</v>
      </c>
      <c r="U43" s="278" t="str">
        <f t="shared" si="16"/>
        <v>Melk</v>
      </c>
      <c r="V43" s="278" t="str">
        <f t="shared" si="16"/>
        <v>Mistelbach</v>
      </c>
      <c r="W43" s="278" t="str">
        <f t="shared" si="16"/>
        <v>Mödling</v>
      </c>
      <c r="X43" s="278" t="str">
        <f t="shared" si="16"/>
        <v>Neunkirchen</v>
      </c>
      <c r="Y43" s="278" t="str">
        <f t="shared" si="16"/>
        <v>Sankt Pölten(Land)</v>
      </c>
      <c r="Z43" s="278" t="str">
        <f t="shared" si="16"/>
        <v>Sankt Pölten(Stadt)</v>
      </c>
      <c r="AA43" s="278" t="str">
        <f t="shared" si="16"/>
        <v>Scheibbs</v>
      </c>
      <c r="AB43" s="278" t="str">
        <f t="shared" si="16"/>
        <v>Tulln</v>
      </c>
      <c r="AC43" s="278" t="str">
        <f t="shared" si="16"/>
        <v>Waidhofen an der Thaya</v>
      </c>
      <c r="AD43" s="278" t="str">
        <f t="shared" si="16"/>
        <v>Waidhofen an der Ybbs(Stadt)</v>
      </c>
      <c r="AE43" s="278" t="str">
        <f t="shared" si="16"/>
        <v>Wiener Neustadt(Land)</v>
      </c>
      <c r="AF43" s="278" t="str">
        <f t="shared" si="16"/>
        <v>Wiener Neustadt(Stadt)</v>
      </c>
      <c r="AG43" s="278" t="str">
        <f t="shared" si="16"/>
        <v>Zwettl</v>
      </c>
      <c r="AH43" s="279" t="str">
        <f t="shared" si="16"/>
        <v>Total</v>
      </c>
      <c r="AI43" s="211"/>
      <c r="AJ43" s="210"/>
      <c r="AK43" s="210"/>
      <c r="AL43" s="210"/>
      <c r="AM43" s="210"/>
    </row>
    <row r="44" spans="1:128" s="144" customFormat="1" ht="24" customHeight="1" x14ac:dyDescent="0.25">
      <c r="B44" s="227"/>
      <c r="C44" s="228"/>
      <c r="D44" s="229"/>
      <c r="E44" s="131"/>
      <c r="F44" s="198" t="s">
        <v>25</v>
      </c>
      <c r="G44" s="196">
        <v>101</v>
      </c>
      <c r="H44" s="148" t="str">
        <f>+VLOOKUP($G44,Konstanten!$A$2:$B$15,2,FALSE)</f>
        <v>Autobahn u. Schnellstraße</v>
      </c>
      <c r="I44" s="148"/>
      <c r="J44" s="267">
        <f>Fak_3*267.062378385902</f>
        <v>2.6706237838590199</v>
      </c>
      <c r="K44" s="267">
        <f>Fak_3*302.72977493199</f>
        <v>3.0272977493198998</v>
      </c>
      <c r="L44" s="267">
        <f>Fak_3*291.906009359917</f>
        <v>2.9190600935991702</v>
      </c>
      <c r="M44" s="267">
        <f>Fak_3*0</f>
        <v>0</v>
      </c>
      <c r="N44" s="267">
        <f>Fak_3*29.0900544787842</f>
        <v>0.290900544787842</v>
      </c>
      <c r="O44" s="267">
        <f>Fak_3*57.2790128675499</f>
        <v>0.57279012867549906</v>
      </c>
      <c r="P44" s="267">
        <f>Fak_3*0</f>
        <v>0</v>
      </c>
      <c r="Q44" s="267">
        <f>Fak_3*270.358934810865</f>
        <v>2.7035893481086499</v>
      </c>
      <c r="R44" s="267">
        <f>Fak_3*26.6741399643684</f>
        <v>0.26674139964368399</v>
      </c>
      <c r="S44" s="267">
        <f>Fak_3*31.263771516149</f>
        <v>0.31263771516149003</v>
      </c>
      <c r="T44" s="267">
        <f>Fak_3*0</f>
        <v>0</v>
      </c>
      <c r="U44" s="267">
        <f>Fak_3*264.036278282582</f>
        <v>2.6403627828258198</v>
      </c>
      <c r="V44" s="267">
        <f>Fak_3*238.752628646075</f>
        <v>2.38752628646075</v>
      </c>
      <c r="W44" s="267">
        <f>Fak_3*290.121236073857</f>
        <v>2.9012123607385703</v>
      </c>
      <c r="X44" s="267">
        <f>Fak_3*255.839296232823</f>
        <v>2.55839296232823</v>
      </c>
      <c r="Y44" s="267">
        <f>Fak_3*416.766746052812</f>
        <v>4.1676674605281203</v>
      </c>
      <c r="Z44" s="267">
        <f>Fak_3*124.969734244468</f>
        <v>1.24969734244468</v>
      </c>
      <c r="AA44" s="267">
        <f>Fak_3*0</f>
        <v>0</v>
      </c>
      <c r="AB44" s="267">
        <f>Fak_3*140.818033348309</f>
        <v>1.40818033348309</v>
      </c>
      <c r="AC44" s="267">
        <f>Fak_3*0</f>
        <v>0</v>
      </c>
      <c r="AD44" s="267">
        <f>Fak_3*0</f>
        <v>0</v>
      </c>
      <c r="AE44" s="267">
        <f>Fak_3*80.222871390987</f>
        <v>0.80222871390986994</v>
      </c>
      <c r="AF44" s="267">
        <f>Fak_3*70.9557641801704</f>
        <v>0.70955764180170411</v>
      </c>
      <c r="AG44" s="267">
        <f>Fak_3*0</f>
        <v>0</v>
      </c>
      <c r="AH44" s="267">
        <f>Fak_3*3158.84666476761</f>
        <v>31.5884666476761</v>
      </c>
      <c r="AI44" s="213"/>
      <c r="AJ44" s="220">
        <f t="shared" ref="AJ44:AJ57" si="17">+BS44/BR44</f>
        <v>0.62529156358129656</v>
      </c>
      <c r="AK44" s="367" t="s">
        <v>7527</v>
      </c>
      <c r="AM44" s="210"/>
      <c r="BR44" s="144">
        <v>110.40250823890199</v>
      </c>
      <c r="BS44" s="144">
        <v>69.033756999999994</v>
      </c>
      <c r="BT44" s="144">
        <f>+BR44-BS44</f>
        <v>41.368751238901993</v>
      </c>
      <c r="CE44" s="214"/>
      <c r="CF44" s="214"/>
    </row>
    <row r="45" spans="1:128" s="144" customFormat="1" ht="24" customHeight="1" x14ac:dyDescent="0.25">
      <c r="B45" s="227"/>
      <c r="C45" s="228"/>
      <c r="D45" s="229"/>
      <c r="E45" s="131"/>
      <c r="F45" s="198"/>
      <c r="G45" s="196">
        <v>102</v>
      </c>
      <c r="H45" s="148" t="str">
        <f>+VLOOKUP($G45,Konstanten!$A$2:$B$15,2,FALSE)</f>
        <v>Landesstraße B + L</v>
      </c>
      <c r="I45" s="148"/>
      <c r="J45" s="267">
        <f>Fak_3*1191.47147514681</f>
        <v>11.9147147514681</v>
      </c>
      <c r="K45" s="267">
        <f>Fak_3*534.161407411099</f>
        <v>5.341614074110991</v>
      </c>
      <c r="L45" s="267">
        <f>Fak_3*564.161653875931</f>
        <v>5.6416165387593109</v>
      </c>
      <c r="M45" s="267">
        <f>Fak_3*688.074295846735</f>
        <v>6.8807429584673505</v>
      </c>
      <c r="N45" s="267">
        <f>Fak_3*925.452581909062</f>
        <v>9.2545258190906203</v>
      </c>
      <c r="O45" s="267">
        <f>Fak_3*923.951258219833</f>
        <v>9.2395125821983299</v>
      </c>
      <c r="P45" s="267">
        <f>Fak_3*916.382370889206</f>
        <v>9.1638237088920604</v>
      </c>
      <c r="Q45" s="267">
        <f>Fak_3*632.363614797492</f>
        <v>6.3236361479749199</v>
      </c>
      <c r="R45" s="267">
        <f>Fak_3*119.070700979979</f>
        <v>1.1907070097997901</v>
      </c>
      <c r="S45" s="267">
        <f>Fak_3*956.883412917376</f>
        <v>9.5688341291737604</v>
      </c>
      <c r="T45" s="267">
        <f>Fak_3*327.434760211648</f>
        <v>3.2743476021164799</v>
      </c>
      <c r="U45" s="267">
        <f>Fak_3*1149.42104957378</f>
        <v>11.4942104957378</v>
      </c>
      <c r="V45" s="267">
        <f>Fak_3*1005.47535259834</f>
        <v>10.054753525983401</v>
      </c>
      <c r="W45" s="267">
        <f>Fak_3*277.195262054863</f>
        <v>2.77195262054863</v>
      </c>
      <c r="X45" s="267">
        <f>Fak_3*655.781651006853</f>
        <v>6.5578165100685304</v>
      </c>
      <c r="Y45" s="267">
        <f>Fak_3*1060.14267278205</f>
        <v>10.601426727820501</v>
      </c>
      <c r="Z45" s="267">
        <f>Fak_3*148.901864424041</f>
        <v>1.4890186442404101</v>
      </c>
      <c r="AA45" s="267">
        <f>Fak_3*461.705448941398</f>
        <v>4.61705448941398</v>
      </c>
      <c r="AB45" s="267">
        <f>Fak_3*684.985479698931</f>
        <v>6.8498547969893107</v>
      </c>
      <c r="AC45" s="267">
        <f>Fak_3*728.441730522814</f>
        <v>7.2844173052281409</v>
      </c>
      <c r="AD45" s="267">
        <f>Fak_3*72.9265547999424</f>
        <v>0.729265547999424</v>
      </c>
      <c r="AE45" s="267">
        <f>Fak_3*551.161430181077</f>
        <v>5.5116143018107699</v>
      </c>
      <c r="AF45" s="267">
        <f>Fak_3*353.799940332944</f>
        <v>3.5379994033294402</v>
      </c>
      <c r="AG45" s="267">
        <f>Fak_3*1085.49146321339</f>
        <v>10.8549146321339</v>
      </c>
      <c r="AH45" s="267">
        <f>Fak_3*16014.8374323356</f>
        <v>160.14837432335599</v>
      </c>
      <c r="AI45" s="213"/>
      <c r="AJ45" s="220">
        <f t="shared" si="17"/>
        <v>0.74842676287368548</v>
      </c>
      <c r="AK45" s="367"/>
      <c r="AM45" s="210"/>
      <c r="BR45" s="144">
        <v>429.83434045676199</v>
      </c>
      <c r="BS45" s="144">
        <v>321.699524</v>
      </c>
      <c r="BT45" s="144">
        <f t="shared" ref="BT45:BT57" si="18">+BR45-BS45</f>
        <v>108.134816456762</v>
      </c>
      <c r="CE45" s="214"/>
      <c r="CF45" s="214"/>
    </row>
    <row r="46" spans="1:128" s="144" customFormat="1" ht="24" customHeight="1" x14ac:dyDescent="0.25">
      <c r="B46" s="227"/>
      <c r="C46" s="228"/>
      <c r="D46" s="229"/>
      <c r="E46" s="131"/>
      <c r="F46" s="198"/>
      <c r="G46" s="196">
        <v>103</v>
      </c>
      <c r="H46" s="148" t="str">
        <f>+VLOOKUP($G46,Konstanten!$A$2:$B$15,2,FALSE)</f>
        <v>Gemeinde- und sonstige Straßen</v>
      </c>
      <c r="I46" s="148"/>
      <c r="J46" s="267">
        <f>Fak_3*1534.47495000069</f>
        <v>15.344749500006898</v>
      </c>
      <c r="K46" s="267">
        <f>Fak_3*1394.65752152076</f>
        <v>13.9465752152076</v>
      </c>
      <c r="L46" s="267">
        <f>Fak_3*2618.24673679168</f>
        <v>26.182467367916804</v>
      </c>
      <c r="M46" s="267">
        <f>Fak_3*818.268303672604</f>
        <v>8.1826830367260399</v>
      </c>
      <c r="N46" s="267">
        <f>Fak_3*2870.27241721453</f>
        <v>28.702724172145299</v>
      </c>
      <c r="O46" s="267">
        <f>Fak_3*2039.57030961872</f>
        <v>20.395703096187201</v>
      </c>
      <c r="P46" s="267">
        <f>Fak_3*1231.83141961956</f>
        <v>12.318314196195599</v>
      </c>
      <c r="Q46" s="267">
        <f>Fak_3*1732.56395518697</f>
        <v>17.325639551869699</v>
      </c>
      <c r="R46" s="267">
        <f>Fak_3*167.536741517929</f>
        <v>1.6753674151792899</v>
      </c>
      <c r="S46" s="267">
        <f>Fak_3*1166.82836966619</f>
        <v>11.6682836966619</v>
      </c>
      <c r="T46" s="267">
        <f>Fak_3*477.608409824526</f>
        <v>4.7760840982452599</v>
      </c>
      <c r="U46" s="267">
        <f>Fak_3*1334.52397485086</f>
        <v>13.3452397485086</v>
      </c>
      <c r="V46" s="267">
        <f>Fak_3*3143.31282015779</f>
        <v>31.433128201577901</v>
      </c>
      <c r="W46" s="267">
        <f>Fak_3*769.3113915209</f>
        <v>7.6931139152089996</v>
      </c>
      <c r="X46" s="267">
        <f>Fak_3*1283.3233540342</f>
        <v>12.833233540342</v>
      </c>
      <c r="Y46" s="267">
        <f>Fak_3*2028.11471124999</f>
        <v>20.281147112499902</v>
      </c>
      <c r="Z46" s="267">
        <f>Fak_3*529.488802548567</f>
        <v>5.2948880254856707</v>
      </c>
      <c r="AA46" s="267">
        <f>Fak_3*849.199768866512</f>
        <v>8.4919976886651209</v>
      </c>
      <c r="AB46" s="267">
        <f>Fak_3*1857.58585236871</f>
        <v>18.575858523687099</v>
      </c>
      <c r="AC46" s="267">
        <f>Fak_3*1014.46208916151</f>
        <v>10.1446208916151</v>
      </c>
      <c r="AD46" s="267">
        <f>Fak_3*163.93666298633</f>
        <v>1.6393666298633001</v>
      </c>
      <c r="AE46" s="267">
        <f>Fak_3*1204.24563535664</f>
        <v>12.042456353566399</v>
      </c>
      <c r="AF46" s="267">
        <f>Fak_3*375.523446905588</f>
        <v>3.7552344690558801</v>
      </c>
      <c r="AG46" s="267">
        <f>Fak_3*1518.76814554848</f>
        <v>15.187681455484801</v>
      </c>
      <c r="AH46" s="267">
        <f>Fak_3*32123.6557901902</f>
        <v>321.23655790190202</v>
      </c>
      <c r="AI46" s="213"/>
      <c r="AJ46" s="220">
        <f t="shared" si="17"/>
        <v>0.77800703868448506</v>
      </c>
      <c r="AK46" s="367"/>
      <c r="AM46" s="210"/>
      <c r="BR46" s="144">
        <v>1051.88642686803</v>
      </c>
      <c r="BS46" s="144">
        <v>818.37504400000012</v>
      </c>
      <c r="BT46" s="144">
        <f t="shared" si="18"/>
        <v>233.51138286802984</v>
      </c>
      <c r="CE46" s="214"/>
      <c r="CF46" s="214"/>
    </row>
    <row r="47" spans="1:128" s="144" customFormat="1" ht="24" customHeight="1" x14ac:dyDescent="0.25">
      <c r="B47" s="227"/>
      <c r="C47" s="228"/>
      <c r="D47" s="229"/>
      <c r="E47" s="131"/>
      <c r="F47" s="198"/>
      <c r="G47" s="196">
        <v>104</v>
      </c>
      <c r="H47" s="148" t="str">
        <f>+VLOOKUP($G47,Konstanten!$A$2:$B$15,2,FALSE)</f>
        <v>Schiene</v>
      </c>
      <c r="I47" s="148"/>
      <c r="J47" s="267">
        <f>Fak_3*320.762054809098</f>
        <v>3.2076205480909801</v>
      </c>
      <c r="K47" s="267">
        <f>Fak_3*178.037666820066</f>
        <v>1.7803766682006599</v>
      </c>
      <c r="L47" s="267">
        <f>Fak_3*272.333307169926</f>
        <v>2.7233330716992601</v>
      </c>
      <c r="M47" s="267">
        <f>Fak_3*106.082910142473</f>
        <v>1.06082910142473</v>
      </c>
      <c r="N47" s="267">
        <f>Fak_3*448.339927896769</f>
        <v>4.4833992789676902</v>
      </c>
      <c r="O47" s="267">
        <f>Fak_3*207.166365593032</f>
        <v>2.0716636559303199</v>
      </c>
      <c r="P47" s="267">
        <f>Fak_3*179.885706676846</f>
        <v>1.7988570667684602</v>
      </c>
      <c r="Q47" s="267">
        <f>Fak_3*185.024691454629</f>
        <v>1.8502469145462899</v>
      </c>
      <c r="R47" s="267">
        <f>Fak_3*26.7928300867177</f>
        <v>0.267928300867177</v>
      </c>
      <c r="S47" s="267">
        <f>Fak_3*99.4130078069211</f>
        <v>0.99413007806921105</v>
      </c>
      <c r="T47" s="267">
        <f>Fak_3*87.1140791602633</f>
        <v>0.87114079160263302</v>
      </c>
      <c r="U47" s="267">
        <f>Fak_3*260.293415738243</f>
        <v>2.6029341573824305</v>
      </c>
      <c r="V47" s="267">
        <f>Fak_3*265.100659179591</f>
        <v>2.6510065917959098</v>
      </c>
      <c r="W47" s="267">
        <f>Fak_3*127.958752058879</f>
        <v>1.2795875205887901</v>
      </c>
      <c r="X47" s="267">
        <f>Fak_3*211.370455326351</f>
        <v>2.1137045532635099</v>
      </c>
      <c r="Y47" s="267">
        <f>Fak_3*320.889451061992</f>
        <v>3.2088945106199205</v>
      </c>
      <c r="Z47" s="267">
        <f>Fak_3*160.904427797637</f>
        <v>1.6090442779763701</v>
      </c>
      <c r="AA47" s="267">
        <f>Fak_3*90.408539142602</f>
        <v>0.90408539142601996</v>
      </c>
      <c r="AB47" s="267">
        <f>Fak_3*343.2704823001</f>
        <v>3.432704823001</v>
      </c>
      <c r="AC47" s="267">
        <f>Fak_3*45.7427951200324</f>
        <v>0.45742795120032398</v>
      </c>
      <c r="AD47" s="267">
        <f>Fak_3*29.7789203582696</f>
        <v>0.297789203582696</v>
      </c>
      <c r="AE47" s="267">
        <f>Fak_3*145.11899650489</f>
        <v>1.4511899650489</v>
      </c>
      <c r="AF47" s="267">
        <f>Fak_3*74.4892576477607</f>
        <v>0.74489257647760698</v>
      </c>
      <c r="AG47" s="267">
        <f>Fak_3*133.181701295047</f>
        <v>1.3318170129504698</v>
      </c>
      <c r="AH47" s="267">
        <f>Fak_3*4319.46040114814</f>
        <v>43.194604011481395</v>
      </c>
      <c r="AI47" s="213"/>
      <c r="AJ47" s="220">
        <f t="shared" si="17"/>
        <v>0.50588581842325953</v>
      </c>
      <c r="AK47" s="367"/>
      <c r="AM47" s="210"/>
      <c r="BR47" s="144">
        <v>127.56757285891301</v>
      </c>
      <c r="BS47" s="144">
        <v>64.534626000000003</v>
      </c>
      <c r="BT47" s="144">
        <f t="shared" si="18"/>
        <v>63.032946858913007</v>
      </c>
      <c r="CE47" s="214"/>
      <c r="CF47" s="214"/>
    </row>
    <row r="48" spans="1:128" s="144" customFormat="1" ht="24" customHeight="1" x14ac:dyDescent="0.25">
      <c r="B48" s="227"/>
      <c r="C48" s="228"/>
      <c r="D48" s="229"/>
      <c r="E48" s="131"/>
      <c r="F48" s="200"/>
      <c r="G48" s="215"/>
      <c r="H48" s="216"/>
      <c r="I48" s="217" t="s">
        <v>7535</v>
      </c>
      <c r="J48" s="268">
        <f>Fak_3*3313.7708583425</f>
        <v>33.137708583425002</v>
      </c>
      <c r="K48" s="268">
        <f>Fak_3*2409.58637068391</f>
        <v>24.095863706839101</v>
      </c>
      <c r="L48" s="268">
        <f>Fak_3*3746.64770719745</f>
        <v>37.466477071974502</v>
      </c>
      <c r="M48" s="268">
        <f>Fak_3*1612.42550966181</f>
        <v>16.1242550966181</v>
      </c>
      <c r="N48" s="268">
        <f>Fak_3*4273.15498149914</f>
        <v>42.731549814991403</v>
      </c>
      <c r="O48" s="268">
        <f>Fak_3*3227.96694629913</f>
        <v>32.279669462991301</v>
      </c>
      <c r="P48" s="268">
        <f>Fak_3*2328.09949718561</f>
        <v>23.280994971856099</v>
      </c>
      <c r="Q48" s="268">
        <f>Fak_3*2820.31119624996</f>
        <v>28.203111962499602</v>
      </c>
      <c r="R48" s="268">
        <f>Fak_3*340.074412548994</f>
        <v>3.4007441254899402</v>
      </c>
      <c r="S48" s="268">
        <f>Fak_3*2254.38856190664</f>
        <v>22.543885619066401</v>
      </c>
      <c r="T48" s="268">
        <f>Fak_3*892.157249196437</f>
        <v>8.9215724919643691</v>
      </c>
      <c r="U48" s="268">
        <f>Fak_3*3008.27471844547</f>
        <v>30.082747184454703</v>
      </c>
      <c r="V48" s="268">
        <f>Fak_3*4652.6414605818</f>
        <v>46.526414605817997</v>
      </c>
      <c r="W48" s="268">
        <f>Fak_3*1464.5866417085</f>
        <v>14.645866417085001</v>
      </c>
      <c r="X48" s="268">
        <f>Fak_3*2406.31475660023</f>
        <v>24.0631475660023</v>
      </c>
      <c r="Y48" s="268">
        <f>Fak_3*3825.91358114684</f>
        <v>38.259135811468404</v>
      </c>
      <c r="Z48" s="268">
        <f>Fak_3*964.264829014713</f>
        <v>9.6426482901471307</v>
      </c>
      <c r="AA48" s="268">
        <f>Fak_3*1401.31375695051</f>
        <v>14.013137569505099</v>
      </c>
      <c r="AB48" s="268">
        <f>Fak_3*3026.65984771605</f>
        <v>30.2665984771605</v>
      </c>
      <c r="AC48" s="268">
        <f>Fak_3*1788.64661480435</f>
        <v>17.8864661480435</v>
      </c>
      <c r="AD48" s="268">
        <f>Fak_3*266.642138144542</f>
        <v>2.6664213814454203</v>
      </c>
      <c r="AE48" s="268">
        <f>Fak_3*1980.7489334336</f>
        <v>19.807489334336001</v>
      </c>
      <c r="AF48" s="268">
        <f>Fak_3*874.768409066463</f>
        <v>8.7476840906646309</v>
      </c>
      <c r="AG48" s="268">
        <f>Fak_3*2737.44131005691</f>
        <v>27.3744131005691</v>
      </c>
      <c r="AH48" s="268">
        <f>Fak_3*55616.8002884416</f>
        <v>556.16800288441596</v>
      </c>
      <c r="AI48" s="213"/>
      <c r="AJ48" s="220">
        <f t="shared" si="17"/>
        <v>0.7406232068794526</v>
      </c>
      <c r="AK48" s="367"/>
      <c r="AM48" s="210"/>
      <c r="BR48" s="144">
        <v>1719.6908484226101</v>
      </c>
      <c r="BS48" s="144">
        <v>1273.642951</v>
      </c>
      <c r="BT48" s="144">
        <f t="shared" si="18"/>
        <v>446.04789742261005</v>
      </c>
      <c r="CE48" s="214"/>
      <c r="CF48" s="214"/>
      <c r="DV48" s="329"/>
      <c r="DW48" s="329"/>
      <c r="DX48" s="329"/>
    </row>
    <row r="49" spans="2:128" s="144" customFormat="1" ht="24" customHeight="1" x14ac:dyDescent="0.25">
      <c r="B49" s="227"/>
      <c r="C49" s="228"/>
      <c r="D49" s="229"/>
      <c r="E49" s="131"/>
      <c r="F49" s="198" t="s">
        <v>7410</v>
      </c>
      <c r="G49" s="197">
        <v>211</v>
      </c>
      <c r="H49" s="148" t="str">
        <f>+VLOOKUP($G49,Konstanten!$A$2:$B$15,2,FALSE)</f>
        <v>Wohnnutzung</v>
      </c>
      <c r="I49" s="148"/>
      <c r="J49" s="267">
        <f>Fak_3*0.000238380410711515</f>
        <v>2.38380410711515E-6</v>
      </c>
      <c r="K49" s="267">
        <f>Fak_3*0</f>
        <v>0</v>
      </c>
      <c r="L49" s="267">
        <f>Fak_3*0.000413041261200024</f>
        <v>4.1304126120002404E-6</v>
      </c>
      <c r="M49" s="267">
        <f>Fak_3*0</f>
        <v>0</v>
      </c>
      <c r="N49" s="267">
        <f>Fak_3*0</f>
        <v>0</v>
      </c>
      <c r="O49" s="267">
        <f>Fak_3*0</f>
        <v>0</v>
      </c>
      <c r="P49" s="267">
        <f>Fak_3*0</f>
        <v>0</v>
      </c>
      <c r="Q49" s="267">
        <f>Fak_3*0.00055305401112763</f>
        <v>5.5305401112763006E-6</v>
      </c>
      <c r="R49" s="267">
        <f>Fak_3*0</f>
        <v>0</v>
      </c>
      <c r="S49" s="267">
        <f>Fak_3*0</f>
        <v>0</v>
      </c>
      <c r="T49" s="267">
        <f>Fak_3*0</f>
        <v>0</v>
      </c>
      <c r="U49" s="267">
        <f>Fak_3*0.0000113559000136417</f>
        <v>1.13559000136417E-7</v>
      </c>
      <c r="V49" s="267">
        <f>Fak_3*0</f>
        <v>0</v>
      </c>
      <c r="W49" s="267">
        <f>Fak_3*0.0069651272008255</f>
        <v>6.9651272008255005E-5</v>
      </c>
      <c r="X49" s="267">
        <f>Fak_3*0</f>
        <v>0</v>
      </c>
      <c r="Y49" s="267">
        <f>Fak_3*0.00184179184293709</f>
        <v>1.8417918429370902E-5</v>
      </c>
      <c r="Z49" s="267">
        <f>Fak_3*0</f>
        <v>0</v>
      </c>
      <c r="AA49" s="267">
        <f>Fak_3*0</f>
        <v>0</v>
      </c>
      <c r="AB49" s="267">
        <f>Fak_3*0.0000282486318446093</f>
        <v>2.8248631844609299E-7</v>
      </c>
      <c r="AC49" s="267">
        <f>Fak_3*0</f>
        <v>0</v>
      </c>
      <c r="AD49" s="267">
        <f>Fak_3*0</f>
        <v>0</v>
      </c>
      <c r="AE49" s="267">
        <f>Fak_3*0</f>
        <v>0</v>
      </c>
      <c r="AF49" s="267">
        <f>Fak_3*0</f>
        <v>0</v>
      </c>
      <c r="AG49" s="267">
        <f>Fak_3*0</f>
        <v>0</v>
      </c>
      <c r="AH49" s="267">
        <f>Fak_3*0.01005099925866</f>
        <v>1.005099925866E-4</v>
      </c>
      <c r="AI49" s="213"/>
      <c r="AJ49" s="220">
        <f t="shared" si="17"/>
        <v>0.39295521959753704</v>
      </c>
      <c r="AK49" s="367"/>
      <c r="AM49" s="210"/>
      <c r="BR49" s="144">
        <v>1112.6431516746302</v>
      </c>
      <c r="BS49" s="144">
        <v>437.21893399999999</v>
      </c>
      <c r="BT49" s="144">
        <f t="shared" si="18"/>
        <v>675.4242176746302</v>
      </c>
      <c r="CE49" s="214"/>
      <c r="CF49" s="214"/>
    </row>
    <row r="50" spans="2:128" s="144" customFormat="1" ht="24" customHeight="1" x14ac:dyDescent="0.25">
      <c r="B50" s="227"/>
      <c r="C50" s="228"/>
      <c r="D50" s="229"/>
      <c r="E50" s="131"/>
      <c r="F50" s="198"/>
      <c r="G50" s="197">
        <v>212</v>
      </c>
      <c r="H50" s="148" t="str">
        <f>+VLOOKUP($G50,Konstanten!$A$2:$B$15,2,FALSE)</f>
        <v>gemischte bauliche Nutzung</v>
      </c>
      <c r="I50" s="148"/>
      <c r="J50" s="267">
        <f>Fak_3*3060.99449924131</f>
        <v>30.609944992413102</v>
      </c>
      <c r="K50" s="267">
        <f>Fak_3*3871.87138106142</f>
        <v>38.718713810614197</v>
      </c>
      <c r="L50" s="267">
        <f>Fak_3*3022.09233770032</f>
        <v>30.220923377003203</v>
      </c>
      <c r="M50" s="267">
        <f>Fak_3*1867.82541975593</f>
        <v>18.678254197559301</v>
      </c>
      <c r="N50" s="267">
        <f>Fak_3*4491.13075010932</f>
        <v>44.911307501093198</v>
      </c>
      <c r="O50" s="267">
        <f>Fak_3*2879.02920180391</f>
        <v>28.7902920180391</v>
      </c>
      <c r="P50" s="267">
        <f>Fak_3*1853.18897370227</f>
        <v>18.531889737022702</v>
      </c>
      <c r="Q50" s="267">
        <f>Fak_3*3171.95194195895</f>
        <v>31.719519419589503</v>
      </c>
      <c r="R50" s="267">
        <f>Fak_3*432.498048289216</f>
        <v>4.3249804828921601</v>
      </c>
      <c r="S50" s="267">
        <f>Fak_3*2377.46840121623</f>
        <v>23.774684012162304</v>
      </c>
      <c r="T50" s="267">
        <f>Fak_3*819.810408839374</f>
        <v>8.1981040883937393</v>
      </c>
      <c r="U50" s="267">
        <f>Fak_3*2728.16319909661</f>
        <v>27.281631990966098</v>
      </c>
      <c r="V50" s="267">
        <f>Fak_3*3916.11861261709</f>
        <v>39.161186126170904</v>
      </c>
      <c r="W50" s="267">
        <f>Fak_3*2772.18488883349</f>
        <v>27.7218488883349</v>
      </c>
      <c r="X50" s="267">
        <f>Fak_3*3251.10853053206</f>
        <v>32.511085305320599</v>
      </c>
      <c r="Y50" s="267">
        <f>Fak_3*5254.75359230003</f>
        <v>52.547535923000297</v>
      </c>
      <c r="Z50" s="267">
        <f>Fak_3*1312.8084343596</f>
        <v>13.128084343595999</v>
      </c>
      <c r="AA50" s="267">
        <f>Fak_3*1129.00047556582</f>
        <v>11.290004755658199</v>
      </c>
      <c r="AB50" s="267">
        <f>Fak_3*4088.58500979019</f>
        <v>40.885850097901901</v>
      </c>
      <c r="AC50" s="267">
        <f>Fak_3*1543.80950052668</f>
        <v>15.438095005266801</v>
      </c>
      <c r="AD50" s="267">
        <f>Fak_3*229.705596610274</f>
        <v>2.2970559661027399</v>
      </c>
      <c r="AE50" s="267">
        <f>Fak_3*3046.69261877601</f>
        <v>30.466926187760102</v>
      </c>
      <c r="AF50" s="267">
        <f>Fak_3*705.31706920411</f>
        <v>7.0531706920410997</v>
      </c>
      <c r="AG50" s="267">
        <f>Fak_3*2147.91605752859</f>
        <v>21.479160575285899</v>
      </c>
      <c r="AH50" s="267">
        <f>Fak_3*59974.0249494188</f>
        <v>599.74024949418799</v>
      </c>
      <c r="AI50" s="213"/>
      <c r="AJ50" s="220">
        <f t="shared" si="17"/>
        <v>0.47014924161630484</v>
      </c>
      <c r="AK50" s="367"/>
      <c r="AM50" s="210"/>
      <c r="BR50" s="144">
        <v>1091.9388516614299</v>
      </c>
      <c r="BS50" s="144">
        <v>513.37422300000003</v>
      </c>
      <c r="BT50" s="144">
        <f t="shared" si="18"/>
        <v>578.56462866142988</v>
      </c>
      <c r="CE50" s="214"/>
      <c r="CF50" s="214"/>
    </row>
    <row r="51" spans="2:128" s="144" customFormat="1" ht="24" customHeight="1" x14ac:dyDescent="0.25">
      <c r="B51" s="227"/>
      <c r="C51" s="228"/>
      <c r="D51" s="229"/>
      <c r="E51" s="131"/>
      <c r="F51" s="198"/>
      <c r="G51" s="197">
        <v>213</v>
      </c>
      <c r="H51" s="148" t="str">
        <f>+VLOOKUP($G51,Konstanten!$A$2:$B$15,2,FALSE)</f>
        <v>betriebliche Nutzung</v>
      </c>
      <c r="I51" s="148"/>
      <c r="J51" s="267">
        <f>Fak_3*1014.49253770735</f>
        <v>10.1449253770735</v>
      </c>
      <c r="K51" s="267">
        <f>Fak_3*1004.37419798071</f>
        <v>10.0437419798071</v>
      </c>
      <c r="L51" s="267">
        <f>Fak_3*1125.3681654962</f>
        <v>11.253681654962</v>
      </c>
      <c r="M51" s="267">
        <f>Fak_3*288.765332062717</f>
        <v>2.88765332062717</v>
      </c>
      <c r="N51" s="267">
        <f>Fak_3*715.162011978568</f>
        <v>7.1516201197856804</v>
      </c>
      <c r="O51" s="267">
        <f>Fak_3*277.910433257622</f>
        <v>2.7791043325762201</v>
      </c>
      <c r="P51" s="267">
        <f>Fak_3*206.741578449792</f>
        <v>2.06741578449792</v>
      </c>
      <c r="Q51" s="267">
        <f>Fak_3*770.084591150774</f>
        <v>7.7008459115077406</v>
      </c>
      <c r="R51" s="267">
        <f>Fak_3*260.938358234044</f>
        <v>2.6093835823404401</v>
      </c>
      <c r="S51" s="267">
        <f>Fak_3*228.98462795751</f>
        <v>2.2898462795751002</v>
      </c>
      <c r="T51" s="267">
        <f>Fak_3*156.671993767242</f>
        <v>1.5667199376724199</v>
      </c>
      <c r="U51" s="267">
        <f>Fak_3*584.133714193022</f>
        <v>5.8413371419302198</v>
      </c>
      <c r="V51" s="267">
        <f>Fak_3*509.991002600275</f>
        <v>5.0999100260027506</v>
      </c>
      <c r="W51" s="267">
        <f>Fak_3*847.009007156145</f>
        <v>8.4700900715614509</v>
      </c>
      <c r="X51" s="267">
        <f>Fak_3*498.712776262381</f>
        <v>4.9871277626238104</v>
      </c>
      <c r="Y51" s="267">
        <f>Fak_3*579.607616630293</f>
        <v>5.7960761663029308</v>
      </c>
      <c r="Z51" s="267">
        <f>Fak_3*427.197503701662</f>
        <v>4.2719750370166203</v>
      </c>
      <c r="AA51" s="267">
        <f>Fak_3*277.498742481892</f>
        <v>2.7749874248189204</v>
      </c>
      <c r="AB51" s="267">
        <f>Fak_3*618.866346923171</f>
        <v>6.1886634692317104</v>
      </c>
      <c r="AC51" s="267">
        <f>Fak_3*188.562832843552</f>
        <v>1.88562832843552</v>
      </c>
      <c r="AD51" s="267">
        <f>Fak_3*48.8718433742159</f>
        <v>0.48871843374215901</v>
      </c>
      <c r="AE51" s="267">
        <f>Fak_3*633.330905822097</f>
        <v>6.3333090582209692</v>
      </c>
      <c r="AF51" s="267">
        <f>Fak_3*405.882461448912</f>
        <v>4.0588246144891205</v>
      </c>
      <c r="AG51" s="267">
        <f>Fak_3*330.929947892015</f>
        <v>3.30929947892015</v>
      </c>
      <c r="AH51" s="267">
        <f>Fak_3*12000.0885293722</f>
        <v>120.00088529372201</v>
      </c>
      <c r="AI51" s="213"/>
      <c r="AJ51" s="220">
        <f t="shared" si="17"/>
        <v>0.67934740484148592</v>
      </c>
      <c r="AK51" s="367"/>
      <c r="AM51" s="210"/>
      <c r="BR51" s="144">
        <v>435.91739350075102</v>
      </c>
      <c r="BS51" s="144">
        <v>296.13935000000004</v>
      </c>
      <c r="BT51" s="144">
        <f t="shared" si="18"/>
        <v>139.77804350075098</v>
      </c>
      <c r="CE51" s="214"/>
      <c r="CF51" s="214"/>
    </row>
    <row r="52" spans="2:128" s="144" customFormat="1" ht="24" customHeight="1" x14ac:dyDescent="0.25">
      <c r="B52" s="227"/>
      <c r="C52" s="228"/>
      <c r="D52" s="229"/>
      <c r="E52" s="131"/>
      <c r="F52" s="198"/>
      <c r="G52" s="197">
        <v>214</v>
      </c>
      <c r="H52" s="148" t="str">
        <f>+VLOOKUP($G52,Konstanten!$A$2:$B$15,2,FALSE)</f>
        <v>sonstige bauliche Nutzung</v>
      </c>
      <c r="I52" s="148"/>
      <c r="J52" s="267">
        <f>Fak_3*266.239430836794</f>
        <v>2.66239430836794</v>
      </c>
      <c r="K52" s="267">
        <f>Fak_3*411.058462890259</f>
        <v>4.1105846289025907</v>
      </c>
      <c r="L52" s="267">
        <f>Fak_3*370.166743394658</f>
        <v>3.70166743394658</v>
      </c>
      <c r="M52" s="267">
        <f>Fak_3*134.856759765797</f>
        <v>1.3485675976579701</v>
      </c>
      <c r="N52" s="267">
        <f>Fak_3*277.113300717383</f>
        <v>2.7711330071738303</v>
      </c>
      <c r="O52" s="267">
        <f>Fak_3*221.201226854432</f>
        <v>2.2120122685443202</v>
      </c>
      <c r="P52" s="267">
        <f>Fak_3*107.634987043282</f>
        <v>1.07634987043282</v>
      </c>
      <c r="Q52" s="267">
        <f>Fak_3*190.38483414306</f>
        <v>1.9038483414306</v>
      </c>
      <c r="R52" s="267">
        <f>Fak_3*48.5205719969456</f>
        <v>0.485205719969456</v>
      </c>
      <c r="S52" s="267">
        <f>Fak_3*242.545520067172</f>
        <v>2.42545520067172</v>
      </c>
      <c r="T52" s="267">
        <f>Fak_3*43.3748802483783</f>
        <v>0.433748802483783</v>
      </c>
      <c r="U52" s="267">
        <f>Fak_3*129.802541404774</f>
        <v>1.2980254140477399</v>
      </c>
      <c r="V52" s="267">
        <f>Fak_3*216.090776110191</f>
        <v>2.1609077611019099</v>
      </c>
      <c r="W52" s="267">
        <f>Fak_3*231.807186680104</f>
        <v>2.31807186680104</v>
      </c>
      <c r="X52" s="267">
        <f>Fak_3*176.839272469017</f>
        <v>1.7683927246901701</v>
      </c>
      <c r="Y52" s="267">
        <f>Fak_3*201.929074436704</f>
        <v>2.0192907443670403</v>
      </c>
      <c r="Z52" s="267">
        <f>Fak_3*99.7157044552241</f>
        <v>0.99715704455224097</v>
      </c>
      <c r="AA52" s="267">
        <f>Fak_3*102.689427098481</f>
        <v>1.0268942709848101</v>
      </c>
      <c r="AB52" s="267">
        <f>Fak_3*350.040819196088</f>
        <v>3.5004081919608803</v>
      </c>
      <c r="AC52" s="267">
        <f>Fak_3*49.4032059596021</f>
        <v>0.49403205959602098</v>
      </c>
      <c r="AD52" s="267">
        <f>Fak_3*14.0506888709905</f>
        <v>0.14050688870990499</v>
      </c>
      <c r="AE52" s="267">
        <f>Fak_3*320.448688418622</f>
        <v>3.20448688418622</v>
      </c>
      <c r="AF52" s="267">
        <f>Fak_3*124.612179461461</f>
        <v>1.2461217946146099</v>
      </c>
      <c r="AG52" s="267">
        <f>Fak_3*250.245401188284</f>
        <v>2.5024540118828402</v>
      </c>
      <c r="AH52" s="267">
        <f>Fak_3*4580.77168370771</f>
        <v>45.807716837077095</v>
      </c>
      <c r="AI52" s="213"/>
      <c r="AJ52" s="220">
        <f t="shared" si="17"/>
        <v>0.49709310254569294</v>
      </c>
      <c r="AK52" s="367"/>
      <c r="AM52" s="210"/>
      <c r="BR52" s="144">
        <v>153.25834860683301</v>
      </c>
      <c r="BS52" s="144">
        <v>76.183667999999997</v>
      </c>
      <c r="BT52" s="144">
        <f t="shared" si="18"/>
        <v>77.074680606833013</v>
      </c>
      <c r="CE52" s="214"/>
      <c r="CF52" s="214"/>
    </row>
    <row r="53" spans="2:128" s="144" customFormat="1" ht="24" customHeight="1" x14ac:dyDescent="0.25">
      <c r="B53" s="227"/>
      <c r="C53" s="228"/>
      <c r="D53" s="229"/>
      <c r="E53" s="131"/>
      <c r="F53" s="200"/>
      <c r="G53" s="215"/>
      <c r="H53" s="216"/>
      <c r="I53" s="217" t="s">
        <v>7536</v>
      </c>
      <c r="J53" s="268">
        <f>Fak_3*4341.72670616587</f>
        <v>43.417267061658706</v>
      </c>
      <c r="K53" s="268">
        <f>Fak_3*5287.30404193239</f>
        <v>52.8730404193239</v>
      </c>
      <c r="L53" s="268">
        <f>Fak_3*4517.62765963243</f>
        <v>45.1762765963243</v>
      </c>
      <c r="M53" s="268">
        <f>Fak_3*2291.44751158445</f>
        <v>22.9144751158445</v>
      </c>
      <c r="N53" s="268">
        <f>Fak_3*5483.40606280527</f>
        <v>54.834060628052704</v>
      </c>
      <c r="O53" s="268">
        <f>Fak_3*3378.14086191596</f>
        <v>33.781408619159599</v>
      </c>
      <c r="P53" s="268">
        <f>Fak_3*2167.56553919534</f>
        <v>21.675655391953402</v>
      </c>
      <c r="Q53" s="268">
        <f>Fak_3*4132.4219203068</f>
        <v>41.324219203067997</v>
      </c>
      <c r="R53" s="268">
        <f>Fak_3*741.956978520206</f>
        <v>7.4195697852020599</v>
      </c>
      <c r="S53" s="268">
        <f>Fak_3*2848.99854924091</f>
        <v>28.489985492409101</v>
      </c>
      <c r="T53" s="268">
        <f>Fak_3*1019.85728285499</f>
        <v>10.198572828549899</v>
      </c>
      <c r="U53" s="268">
        <f>Fak_3*3442.0994660503</f>
        <v>34.420994660503005</v>
      </c>
      <c r="V53" s="268">
        <f>Fak_3*4642.20039132756</f>
        <v>46.422003913275603</v>
      </c>
      <c r="W53" s="268">
        <f>Fak_3*3851.00804779694</f>
        <v>38.510080477969403</v>
      </c>
      <c r="X53" s="268">
        <f>Fak_3*3926.66057926346</f>
        <v>39.2666057926346</v>
      </c>
      <c r="Y53" s="268">
        <f>Fak_3*6036.29212515887</f>
        <v>60.362921251588695</v>
      </c>
      <c r="Z53" s="268">
        <f>Fak_3*1839.72164251648</f>
        <v>18.3972164251648</v>
      </c>
      <c r="AA53" s="268">
        <f>Fak_3*1509.1886451462</f>
        <v>15.091886451462001</v>
      </c>
      <c r="AB53" s="268">
        <f>Fak_3*5057.49220415808</f>
        <v>50.574922041580805</v>
      </c>
      <c r="AC53" s="268">
        <f>Fak_3*1781.77553932983</f>
        <v>17.817755393298302</v>
      </c>
      <c r="AD53" s="268">
        <f>Fak_3*292.628128855481</f>
        <v>2.9262812885548102</v>
      </c>
      <c r="AE53" s="268">
        <f>Fak_3*4000.47221301673</f>
        <v>40.004722130167302</v>
      </c>
      <c r="AF53" s="268">
        <f>Fak_3*1235.81171011448</f>
        <v>12.358117101144801</v>
      </c>
      <c r="AG53" s="268">
        <f>Fak_3*2729.09140660889</f>
        <v>27.290914066088899</v>
      </c>
      <c r="AH53" s="268">
        <f>Fak_3*76554.8952134979</f>
        <v>765.54895213497912</v>
      </c>
      <c r="AI53" s="213"/>
      <c r="AJ53" s="220">
        <f t="shared" si="17"/>
        <v>0.47352572969419021</v>
      </c>
      <c r="AK53" s="367"/>
      <c r="AM53" s="210"/>
      <c r="BR53" s="144">
        <v>2793.75774544365</v>
      </c>
      <c r="BS53" s="144">
        <v>1322.9161750000001</v>
      </c>
      <c r="BT53" s="144">
        <f t="shared" si="18"/>
        <v>1470.84157044365</v>
      </c>
      <c r="CE53" s="214"/>
      <c r="CF53" s="214"/>
    </row>
    <row r="54" spans="2:128" s="144" customFormat="1" ht="24" customHeight="1" x14ac:dyDescent="0.25">
      <c r="B54" s="227"/>
      <c r="C54" s="228"/>
      <c r="D54" s="229"/>
      <c r="E54" s="131"/>
      <c r="F54" s="200" t="s">
        <v>7409</v>
      </c>
      <c r="G54" s="215"/>
      <c r="H54" s="216"/>
      <c r="I54" s="217" t="s">
        <v>7537</v>
      </c>
      <c r="J54" s="268">
        <f>Fak_3*2044.27997853524</f>
        <v>20.442799785352399</v>
      </c>
      <c r="K54" s="268">
        <f>Fak_3*637.564143439333</f>
        <v>6.3756414343933301</v>
      </c>
      <c r="L54" s="268">
        <f>Fak_3*525.680783421694</f>
        <v>5.2568078342169393</v>
      </c>
      <c r="M54" s="268">
        <f>Fak_3*672.501427220322</f>
        <v>6.7250142722032198</v>
      </c>
      <c r="N54" s="268">
        <f>Fak_3*694.579836979503</f>
        <v>6.945798369795031</v>
      </c>
      <c r="O54" s="268">
        <f>Fak_3*451.075321085723</f>
        <v>4.5107532108572297</v>
      </c>
      <c r="P54" s="268">
        <f>Fak_3*413.585867303737</f>
        <v>4.1358586730373705</v>
      </c>
      <c r="Q54" s="268">
        <f>Fak_3*423.073643079982</f>
        <v>4.2307364307998201</v>
      </c>
      <c r="R54" s="268">
        <f>Fak_3*57.5604089860688</f>
        <v>0.57560408986068801</v>
      </c>
      <c r="S54" s="268">
        <f>Fak_3*706.924289326635</f>
        <v>7.0692428932663498</v>
      </c>
      <c r="T54" s="268">
        <f>Fak_3*545.209056888347</f>
        <v>5.4520905688834702</v>
      </c>
      <c r="U54" s="268">
        <f>Fak_3*1321.66937380894</f>
        <v>13.216693738089401</v>
      </c>
      <c r="V54" s="268">
        <f>Fak_3*657.72159126946</f>
        <v>6.5772159126945997</v>
      </c>
      <c r="W54" s="268">
        <f>Fak_3*284.777350770886</f>
        <v>2.8477735077088604</v>
      </c>
      <c r="X54" s="268">
        <f>Fak_3*1136.3252765806</f>
        <v>11.363252765806001</v>
      </c>
      <c r="Y54" s="268">
        <f>Fak_3*1457.88757291899</f>
        <v>14.5788757291899</v>
      </c>
      <c r="Z54" s="268">
        <f>Fak_3*114.961589879557</f>
        <v>1.14961589879557</v>
      </c>
      <c r="AA54" s="268">
        <f>Fak_3*958.731948929708</f>
        <v>9.5873194892970801</v>
      </c>
      <c r="AB54" s="268">
        <f>Fak_3*838.921444069893</f>
        <v>8.3892144406989306</v>
      </c>
      <c r="AC54" s="268">
        <f>Fak_3*414.905938855166</f>
        <v>4.1490593885516605</v>
      </c>
      <c r="AD54" s="268">
        <f>Fak_3*181.578510230259</f>
        <v>1.8157851023025902</v>
      </c>
      <c r="AE54" s="268">
        <f>Fak_3*921.630085689286</f>
        <v>9.216300856892861</v>
      </c>
      <c r="AF54" s="268">
        <f>Fak_3*85.6492305227707</f>
        <v>0.85649230522770692</v>
      </c>
      <c r="AG54" s="268">
        <f>Fak_3*943.199816867482</f>
        <v>9.43199816867482</v>
      </c>
      <c r="AH54" s="268">
        <f>Fak_3*16489.9944866596</f>
        <v>164.89994486659603</v>
      </c>
      <c r="AI54" s="213"/>
      <c r="AJ54" s="220">
        <f t="shared" si="17"/>
        <v>0.44779624681110691</v>
      </c>
      <c r="AK54" s="367"/>
      <c r="AM54" s="210"/>
      <c r="BR54" s="144">
        <v>659.18180668565299</v>
      </c>
      <c r="BS54" s="144">
        <v>295.17913900000002</v>
      </c>
      <c r="BT54" s="144">
        <f t="shared" si="18"/>
        <v>364.00266768565297</v>
      </c>
      <c r="CE54" s="214"/>
      <c r="CF54" s="214"/>
      <c r="DV54" s="330"/>
      <c r="DW54" s="330"/>
      <c r="DX54" s="330"/>
    </row>
    <row r="55" spans="2:128" s="144" customFormat="1" ht="24" customHeight="1" x14ac:dyDescent="0.25">
      <c r="B55" s="227"/>
      <c r="C55" s="228"/>
      <c r="D55" s="229"/>
      <c r="E55" s="131"/>
      <c r="F55" s="321" t="s">
        <v>7529</v>
      </c>
      <c r="G55" s="199"/>
      <c r="H55" s="200"/>
      <c r="I55" s="217" t="s">
        <v>7538</v>
      </c>
      <c r="J55" s="268">
        <f>Fak_3*384.597679036741</f>
        <v>3.84597679036741</v>
      </c>
      <c r="K55" s="268">
        <f>Fak_3*806.806453514652</f>
        <v>8.0680645351465206</v>
      </c>
      <c r="L55" s="268">
        <f>Fak_3*773.388800806881</f>
        <v>7.7338880080688108</v>
      </c>
      <c r="M55" s="268">
        <f>Fak_3*388.680068766482</f>
        <v>3.8868006876648202</v>
      </c>
      <c r="N55" s="268">
        <f>Fak_3*637.133224748539</f>
        <v>6.3713322474853902</v>
      </c>
      <c r="O55" s="268">
        <f>Fak_3*351.171580280205</f>
        <v>3.5117158028020499</v>
      </c>
      <c r="P55" s="268">
        <f>Fak_3*213.570290194609</f>
        <v>2.13570290194609</v>
      </c>
      <c r="Q55" s="268">
        <f>Fak_3*524.617969221208</f>
        <v>5.2461796922120802</v>
      </c>
      <c r="R55" s="268">
        <f>Fak_3*110.606637868692</f>
        <v>1.10606637868692</v>
      </c>
      <c r="S55" s="268">
        <f>Fak_3*415.64973930268</f>
        <v>4.1564973930268003</v>
      </c>
      <c r="T55" s="268">
        <f>Fak_3*201.728169500297</f>
        <v>2.0172816950029704</v>
      </c>
      <c r="U55" s="268">
        <f>Fak_3*336.540717761263</f>
        <v>3.3654071776126302</v>
      </c>
      <c r="V55" s="268">
        <f>Fak_3*489.136878937829</f>
        <v>4.8913687893782898</v>
      </c>
      <c r="W55" s="268">
        <f>Fak_3*546.132726669184</f>
        <v>5.46132726669184</v>
      </c>
      <c r="X55" s="268">
        <f>Fak_3*393.574699331394</f>
        <v>3.9357469933139404</v>
      </c>
      <c r="Y55" s="268">
        <f>Fak_3*447.607101425154</f>
        <v>4.4760710142515396</v>
      </c>
      <c r="Z55" s="268">
        <f>Fak_3*193.551800831829</f>
        <v>1.9355180083182901</v>
      </c>
      <c r="AA55" s="268">
        <f>Fak_3*189.310271987458</f>
        <v>1.8931027198745802</v>
      </c>
      <c r="AB55" s="268">
        <f>Fak_3*599.146341172669</f>
        <v>5.9914634117266905</v>
      </c>
      <c r="AC55" s="268">
        <f>Fak_3*143.223202363915</f>
        <v>1.4322320236391499</v>
      </c>
      <c r="AD55" s="268">
        <f>Fak_3*25.9880564607311</f>
        <v>0.25988056460731102</v>
      </c>
      <c r="AE55" s="268">
        <f>Fak_3*433.641079422638</f>
        <v>4.3364107942263797</v>
      </c>
      <c r="AF55" s="268">
        <f>Fak_3*150.95049815946</f>
        <v>1.5095049815946002</v>
      </c>
      <c r="AG55" s="268">
        <f>Fak_3*191.041199772486</f>
        <v>1.9104119977248601</v>
      </c>
      <c r="AH55" s="268">
        <f>Fak_3*8947.795187537</f>
        <v>89.477951875369996</v>
      </c>
      <c r="AI55" s="213"/>
      <c r="AJ55" s="220">
        <f t="shared" si="17"/>
        <v>0.16709269428718873</v>
      </c>
      <c r="AK55" s="367"/>
      <c r="AM55" s="210"/>
      <c r="BR55" s="144">
        <v>330.24510877272303</v>
      </c>
      <c r="BS55" s="144">
        <v>55.181545</v>
      </c>
      <c r="BT55" s="144">
        <f t="shared" si="18"/>
        <v>275.063563772723</v>
      </c>
      <c r="CE55" s="214"/>
      <c r="CF55" s="214"/>
      <c r="DV55" s="330"/>
      <c r="DW55" s="330"/>
      <c r="DX55" s="330"/>
    </row>
    <row r="56" spans="2:128" s="144" customFormat="1" ht="24" customHeight="1" x14ac:dyDescent="0.25">
      <c r="B56" s="227"/>
      <c r="C56" s="228"/>
      <c r="D56" s="229"/>
      <c r="E56" s="131"/>
      <c r="F56" s="322" t="s">
        <v>7519</v>
      </c>
      <c r="G56" s="199"/>
      <c r="H56" s="200"/>
      <c r="I56" s="217" t="s">
        <v>7539</v>
      </c>
      <c r="J56" s="268">
        <f>Fak_3*274.953322526928</f>
        <v>2.7495332252692801</v>
      </c>
      <c r="K56" s="268">
        <f>Fak_3*251.120348314466</f>
        <v>2.5112034831446604</v>
      </c>
      <c r="L56" s="268">
        <f>Fak_3*432.076276704457</f>
        <v>4.3207627670445694</v>
      </c>
      <c r="M56" s="268">
        <f>Fak_3*167.868129256426</f>
        <v>1.67868129256426</v>
      </c>
      <c r="N56" s="268">
        <f>Fak_3*1101.08075056327</f>
        <v>11.0108075056327</v>
      </c>
      <c r="O56" s="268">
        <f>Fak_3*192.722423471371</f>
        <v>1.9272242347137101</v>
      </c>
      <c r="P56" s="268">
        <f>Fak_3*100.283199822241</f>
        <v>1.0028319982224101</v>
      </c>
      <c r="Q56" s="268">
        <f>Fak_3*307.823416366042</f>
        <v>3.07823416366042</v>
      </c>
      <c r="R56" s="268">
        <f>Fak_3*28.1719016509207</f>
        <v>0.281719016509207</v>
      </c>
      <c r="S56" s="268">
        <f>Fak_3*135.042373383553</f>
        <v>1.35042373383553</v>
      </c>
      <c r="T56" s="268">
        <f>Fak_3*76.5273732051582</f>
        <v>0.765273732051582</v>
      </c>
      <c r="U56" s="268">
        <f>Fak_3*191.1427479217</f>
        <v>1.9114274792170001</v>
      </c>
      <c r="V56" s="268">
        <f>Fak_3*277.478601327297</f>
        <v>2.77478601327297</v>
      </c>
      <c r="W56" s="268">
        <f>Fak_3*153.677444483325</f>
        <v>1.5367744448332499</v>
      </c>
      <c r="X56" s="268">
        <f>Fak_3*200.449165851059</f>
        <v>2.0044916585105903</v>
      </c>
      <c r="Y56" s="268">
        <f>Fak_3*218.268577277959</f>
        <v>2.1826857727795899</v>
      </c>
      <c r="Z56" s="268">
        <f>Fak_3*79.2851133824237</f>
        <v>0.792851133824237</v>
      </c>
      <c r="AA56" s="268">
        <f>Fak_3*83.6494901596868</f>
        <v>0.83649490159686812</v>
      </c>
      <c r="AB56" s="268">
        <f>Fak_3*248.874798909884</f>
        <v>2.4887479890988398</v>
      </c>
      <c r="AC56" s="268">
        <f>Fak_3*54.3956723671817</f>
        <v>0.54395672367181702</v>
      </c>
      <c r="AD56" s="268">
        <f>Fak_3*27.8690329866135</f>
        <v>0.27869032986613501</v>
      </c>
      <c r="AE56" s="268">
        <f>Fak_3*522.503367917866</f>
        <v>5.2250336791786598</v>
      </c>
      <c r="AF56" s="268">
        <f>Fak_3*181.157710830775</f>
        <v>1.8115771083077499</v>
      </c>
      <c r="AG56" s="268">
        <f>Fak_3*96.4770180941533</f>
        <v>0.964770180941533</v>
      </c>
      <c r="AH56" s="268">
        <f>Fak_3*5402.89825677476</f>
        <v>54.028982567747597</v>
      </c>
      <c r="AI56" s="213"/>
      <c r="AJ56" s="220">
        <f t="shared" si="17"/>
        <v>0.11640789345535361</v>
      </c>
      <c r="AK56" s="367"/>
      <c r="AM56" s="210"/>
      <c r="BR56" s="144">
        <v>145.07992111786899</v>
      </c>
      <c r="BS56" s="144">
        <v>16.888448</v>
      </c>
      <c r="BT56" s="144">
        <f t="shared" si="18"/>
        <v>128.19147311786898</v>
      </c>
      <c r="CE56" s="214"/>
      <c r="CF56" s="214"/>
      <c r="DV56" s="330"/>
      <c r="DW56" s="330"/>
      <c r="DX56" s="330"/>
    </row>
    <row r="57" spans="2:128" s="208" customFormat="1" ht="24" customHeight="1" x14ac:dyDescent="0.25">
      <c r="B57" s="240"/>
      <c r="C57" s="230"/>
      <c r="D57" s="241"/>
      <c r="E57" s="183"/>
      <c r="F57" s="202" t="s">
        <v>7416</v>
      </c>
      <c r="G57" s="203"/>
      <c r="H57" s="201"/>
      <c r="I57" s="204" t="s">
        <v>7533</v>
      </c>
      <c r="J57" s="269">
        <f t="shared" ref="J57:AH57" si="19">+SUM(J56,J55,J54,J53,J48)</f>
        <v>103.5932854460728</v>
      </c>
      <c r="K57" s="269">
        <f t="shared" si="19"/>
        <v>93.923813578847515</v>
      </c>
      <c r="L57" s="269">
        <f t="shared" si="19"/>
        <v>99.954212277629125</v>
      </c>
      <c r="M57" s="269">
        <f t="shared" si="19"/>
        <v>51.329226464894901</v>
      </c>
      <c r="N57" s="269">
        <f t="shared" si="19"/>
        <v>121.89354856595722</v>
      </c>
      <c r="O57" s="269">
        <f t="shared" si="19"/>
        <v>76.01077133052388</v>
      </c>
      <c r="P57" s="269">
        <f t="shared" si="19"/>
        <v>52.231043937015372</v>
      </c>
      <c r="Q57" s="269">
        <f t="shared" si="19"/>
        <v>82.082481452239918</v>
      </c>
      <c r="R57" s="269">
        <f t="shared" si="19"/>
        <v>12.783703395748814</v>
      </c>
      <c r="S57" s="269">
        <f t="shared" si="19"/>
        <v>63.610035131604178</v>
      </c>
      <c r="T57" s="269">
        <f t="shared" si="19"/>
        <v>27.354791316452292</v>
      </c>
      <c r="U57" s="269">
        <f t="shared" si="19"/>
        <v>82.997270239876741</v>
      </c>
      <c r="V57" s="269">
        <f t="shared" si="19"/>
        <v>107.19178923443945</v>
      </c>
      <c r="W57" s="269">
        <f t="shared" si="19"/>
        <v>63.001822114288359</v>
      </c>
      <c r="X57" s="269">
        <f t="shared" si="19"/>
        <v>80.633244776267432</v>
      </c>
      <c r="Y57" s="269">
        <f t="shared" si="19"/>
        <v>119.85968957927813</v>
      </c>
      <c r="Z57" s="269">
        <f t="shared" si="19"/>
        <v>31.917849756250028</v>
      </c>
      <c r="AA57" s="269">
        <f t="shared" si="19"/>
        <v>41.421941131735629</v>
      </c>
      <c r="AB57" s="269">
        <f t="shared" si="19"/>
        <v>97.710946360265766</v>
      </c>
      <c r="AC57" s="269">
        <f t="shared" si="19"/>
        <v>41.829469677204429</v>
      </c>
      <c r="AD57" s="269">
        <f t="shared" si="19"/>
        <v>7.9470586667762664</v>
      </c>
      <c r="AE57" s="269">
        <f t="shared" si="19"/>
        <v>78.589956794801196</v>
      </c>
      <c r="AF57" s="269">
        <f t="shared" si="19"/>
        <v>25.283375586939488</v>
      </c>
      <c r="AG57" s="269">
        <f t="shared" si="19"/>
        <v>66.972507513999204</v>
      </c>
      <c r="AH57" s="269">
        <f t="shared" si="19"/>
        <v>1630.1238343291086</v>
      </c>
      <c r="AI57" s="206"/>
      <c r="AJ57" s="220">
        <f t="shared" si="17"/>
        <v>0.52475772773011986</v>
      </c>
      <c r="AK57" s="367"/>
      <c r="AM57" s="202"/>
      <c r="BR57" s="208">
        <v>5647.9554304425055</v>
      </c>
      <c r="BS57" s="208">
        <v>2963.808258</v>
      </c>
      <c r="BT57" s="144">
        <f t="shared" si="18"/>
        <v>2684.1471724425055</v>
      </c>
      <c r="CE57" s="209"/>
      <c r="CF57" s="209"/>
    </row>
    <row r="58" spans="2:128" ht="66" customHeight="1" x14ac:dyDescent="0.4">
      <c r="F58" s="365"/>
      <c r="G58" s="365"/>
      <c r="H58" s="365"/>
      <c r="AJ58" s="138"/>
    </row>
    <row r="59" spans="2:128" ht="22.5" x14ac:dyDescent="0.3">
      <c r="I59" s="369" t="str">
        <f xml:space="preserve"> "Versiegelung " &amp; IF(Versatz = 1, "in "&amp;'BL-Template'!Einheit, IF(Versatz = 2, "in m² pro Einwohner:in", "in Prozent des Dauersiedlungsraums"))</f>
        <v>Versiegelung in km²</v>
      </c>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row>
    <row r="60" spans="2:128" ht="114" customHeight="1" x14ac:dyDescent="0.4">
      <c r="B60" s="247"/>
      <c r="C60" s="233"/>
      <c r="D60" s="248"/>
      <c r="E60" s="249"/>
      <c r="F60" s="147"/>
      <c r="G60" s="250"/>
      <c r="H60" s="147"/>
      <c r="I60" s="152"/>
      <c r="J60" s="278" t="str">
        <f t="shared" ref="J60:AH60" si="20">+J24</f>
        <v>Amstetten</v>
      </c>
      <c r="K60" s="278" t="str">
        <f t="shared" si="20"/>
        <v>Baden</v>
      </c>
      <c r="L60" s="278" t="str">
        <f t="shared" si="20"/>
        <v>Bruck an der Leitha</v>
      </c>
      <c r="M60" s="278" t="str">
        <f t="shared" si="20"/>
        <v>Gmünd</v>
      </c>
      <c r="N60" s="278" t="str">
        <f t="shared" si="20"/>
        <v>Gänserndorf</v>
      </c>
      <c r="O60" s="278" t="str">
        <f t="shared" si="20"/>
        <v>Hollabrunn</v>
      </c>
      <c r="P60" s="278" t="str">
        <f t="shared" si="20"/>
        <v>Horn</v>
      </c>
      <c r="Q60" s="278" t="str">
        <f t="shared" si="20"/>
        <v>Korneuburg</v>
      </c>
      <c r="R60" s="278" t="str">
        <f t="shared" si="20"/>
        <v>Krems an der Donau(Stadt)</v>
      </c>
      <c r="S60" s="278" t="str">
        <f t="shared" si="20"/>
        <v>Krems(Land)</v>
      </c>
      <c r="T60" s="278" t="str">
        <f t="shared" si="20"/>
        <v>Lilienfeld</v>
      </c>
      <c r="U60" s="278" t="str">
        <f t="shared" si="20"/>
        <v>Melk</v>
      </c>
      <c r="V60" s="278" t="str">
        <f t="shared" si="20"/>
        <v>Mistelbach</v>
      </c>
      <c r="W60" s="278" t="str">
        <f t="shared" si="20"/>
        <v>Mödling</v>
      </c>
      <c r="X60" s="278" t="str">
        <f t="shared" si="20"/>
        <v>Neunkirchen</v>
      </c>
      <c r="Y60" s="278" t="str">
        <f t="shared" si="20"/>
        <v>Sankt Pölten(Land)</v>
      </c>
      <c r="Z60" s="278" t="str">
        <f t="shared" si="20"/>
        <v>Sankt Pölten(Stadt)</v>
      </c>
      <c r="AA60" s="278" t="str">
        <f t="shared" si="20"/>
        <v>Scheibbs</v>
      </c>
      <c r="AB60" s="278" t="str">
        <f t="shared" si="20"/>
        <v>Tulln</v>
      </c>
      <c r="AC60" s="278" t="str">
        <f t="shared" si="20"/>
        <v>Waidhofen an der Thaya</v>
      </c>
      <c r="AD60" s="278" t="str">
        <f t="shared" si="20"/>
        <v>Waidhofen an der Ybbs(Stadt)</v>
      </c>
      <c r="AE60" s="278" t="str">
        <f t="shared" si="20"/>
        <v>Wiener Neustadt(Land)</v>
      </c>
      <c r="AF60" s="278" t="str">
        <f t="shared" si="20"/>
        <v>Wiener Neustadt(Stadt)</v>
      </c>
      <c r="AG60" s="278" t="str">
        <f t="shared" si="20"/>
        <v>Zwettl</v>
      </c>
      <c r="AH60" s="277" t="str">
        <f t="shared" si="20"/>
        <v>Total</v>
      </c>
      <c r="AI60" s="252"/>
      <c r="AJ60" s="151"/>
      <c r="AK60" s="147"/>
    </row>
    <row r="61" spans="2:128" s="144" customFormat="1" ht="24" customHeight="1" x14ac:dyDescent="0.25">
      <c r="B61" s="227"/>
      <c r="C61" s="228"/>
      <c r="D61" s="229"/>
      <c r="E61" s="131"/>
      <c r="F61" s="198" t="s">
        <v>25</v>
      </c>
      <c r="G61" s="196">
        <v>101</v>
      </c>
      <c r="H61" s="148" t="str">
        <f>+VLOOKUP($G61,Konstanten!$A$2:$B$15,2,FALSE)</f>
        <v>Autobahn u. Schnellstraße</v>
      </c>
      <c r="I61" s="148"/>
      <c r="J61" s="267">
        <f>Fak_3*163.3737</f>
        <v>1.6337370000000002</v>
      </c>
      <c r="K61" s="267">
        <f>Fak_3*193.6734</f>
        <v>1.936734</v>
      </c>
      <c r="L61" s="267">
        <f>Fak_3*184.6941</f>
        <v>1.8469409999999999</v>
      </c>
      <c r="M61" s="267">
        <f>Fak_3*0</f>
        <v>0</v>
      </c>
      <c r="N61" s="267">
        <f>Fak_3*23.8133</f>
        <v>0.23813300000000001</v>
      </c>
      <c r="O61" s="267">
        <f>Fak_3*43.375</f>
        <v>0.43375000000000002</v>
      </c>
      <c r="P61" s="267">
        <f>Fak_3*0</f>
        <v>0</v>
      </c>
      <c r="Q61" s="267">
        <f>Fak_3*179.7042</f>
        <v>1.7970419999999998</v>
      </c>
      <c r="R61" s="267">
        <f>Fak_3*15.6615</f>
        <v>0.156615</v>
      </c>
      <c r="S61" s="267">
        <f>Fak_3*19.7485</f>
        <v>0.19748499999999999</v>
      </c>
      <c r="T61" s="267">
        <f>Fak_3*0</f>
        <v>0</v>
      </c>
      <c r="U61" s="267">
        <f>Fak_3*152.9845</f>
        <v>1.5298449999999999</v>
      </c>
      <c r="V61" s="267">
        <f>Fak_3*177.2431</f>
        <v>1.7724310000000001</v>
      </c>
      <c r="W61" s="267">
        <f>Fak_3*182.438</f>
        <v>1.8243799999999999</v>
      </c>
      <c r="X61" s="267">
        <f>Fak_3*165.7656</f>
        <v>1.657656</v>
      </c>
      <c r="Y61" s="267">
        <f>Fak_3*256.4181</f>
        <v>2.564181</v>
      </c>
      <c r="Z61" s="267">
        <f>Fak_3*75.186</f>
        <v>0.75186000000000008</v>
      </c>
      <c r="AA61" s="267">
        <f>Fak_3*0</f>
        <v>0</v>
      </c>
      <c r="AB61" s="267">
        <f>Fak_3*103.4227</f>
        <v>1.034227</v>
      </c>
      <c r="AC61" s="267">
        <f>Fak_3*0</f>
        <v>0</v>
      </c>
      <c r="AD61" s="267">
        <f>Fak_3*0</f>
        <v>0</v>
      </c>
      <c r="AE61" s="267">
        <f>Fak_3*50.2652</f>
        <v>0.50265199999999999</v>
      </c>
      <c r="AF61" s="267">
        <f>Fak_3*47.5941</f>
        <v>0.475941</v>
      </c>
      <c r="AG61" s="267">
        <f>Fak_3*0</f>
        <v>0</v>
      </c>
      <c r="AH61" s="267">
        <f>Fak_3*2035.361</f>
        <v>20.35361</v>
      </c>
      <c r="AI61" s="213"/>
      <c r="AJ61" s="219"/>
      <c r="AK61" s="210"/>
    </row>
    <row r="62" spans="2:128" s="144" customFormat="1" ht="24" customHeight="1" x14ac:dyDescent="0.25">
      <c r="B62" s="227"/>
      <c r="C62" s="228"/>
      <c r="D62" s="229"/>
      <c r="E62" s="131"/>
      <c r="F62" s="198"/>
      <c r="G62" s="196">
        <v>102</v>
      </c>
      <c r="H62" s="148" t="str">
        <f>+VLOOKUP($G62,Konstanten!$A$2:$B$15,2,FALSE)</f>
        <v>Landesstraße B + L</v>
      </c>
      <c r="I62" s="148"/>
      <c r="J62" s="267">
        <f>Fak_3*1050.8524</f>
        <v>10.508524</v>
      </c>
      <c r="K62" s="267">
        <f>Fak_3*447.4139</f>
        <v>4.4741390000000001</v>
      </c>
      <c r="L62" s="267">
        <f>Fak_3*434.7634</f>
        <v>4.3476340000000002</v>
      </c>
      <c r="M62" s="267">
        <f>Fak_3*572.4845</f>
        <v>5.7248450000000002</v>
      </c>
      <c r="N62" s="267">
        <f>Fak_3*795.8834</f>
        <v>7.9588340000000004</v>
      </c>
      <c r="O62" s="267">
        <f>Fak_3*765.6401</f>
        <v>7.6564009999999998</v>
      </c>
      <c r="P62" s="267">
        <f>Fak_3*728.7657</f>
        <v>7.2876570000000003</v>
      </c>
      <c r="Q62" s="267">
        <f>Fak_3*539.1656</f>
        <v>5.3916560000000002</v>
      </c>
      <c r="R62" s="267">
        <f>Fak_3*82.7151</f>
        <v>0.82715100000000008</v>
      </c>
      <c r="S62" s="267">
        <f>Fak_3*821.1628</f>
        <v>8.2116279999999993</v>
      </c>
      <c r="T62" s="267">
        <f>Fak_3*265.1434</f>
        <v>2.6514340000000001</v>
      </c>
      <c r="U62" s="267">
        <f>Fak_3*996.7061</f>
        <v>9.9670609999999993</v>
      </c>
      <c r="V62" s="267">
        <f>Fak_3*831.2321</f>
        <v>8.312320999999999</v>
      </c>
      <c r="W62" s="267">
        <f>Fak_3*237.4052</f>
        <v>2.3740520000000003</v>
      </c>
      <c r="X62" s="267">
        <f>Fak_3*545.2922</f>
        <v>5.452922</v>
      </c>
      <c r="Y62" s="267">
        <f>Fak_3*936.5465</f>
        <v>9.3654650000000004</v>
      </c>
      <c r="Z62" s="267">
        <f>Fak_3*118.9435</f>
        <v>1.189435</v>
      </c>
      <c r="AA62" s="267">
        <f>Fak_3*390.1997</f>
        <v>3.9019970000000002</v>
      </c>
      <c r="AB62" s="267">
        <f>Fak_3*591.0415</f>
        <v>5.9104150000000004</v>
      </c>
      <c r="AC62" s="267">
        <f>Fak_3*586.3168</f>
        <v>5.8631679999999999</v>
      </c>
      <c r="AD62" s="267">
        <f>Fak_3*63.4787</f>
        <v>0.6347870000000001</v>
      </c>
      <c r="AE62" s="267">
        <f>Fak_3*451.4723</f>
        <v>4.514723</v>
      </c>
      <c r="AF62" s="267">
        <f>Fak_3*73.1773</f>
        <v>0.73177300000000001</v>
      </c>
      <c r="AG62" s="267">
        <f>Fak_3*895.3509</f>
        <v>8.9535090000000004</v>
      </c>
      <c r="AH62" s="267">
        <f>Fak_3*13221.1531</f>
        <v>132.21153100000001</v>
      </c>
      <c r="AI62" s="213"/>
      <c r="AJ62" s="219"/>
      <c r="AK62" s="210"/>
    </row>
    <row r="63" spans="2:128" s="144" customFormat="1" ht="24" customHeight="1" x14ac:dyDescent="0.25">
      <c r="B63" s="227"/>
      <c r="C63" s="228"/>
      <c r="D63" s="229"/>
      <c r="E63" s="131"/>
      <c r="F63" s="198"/>
      <c r="G63" s="196">
        <v>103</v>
      </c>
      <c r="H63" s="148" t="str">
        <f>+VLOOKUP($G63,Konstanten!$A$2:$B$15,2,FALSE)</f>
        <v>Gemeinde- und sonstige Straßen</v>
      </c>
      <c r="I63" s="148"/>
      <c r="J63" s="267">
        <f>Fak_3*1229.5632</f>
        <v>12.295632000000001</v>
      </c>
      <c r="K63" s="267">
        <f>Fak_3*1054.5666</f>
        <v>10.545666000000001</v>
      </c>
      <c r="L63" s="267">
        <f>Fak_3*1599.0141</f>
        <v>15.990141000000001</v>
      </c>
      <c r="M63" s="267">
        <f>Fak_3*636.9431</f>
        <v>6.3694309999999996</v>
      </c>
      <c r="N63" s="267">
        <f>Fak_3*2011.0656</f>
        <v>20.110655999999999</v>
      </c>
      <c r="O63" s="267">
        <f>Fak_3*1407.6367</f>
        <v>14.076367000000001</v>
      </c>
      <c r="P63" s="267">
        <f>Fak_3*816.0999</f>
        <v>8.1609990000000003</v>
      </c>
      <c r="Q63" s="267">
        <f>Fak_3*1257.5971</f>
        <v>12.575970999999999</v>
      </c>
      <c r="R63" s="267">
        <f>Fak_3*137.657</f>
        <v>1.3765700000000001</v>
      </c>
      <c r="S63" s="267">
        <f>Fak_3*886.5183</f>
        <v>8.865183</v>
      </c>
      <c r="T63" s="267">
        <f>Fak_3*387.201</f>
        <v>3.8720100000000004</v>
      </c>
      <c r="U63" s="267">
        <f>Fak_3*1026.433</f>
        <v>10.264329999999999</v>
      </c>
      <c r="V63" s="267">
        <f>Fak_3*2192.0967</f>
        <v>21.920967000000001</v>
      </c>
      <c r="W63" s="267">
        <f>Fak_3*617.713</f>
        <v>6.17713</v>
      </c>
      <c r="X63" s="267">
        <f>Fak_3*954.4794</f>
        <v>9.5447940000000013</v>
      </c>
      <c r="Y63" s="267">
        <f>Fak_3*1494.1294</f>
        <v>14.941294000000001</v>
      </c>
      <c r="Z63" s="267">
        <f>Fak_3*399.754</f>
        <v>3.9975400000000003</v>
      </c>
      <c r="AA63" s="267">
        <f>Fak_3*662.9803</f>
        <v>6.6298030000000008</v>
      </c>
      <c r="AB63" s="267">
        <f>Fak_3*1363.3677</f>
        <v>13.633677</v>
      </c>
      <c r="AC63" s="267">
        <f>Fak_3*707.9395</f>
        <v>7.0793949999999999</v>
      </c>
      <c r="AD63" s="267">
        <f>Fak_3*128.6277</f>
        <v>1.2862770000000001</v>
      </c>
      <c r="AE63" s="267">
        <f>Fak_3*920.8415</f>
        <v>9.2084150000000005</v>
      </c>
      <c r="AF63" s="267">
        <f>Fak_3*309.5054</f>
        <v>3.0950540000000002</v>
      </c>
      <c r="AG63" s="267">
        <f>Fak_3*1156.7759</f>
        <v>11.567759000000001</v>
      </c>
      <c r="AH63" s="267">
        <f>Fak_3*23358.5061</f>
        <v>233.585061</v>
      </c>
      <c r="AI63" s="213"/>
      <c r="AJ63" s="219"/>
      <c r="AK63" s="210"/>
    </row>
    <row r="64" spans="2:128" s="144" customFormat="1" ht="24" customHeight="1" x14ac:dyDescent="0.25">
      <c r="B64" s="227"/>
      <c r="C64" s="228"/>
      <c r="D64" s="229"/>
      <c r="E64" s="131"/>
      <c r="F64" s="198"/>
      <c r="G64" s="196">
        <v>104</v>
      </c>
      <c r="H64" s="148" t="str">
        <f>+VLOOKUP($G64,Konstanten!$A$2:$B$15,2,FALSE)</f>
        <v>Schiene</v>
      </c>
      <c r="I64" s="148"/>
      <c r="J64" s="267">
        <f>Fak_3*206.2928</f>
        <v>2.0629279999999999</v>
      </c>
      <c r="K64" s="267">
        <f>Fak_3*82.9477</f>
        <v>0.82947700000000002</v>
      </c>
      <c r="L64" s="267">
        <f>Fak_3*141.8112</f>
        <v>1.4181120000000003</v>
      </c>
      <c r="M64" s="267">
        <f>Fak_3*40.7504</f>
        <v>0.40750399999999998</v>
      </c>
      <c r="N64" s="267">
        <f>Fak_3*205.1253</f>
        <v>2.051253</v>
      </c>
      <c r="O64" s="267">
        <f>Fak_3*70.8932</f>
        <v>0.7089319999999999</v>
      </c>
      <c r="P64" s="267">
        <f>Fak_3*48.9212</f>
        <v>0.48921199999999998</v>
      </c>
      <c r="Q64" s="267">
        <f>Fak_3*87.3885</f>
        <v>0.87388499999999991</v>
      </c>
      <c r="R64" s="267">
        <f>Fak_3*22.1564</f>
        <v>0.22156400000000001</v>
      </c>
      <c r="S64" s="267">
        <f>Fak_3*41.6381</f>
        <v>0.416381</v>
      </c>
      <c r="T64" s="267">
        <f>Fak_3*35.1308</f>
        <v>0.35130800000000001</v>
      </c>
      <c r="U64" s="267">
        <f>Fak_3*143.735</f>
        <v>1.4373500000000001</v>
      </c>
      <c r="V64" s="267">
        <f>Fak_3*91.7252</f>
        <v>0.91725200000000007</v>
      </c>
      <c r="W64" s="267">
        <f>Fak_3*72.8469</f>
        <v>0.72846900000000003</v>
      </c>
      <c r="X64" s="267">
        <f>Fak_3*93.2749</f>
        <v>0.93274900000000005</v>
      </c>
      <c r="Y64" s="267">
        <f>Fak_3*145.0457</f>
        <v>1.4504570000000001</v>
      </c>
      <c r="Z64" s="267">
        <f>Fak_3*98.4569</f>
        <v>0.98456900000000003</v>
      </c>
      <c r="AA64" s="267">
        <f>Fak_3*40.8911</f>
        <v>0.40891100000000002</v>
      </c>
      <c r="AB64" s="267">
        <f>Fak_3*158.5083</f>
        <v>1.585083</v>
      </c>
      <c r="AC64" s="267">
        <f>Fak_3*10.7705</f>
        <v>0.10770500000000001</v>
      </c>
      <c r="AD64" s="267">
        <f>Fak_3*12.8348</f>
        <v>0.12834799999999999</v>
      </c>
      <c r="AE64" s="267">
        <f>Fak_3*79.0693</f>
        <v>0.79069299999999998</v>
      </c>
      <c r="AF64" s="267">
        <f>Fak_3*52.5898</f>
        <v>0.52589799999999998</v>
      </c>
      <c r="AG64" s="267">
        <f>Fak_3*41.0386</f>
        <v>0.41038600000000003</v>
      </c>
      <c r="AH64" s="267">
        <f>Fak_3*2023.8426</f>
        <v>20.238426</v>
      </c>
      <c r="AI64" s="213"/>
      <c r="AJ64" s="219"/>
      <c r="AK64" s="210"/>
    </row>
    <row r="65" spans="2:37" s="144" customFormat="1" ht="24" customHeight="1" x14ac:dyDescent="0.25">
      <c r="B65" s="227"/>
      <c r="C65" s="228"/>
      <c r="D65" s="229"/>
      <c r="E65" s="131"/>
      <c r="F65" s="200"/>
      <c r="G65" s="215"/>
      <c r="H65" s="216"/>
      <c r="I65" s="217" t="s">
        <v>7535</v>
      </c>
      <c r="J65" s="268">
        <f>Fak_3*2650.0821</f>
        <v>26.500821000000002</v>
      </c>
      <c r="K65" s="268">
        <f>Fak_3*1778.6016</f>
        <v>17.786016</v>
      </c>
      <c r="L65" s="268">
        <f>Fak_3*2360.2828</f>
        <v>23.602827999999999</v>
      </c>
      <c r="M65" s="268">
        <f>Fak_3*1250.178</f>
        <v>12.501780000000002</v>
      </c>
      <c r="N65" s="268">
        <f>Fak_3*3035.8876</f>
        <v>30.358876000000002</v>
      </c>
      <c r="O65" s="268">
        <f>Fak_3*2287.545</f>
        <v>22.875450000000001</v>
      </c>
      <c r="P65" s="268">
        <f>Fak_3*1593.7868</f>
        <v>15.937868000000002</v>
      </c>
      <c r="Q65" s="268">
        <f>Fak_3*2063.8554</f>
        <v>20.638553999999999</v>
      </c>
      <c r="R65" s="268">
        <f>Fak_3*258.19</f>
        <v>2.5819000000000001</v>
      </c>
      <c r="S65" s="268">
        <f>Fak_3*1769.0677</f>
        <v>17.690677000000001</v>
      </c>
      <c r="T65" s="268">
        <f>Fak_3*687.4752</f>
        <v>6.874752</v>
      </c>
      <c r="U65" s="268">
        <f>Fak_3*2319.8586</f>
        <v>23.198586000000002</v>
      </c>
      <c r="V65" s="268">
        <f>Fak_3*3292.2971</f>
        <v>32.922970999999997</v>
      </c>
      <c r="W65" s="268">
        <f>Fak_3*1110.4031</f>
        <v>11.104031000000001</v>
      </c>
      <c r="X65" s="268">
        <f>Fak_3*1758.8121</f>
        <v>17.588121000000001</v>
      </c>
      <c r="Y65" s="268">
        <f>Fak_3*2832.1397</f>
        <v>28.321397000000001</v>
      </c>
      <c r="Z65" s="268">
        <f>Fak_3*692.3404</f>
        <v>6.9234040000000006</v>
      </c>
      <c r="AA65" s="268">
        <f>Fak_3*1094.0711</f>
        <v>10.940710999999999</v>
      </c>
      <c r="AB65" s="268">
        <f>Fak_3*2216.3402</f>
        <v>22.163402000000001</v>
      </c>
      <c r="AC65" s="268">
        <f>Fak_3*1305.0268</f>
        <v>13.050268000000001</v>
      </c>
      <c r="AD65" s="268">
        <f>Fak_3*204.9412</f>
        <v>2.0494120000000002</v>
      </c>
      <c r="AE65" s="268">
        <f>Fak_3*1501.6483</f>
        <v>15.016483000000001</v>
      </c>
      <c r="AF65" s="268">
        <f>Fak_3*482.8666</f>
        <v>4.8286660000000001</v>
      </c>
      <c r="AG65" s="268">
        <f>Fak_3*2093.1654</f>
        <v>20.931653999999998</v>
      </c>
      <c r="AH65" s="268">
        <f>Fak_3*40638.8628</f>
        <v>406.38862800000004</v>
      </c>
      <c r="AI65" s="213"/>
      <c r="AJ65" s="219"/>
      <c r="AK65" s="210"/>
    </row>
    <row r="66" spans="2:37" s="144" customFormat="1" ht="24" customHeight="1" x14ac:dyDescent="0.25">
      <c r="B66" s="227"/>
      <c r="C66" s="228"/>
      <c r="D66" s="229"/>
      <c r="E66" s="131"/>
      <c r="F66" s="198" t="s">
        <v>7410</v>
      </c>
      <c r="G66" s="197">
        <v>211</v>
      </c>
      <c r="H66" s="148" t="str">
        <f>+VLOOKUP($G66,Konstanten!$A$2:$B$15,2,FALSE)</f>
        <v>Wohnnutzung</v>
      </c>
      <c r="I66" s="148"/>
      <c r="J66" s="267">
        <f>Fak_3*0</f>
        <v>0</v>
      </c>
      <c r="K66" s="267">
        <f>Fak_3*0</f>
        <v>0</v>
      </c>
      <c r="L66" s="267">
        <f>Fak_3*0.0003</f>
        <v>2.9999999999999997E-6</v>
      </c>
      <c r="M66" s="267">
        <f t="shared" ref="M66:V66" si="21">Fak_3*0</f>
        <v>0</v>
      </c>
      <c r="N66" s="267">
        <f t="shared" si="21"/>
        <v>0</v>
      </c>
      <c r="O66" s="267">
        <f t="shared" si="21"/>
        <v>0</v>
      </c>
      <c r="P66" s="267">
        <f t="shared" si="21"/>
        <v>0</v>
      </c>
      <c r="Q66" s="267">
        <f t="shared" si="21"/>
        <v>0</v>
      </c>
      <c r="R66" s="267">
        <f t="shared" si="21"/>
        <v>0</v>
      </c>
      <c r="S66" s="267">
        <f t="shared" si="21"/>
        <v>0</v>
      </c>
      <c r="T66" s="267">
        <f t="shared" si="21"/>
        <v>0</v>
      </c>
      <c r="U66" s="267">
        <f t="shared" si="21"/>
        <v>0</v>
      </c>
      <c r="V66" s="267">
        <f t="shared" si="21"/>
        <v>0</v>
      </c>
      <c r="W66" s="267">
        <f>Fak_3*0.0019</f>
        <v>1.9000000000000001E-5</v>
      </c>
      <c r="X66" s="267">
        <f t="shared" ref="X66:AG66" si="22">Fak_3*0</f>
        <v>0</v>
      </c>
      <c r="Y66" s="267">
        <f t="shared" si="22"/>
        <v>0</v>
      </c>
      <c r="Z66" s="267">
        <f t="shared" si="22"/>
        <v>0</v>
      </c>
      <c r="AA66" s="267">
        <f t="shared" si="22"/>
        <v>0</v>
      </c>
      <c r="AB66" s="267">
        <f t="shared" si="22"/>
        <v>0</v>
      </c>
      <c r="AC66" s="267">
        <f t="shared" si="22"/>
        <v>0</v>
      </c>
      <c r="AD66" s="267">
        <f t="shared" si="22"/>
        <v>0</v>
      </c>
      <c r="AE66" s="267">
        <f t="shared" si="22"/>
        <v>0</v>
      </c>
      <c r="AF66" s="267">
        <f t="shared" si="22"/>
        <v>0</v>
      </c>
      <c r="AG66" s="267">
        <f t="shared" si="22"/>
        <v>0</v>
      </c>
      <c r="AH66" s="267">
        <f>Fak_3*0.0022</f>
        <v>2.2000000000000003E-5</v>
      </c>
      <c r="AI66" s="213"/>
      <c r="AJ66" s="219"/>
      <c r="AK66" s="210"/>
    </row>
    <row r="67" spans="2:37" s="144" customFormat="1" ht="24" customHeight="1" x14ac:dyDescent="0.25">
      <c r="B67" s="227"/>
      <c r="C67" s="228"/>
      <c r="D67" s="229"/>
      <c r="E67" s="131"/>
      <c r="F67" s="198"/>
      <c r="G67" s="197">
        <v>212</v>
      </c>
      <c r="H67" s="148" t="str">
        <f>+VLOOKUP($G67,Konstanten!$A$2:$B$15,2,FALSE)</f>
        <v>gemischte bauliche Nutzung</v>
      </c>
      <c r="I67" s="148"/>
      <c r="J67" s="267">
        <f>Fak_3*1273.0579</f>
        <v>12.730579000000001</v>
      </c>
      <c r="K67" s="267">
        <f>Fak_3*1694.8444</f>
        <v>16.948443999999999</v>
      </c>
      <c r="L67" s="267">
        <f>Fak_3*1428.4196</f>
        <v>14.284196</v>
      </c>
      <c r="M67" s="267">
        <f>Fak_3*831.431</f>
        <v>8.3143100000000008</v>
      </c>
      <c r="N67" s="267">
        <f>Fak_3*2103.5314</f>
        <v>21.035314</v>
      </c>
      <c r="O67" s="267">
        <f>Fak_3*1411.1497</f>
        <v>14.111497</v>
      </c>
      <c r="P67" s="267">
        <f>Fak_3*843.6583</f>
        <v>8.4365830000000006</v>
      </c>
      <c r="Q67" s="267">
        <f>Fak_3*1455.7185</f>
        <v>14.557185</v>
      </c>
      <c r="R67" s="267">
        <f>Fak_3*217.7765</f>
        <v>2.177765</v>
      </c>
      <c r="S67" s="267">
        <f>Fak_3*1149.5676</f>
        <v>11.495676000000001</v>
      </c>
      <c r="T67" s="267">
        <f>Fak_3*309.7855</f>
        <v>3.097855</v>
      </c>
      <c r="U67" s="267">
        <f>Fak_3*1142.4897</f>
        <v>11.424897000000001</v>
      </c>
      <c r="V67" s="267">
        <f>Fak_3*1864.1135</f>
        <v>18.641134999999998</v>
      </c>
      <c r="W67" s="267">
        <f>Fak_3*1167.4444</f>
        <v>11.674444000000001</v>
      </c>
      <c r="X67" s="267">
        <f>Fak_3*1186.1973</f>
        <v>11.861973000000001</v>
      </c>
      <c r="Y67" s="267">
        <f>Fak_3*1911.5722</f>
        <v>19.115722000000002</v>
      </c>
      <c r="Z67" s="267">
        <f>Fak_3*591.8757</f>
        <v>5.9187570000000003</v>
      </c>
      <c r="AA67" s="267">
        <f>Fak_3*445.6735</f>
        <v>4.4567350000000001</v>
      </c>
      <c r="AB67" s="267">
        <f>Fak_3*1707.4244</f>
        <v>17.074244</v>
      </c>
      <c r="AC67" s="267">
        <f>Fak_3*762.9834</f>
        <v>7.6298339999999998</v>
      </c>
      <c r="AD67" s="267">
        <f>Fak_3*93.8214</f>
        <v>0.93821399999999999</v>
      </c>
      <c r="AE67" s="267">
        <f>Fak_3*1184.7478</f>
        <v>11.847478000000001</v>
      </c>
      <c r="AF67" s="267">
        <f>Fak_3*315.5061</f>
        <v>3.1550609999999999</v>
      </c>
      <c r="AG67" s="267">
        <f>Fak_3*1000.4326</f>
        <v>10.004326000000001</v>
      </c>
      <c r="AH67" s="267">
        <f>Fak_3*26093.2224</f>
        <v>260.93222400000002</v>
      </c>
      <c r="AI67" s="213"/>
      <c r="AJ67" s="219"/>
      <c r="AK67" s="210"/>
    </row>
    <row r="68" spans="2:37" s="144" customFormat="1" ht="24" customHeight="1" x14ac:dyDescent="0.25">
      <c r="B68" s="227"/>
      <c r="C68" s="228"/>
      <c r="D68" s="229"/>
      <c r="E68" s="131"/>
      <c r="F68" s="198"/>
      <c r="G68" s="197">
        <v>213</v>
      </c>
      <c r="H68" s="148" t="str">
        <f>+VLOOKUP($G68,Konstanten!$A$2:$B$15,2,FALSE)</f>
        <v>betriebliche Nutzung</v>
      </c>
      <c r="I68" s="148"/>
      <c r="J68" s="267">
        <f>Fak_3*655.9038</f>
        <v>6.559038000000001</v>
      </c>
      <c r="K68" s="267">
        <f>Fak_3*577.2334</f>
        <v>5.7723339999999999</v>
      </c>
      <c r="L68" s="267">
        <f>Fak_3*767.0403</f>
        <v>7.6704030000000003</v>
      </c>
      <c r="M68" s="267">
        <f>Fak_3*178.0167</f>
        <v>1.7801669999999998</v>
      </c>
      <c r="N68" s="267">
        <f>Fak_3*429.1384</f>
        <v>4.2913839999999999</v>
      </c>
      <c r="O68" s="267">
        <f>Fak_3*168.6926</f>
        <v>1.6869259999999999</v>
      </c>
      <c r="P68" s="267">
        <f>Fak_3*146.141</f>
        <v>1.4614099999999999</v>
      </c>
      <c r="Q68" s="267">
        <f>Fak_3*571.9748</f>
        <v>5.7197480000000001</v>
      </c>
      <c r="R68" s="267">
        <f>Fak_3*190.1953</f>
        <v>1.901953</v>
      </c>
      <c r="S68" s="267">
        <f>Fak_3*154.1463</f>
        <v>1.541463</v>
      </c>
      <c r="T68" s="267">
        <f>Fak_3*113.1944</f>
        <v>1.1319440000000001</v>
      </c>
      <c r="U68" s="267">
        <f>Fak_3*392.4309</f>
        <v>3.924309</v>
      </c>
      <c r="V68" s="267">
        <f>Fak_3*328.9123</f>
        <v>3.289123</v>
      </c>
      <c r="W68" s="267">
        <f>Fak_3*637.082</f>
        <v>6.3708200000000001</v>
      </c>
      <c r="X68" s="267">
        <f>Fak_3*298.1302</f>
        <v>2.9813019999999999</v>
      </c>
      <c r="Y68" s="267">
        <f>Fak_3*373.3666</f>
        <v>3.7336659999999999</v>
      </c>
      <c r="Z68" s="267">
        <f>Fak_3*292.701</f>
        <v>2.9270100000000001</v>
      </c>
      <c r="AA68" s="267">
        <f>Fak_3*185.6692</f>
        <v>1.856692</v>
      </c>
      <c r="AB68" s="267">
        <f>Fak_3*391.1255</f>
        <v>3.9112550000000001</v>
      </c>
      <c r="AC68" s="267">
        <f>Fak_3*123.4691</f>
        <v>1.234691</v>
      </c>
      <c r="AD68" s="267">
        <f>Fak_3*35.1312</f>
        <v>0.35131200000000001</v>
      </c>
      <c r="AE68" s="267">
        <f>Fak_3*375.2015</f>
        <v>3.7520150000000001</v>
      </c>
      <c r="AF68" s="267">
        <f>Fak_3*291.5843</f>
        <v>2.9158429999999997</v>
      </c>
      <c r="AG68" s="267">
        <f>Fak_3*202.5384</f>
        <v>2.0253839999999999</v>
      </c>
      <c r="AH68" s="267">
        <f>Fak_3*7879.0192</f>
        <v>78.790192000000005</v>
      </c>
      <c r="AI68" s="213"/>
      <c r="AJ68" s="219"/>
      <c r="AK68" s="210"/>
    </row>
    <row r="69" spans="2:37" s="144" customFormat="1" ht="24" customHeight="1" x14ac:dyDescent="0.25">
      <c r="B69" s="227"/>
      <c r="C69" s="228"/>
      <c r="D69" s="229"/>
      <c r="E69" s="131"/>
      <c r="F69" s="198"/>
      <c r="G69" s="197">
        <v>214</v>
      </c>
      <c r="H69" s="148" t="str">
        <f>+VLOOKUP($G69,Konstanten!$A$2:$B$15,2,FALSE)</f>
        <v>sonstige bauliche Nutzung</v>
      </c>
      <c r="I69" s="148"/>
      <c r="J69" s="267">
        <f>Fak_3*131.2006</f>
        <v>1.312006</v>
      </c>
      <c r="K69" s="267">
        <f>Fak_3*178.4237</f>
        <v>1.7842370000000001</v>
      </c>
      <c r="L69" s="267">
        <f>Fak_3*121.402</f>
        <v>1.2140200000000001</v>
      </c>
      <c r="M69" s="267">
        <f>Fak_3*65.388</f>
        <v>0.65388000000000002</v>
      </c>
      <c r="N69" s="267">
        <f>Fak_3*134.258</f>
        <v>1.3425800000000001</v>
      </c>
      <c r="O69" s="267">
        <f>Fak_3*95.2292</f>
        <v>0.95229200000000003</v>
      </c>
      <c r="P69" s="267">
        <f>Fak_3*47.2254</f>
        <v>0.47225400000000001</v>
      </c>
      <c r="Q69" s="267">
        <f>Fak_3*95.2726</f>
        <v>0.95272599999999996</v>
      </c>
      <c r="R69" s="267">
        <f>Fak_3*31.6165</f>
        <v>0.31616499999999997</v>
      </c>
      <c r="S69" s="267">
        <f>Fak_3*115.5297</f>
        <v>1.155297</v>
      </c>
      <c r="T69" s="267">
        <f>Fak_3*20.7344</f>
        <v>0.207344</v>
      </c>
      <c r="U69" s="267">
        <f>Fak_3*65.1017</f>
        <v>0.65101699999999996</v>
      </c>
      <c r="V69" s="267">
        <f>Fak_3*105.8577</f>
        <v>1.0585769999999999</v>
      </c>
      <c r="W69" s="267">
        <f>Fak_3*115.7502</f>
        <v>1.157502</v>
      </c>
      <c r="X69" s="267">
        <f>Fak_3*81.6914</f>
        <v>0.81691400000000003</v>
      </c>
      <c r="Y69" s="267">
        <f>Fak_3*94.4413</f>
        <v>0.94441299999999995</v>
      </c>
      <c r="Z69" s="267">
        <f>Fak_3*63.4173</f>
        <v>0.63417299999999999</v>
      </c>
      <c r="AA69" s="267">
        <f>Fak_3*52.1904</f>
        <v>0.52190399999999992</v>
      </c>
      <c r="AB69" s="267">
        <f>Fak_3*168.1371</f>
        <v>1.6813710000000002</v>
      </c>
      <c r="AC69" s="267">
        <f>Fak_3*26.1804</f>
        <v>0.26180399999999998</v>
      </c>
      <c r="AD69" s="267">
        <f>Fak_3*9.3032</f>
        <v>9.3032000000000004E-2</v>
      </c>
      <c r="AE69" s="267">
        <f>Fak_3*107.2195</f>
        <v>1.072195</v>
      </c>
      <c r="AF69" s="267">
        <f>Fak_3*58.2875</f>
        <v>0.58287500000000003</v>
      </c>
      <c r="AG69" s="267">
        <f>Fak_3*107.8422</f>
        <v>1.078422</v>
      </c>
      <c r="AH69" s="267">
        <f>Fak_3*2091.7</f>
        <v>20.916999999999998</v>
      </c>
      <c r="AI69" s="213"/>
      <c r="AJ69" s="219"/>
      <c r="AK69" s="210"/>
    </row>
    <row r="70" spans="2:37" s="144" customFormat="1" ht="24" customHeight="1" x14ac:dyDescent="0.25">
      <c r="B70" s="227"/>
      <c r="C70" s="228"/>
      <c r="D70" s="229"/>
      <c r="E70" s="131"/>
      <c r="F70" s="200"/>
      <c r="G70" s="215"/>
      <c r="H70" s="216"/>
      <c r="I70" s="217" t="s">
        <v>7536</v>
      </c>
      <c r="J70" s="268">
        <f>Fak_3*2060.1623</f>
        <v>20.601623</v>
      </c>
      <c r="K70" s="268">
        <f>Fak_3*2450.5015</f>
        <v>24.505015</v>
      </c>
      <c r="L70" s="268">
        <f>Fak_3*2316.8622</f>
        <v>23.168621999999999</v>
      </c>
      <c r="M70" s="268">
        <f>Fak_3*1074.8357</f>
        <v>10.748357</v>
      </c>
      <c r="N70" s="268">
        <f>Fak_3*2666.9278</f>
        <v>26.669277999999998</v>
      </c>
      <c r="O70" s="268">
        <f>Fak_3*1675.0715</f>
        <v>16.750715</v>
      </c>
      <c r="P70" s="268">
        <f>Fak_3*1037.0247</f>
        <v>10.370246999999999</v>
      </c>
      <c r="Q70" s="268">
        <f>Fak_3*2122.9659</f>
        <v>21.229659000000002</v>
      </c>
      <c r="R70" s="268">
        <f>Fak_3*439.5883</f>
        <v>4.3958830000000004</v>
      </c>
      <c r="S70" s="268">
        <f>Fak_3*1419.2436</f>
        <v>14.192436000000001</v>
      </c>
      <c r="T70" s="268">
        <f>Fak_3*443.7143</f>
        <v>4.4371429999999998</v>
      </c>
      <c r="U70" s="268">
        <f>Fak_3*1600.0223</f>
        <v>16.000223000000002</v>
      </c>
      <c r="V70" s="268">
        <f>Fak_3*2298.8835</f>
        <v>22.988834999999998</v>
      </c>
      <c r="W70" s="268">
        <f>Fak_3*1920.2785</f>
        <v>19.202784999999999</v>
      </c>
      <c r="X70" s="268">
        <f>Fak_3*1566.0189</f>
        <v>15.660189000000001</v>
      </c>
      <c r="Y70" s="268">
        <f>Fak_3*2379.3801</f>
        <v>23.793800999999998</v>
      </c>
      <c r="Z70" s="268">
        <f>Fak_3*947.994</f>
        <v>9.4799400000000009</v>
      </c>
      <c r="AA70" s="268">
        <f>Fak_3*683.5331</f>
        <v>6.835331</v>
      </c>
      <c r="AB70" s="268">
        <f>Fak_3*2266.687</f>
        <v>22.666869999999999</v>
      </c>
      <c r="AC70" s="268">
        <f>Fak_3*912.6329</f>
        <v>9.1263290000000001</v>
      </c>
      <c r="AD70" s="268">
        <f>Fak_3*138.2558</f>
        <v>1.382558</v>
      </c>
      <c r="AE70" s="268">
        <f>Fak_3*1667.1688</f>
        <v>16.671688</v>
      </c>
      <c r="AF70" s="268">
        <f>Fak_3*665.3779</f>
        <v>6.6537790000000001</v>
      </c>
      <c r="AG70" s="268">
        <f>Fak_3*1310.8132</f>
        <v>13.108132000000001</v>
      </c>
      <c r="AH70" s="268">
        <f>Fak_3*36063.9438</f>
        <v>360.63943800000004</v>
      </c>
      <c r="AI70" s="213"/>
      <c r="AJ70" s="219"/>
      <c r="AK70" s="210"/>
    </row>
    <row r="71" spans="2:37" s="144" customFormat="1" ht="24" customHeight="1" x14ac:dyDescent="0.25">
      <c r="B71" s="227"/>
      <c r="C71" s="228"/>
      <c r="D71" s="229"/>
      <c r="E71" s="131"/>
      <c r="F71" s="200" t="s">
        <v>7409</v>
      </c>
      <c r="G71" s="215"/>
      <c r="H71" s="216"/>
      <c r="I71" s="217" t="s">
        <v>7537</v>
      </c>
      <c r="J71" s="268">
        <f>Fak_3*1203.8775</f>
        <v>12.038775000000001</v>
      </c>
      <c r="K71" s="268">
        <f>Fak_3*183.1272</f>
        <v>1.831272</v>
      </c>
      <c r="L71" s="268">
        <f>Fak_3*160.0033</f>
        <v>1.600033</v>
      </c>
      <c r="M71" s="268">
        <f>Fak_3*241.7102</f>
        <v>2.4171019999999999</v>
      </c>
      <c r="N71" s="268">
        <f>Fak_3*249.1224</f>
        <v>2.4912239999999999</v>
      </c>
      <c r="O71" s="268">
        <f>Fak_3*161.9366</f>
        <v>1.6193660000000001</v>
      </c>
      <c r="P71" s="268">
        <f>Fak_3*127.7306</f>
        <v>1.2773060000000001</v>
      </c>
      <c r="Q71" s="268">
        <f>Fak_3*160.3273</f>
        <v>1.6032730000000002</v>
      </c>
      <c r="R71" s="268">
        <f>Fak_3*24.5728</f>
        <v>0.245728</v>
      </c>
      <c r="S71" s="268">
        <f>Fak_3*262.5626</f>
        <v>2.625626</v>
      </c>
      <c r="T71" s="268">
        <f>Fak_3*247.4038</f>
        <v>2.4740379999999997</v>
      </c>
      <c r="U71" s="268">
        <f>Fak_3*675.5599</f>
        <v>6.7555990000000001</v>
      </c>
      <c r="V71" s="268">
        <f>Fak_3*214.0672</f>
        <v>2.1406720000000004</v>
      </c>
      <c r="W71" s="268">
        <f>Fak_3*92.1247</f>
        <v>0.92124700000000004</v>
      </c>
      <c r="X71" s="268">
        <f>Fak_3*382.7392</f>
        <v>3.8273919999999997</v>
      </c>
      <c r="Y71" s="268">
        <f>Fak_3*645.7431</f>
        <v>6.4574310000000006</v>
      </c>
      <c r="Z71" s="268">
        <f>Fak_3*45.4534</f>
        <v>0.45453400000000005</v>
      </c>
      <c r="AA71" s="268">
        <f>Fak_3*534.2459</f>
        <v>5.3424589999999998</v>
      </c>
      <c r="AB71" s="268">
        <f>Fak_3*239.0552</f>
        <v>2.390552</v>
      </c>
      <c r="AC71" s="268">
        <f>Fak_3*171.0714</f>
        <v>1.7107140000000001</v>
      </c>
      <c r="AD71" s="268">
        <f>Fak_3*105.0632</f>
        <v>1.050632</v>
      </c>
      <c r="AE71" s="268">
        <f>Fak_3*318.8654</f>
        <v>3.1886540000000001</v>
      </c>
      <c r="AF71" s="268">
        <f>Fak_3*20.3385</f>
        <v>0.20338500000000001</v>
      </c>
      <c r="AG71" s="268">
        <f>Fak_3*419.3949</f>
        <v>4.1939489999999999</v>
      </c>
      <c r="AH71" s="268">
        <f>Fak_3*6886.0963</f>
        <v>68.860962999999998</v>
      </c>
      <c r="AI71" s="213"/>
      <c r="AJ71" s="219"/>
      <c r="AK71" s="210"/>
    </row>
    <row r="72" spans="2:37" s="144" customFormat="1" ht="24" customHeight="1" x14ac:dyDescent="0.25">
      <c r="B72" s="227"/>
      <c r="C72" s="228"/>
      <c r="D72" s="229"/>
      <c r="E72" s="131"/>
      <c r="F72" s="321" t="s">
        <v>7529</v>
      </c>
      <c r="G72" s="199"/>
      <c r="H72" s="200"/>
      <c r="I72" s="217" t="s">
        <v>7538</v>
      </c>
      <c r="J72" s="268">
        <f>Fak_3*75.6341</f>
        <v>0.75634100000000004</v>
      </c>
      <c r="K72" s="268">
        <f>Fak_3*96.7579</f>
        <v>0.96757900000000008</v>
      </c>
      <c r="L72" s="268">
        <f>Fak_3*85.7918</f>
        <v>0.85791799999999996</v>
      </c>
      <c r="M72" s="268">
        <f>Fak_3*35.2597</f>
        <v>0.35259700000000005</v>
      </c>
      <c r="N72" s="268">
        <f>Fak_3*85.4048</f>
        <v>0.85404799999999992</v>
      </c>
      <c r="O72" s="268">
        <f>Fak_3*39.9885</f>
        <v>0.39988500000000005</v>
      </c>
      <c r="P72" s="268">
        <f>Fak_3*30.1241</f>
        <v>0.30124099999999998</v>
      </c>
      <c r="Q72" s="268">
        <f>Fak_3*85.7463</f>
        <v>0.85746300000000009</v>
      </c>
      <c r="R72" s="268">
        <f>Fak_3*21.7181</f>
        <v>0.21718100000000001</v>
      </c>
      <c r="S72" s="268">
        <f>Fak_3*49.566</f>
        <v>0.49566000000000004</v>
      </c>
      <c r="T72" s="268">
        <f>Fak_3*31.2623</f>
        <v>0.31262299999999998</v>
      </c>
      <c r="U72" s="268">
        <f>Fak_3*66.3156</f>
        <v>0.66315600000000008</v>
      </c>
      <c r="V72" s="268">
        <f>Fak_3*61.3783</f>
        <v>0.61378300000000008</v>
      </c>
      <c r="W72" s="268">
        <f>Fak_3*72.8039</f>
        <v>0.72803899999999999</v>
      </c>
      <c r="X72" s="268">
        <f>Fak_3*52.8484</f>
        <v>0.52848399999999995</v>
      </c>
      <c r="Y72" s="268">
        <f>Fak_3*73.6246</f>
        <v>0.73624600000000007</v>
      </c>
      <c r="Z72" s="268">
        <f>Fak_3*35.4861</f>
        <v>0.35486100000000004</v>
      </c>
      <c r="AA72" s="268">
        <f>Fak_3*26.6167</f>
        <v>0.26616700000000004</v>
      </c>
      <c r="AB72" s="268">
        <f>Fak_3*103.0942</f>
        <v>1.030942</v>
      </c>
      <c r="AC72" s="268">
        <f>Fak_3*19.6543</f>
        <v>0.196543</v>
      </c>
      <c r="AD72" s="268">
        <f>Fak_3*7.5334</f>
        <v>7.5333999999999998E-2</v>
      </c>
      <c r="AE72" s="268">
        <f>Fak_3*56.0423</f>
        <v>0.560423</v>
      </c>
      <c r="AF72" s="268">
        <f>Fak_3*26.5167</f>
        <v>0.26516699999999999</v>
      </c>
      <c r="AG72" s="268">
        <f>Fak_3*30.313</f>
        <v>0.30313000000000001</v>
      </c>
      <c r="AH72" s="268">
        <f>Fak_3*1269.4811</f>
        <v>12.694811</v>
      </c>
      <c r="AI72" s="213"/>
      <c r="AJ72" s="219"/>
      <c r="AK72" s="210"/>
    </row>
    <row r="73" spans="2:37" s="144" customFormat="1" ht="24" customHeight="1" x14ac:dyDescent="0.25">
      <c r="B73" s="227"/>
      <c r="C73" s="228"/>
      <c r="D73" s="229"/>
      <c r="E73" s="131"/>
      <c r="F73" s="322" t="s">
        <v>7519</v>
      </c>
      <c r="G73" s="199"/>
      <c r="H73" s="200"/>
      <c r="I73" s="217" t="s">
        <v>7539</v>
      </c>
      <c r="J73" s="268">
        <f>Fak_3*47.6473</f>
        <v>0.47647300000000004</v>
      </c>
      <c r="K73" s="268">
        <f>Fak_3*21.0378</f>
        <v>0.21037800000000001</v>
      </c>
      <c r="L73" s="268">
        <f>Fak_3*41.0671</f>
        <v>0.41067100000000006</v>
      </c>
      <c r="M73" s="268">
        <f>Fak_3*12.6297</f>
        <v>0.12629699999999999</v>
      </c>
      <c r="N73" s="268">
        <f>Fak_3*53.2035</f>
        <v>0.53203500000000004</v>
      </c>
      <c r="O73" s="268">
        <f>Fak_3*28.1582</f>
        <v>0.281582</v>
      </c>
      <c r="P73" s="268">
        <f>Fak_3*12.8883</f>
        <v>0.128883</v>
      </c>
      <c r="Q73" s="268">
        <f>Fak_3*53.338</f>
        <v>0.53337999999999997</v>
      </c>
      <c r="R73" s="268">
        <f>Fak_3*15.7193</f>
        <v>0.157193</v>
      </c>
      <c r="S73" s="268">
        <f>Fak_3*17.7418</f>
        <v>0.17741800000000002</v>
      </c>
      <c r="T73" s="268">
        <f>Fak_3*11.0438</f>
        <v>0.11043799999999999</v>
      </c>
      <c r="U73" s="268">
        <f>Fak_3*33.7709</f>
        <v>0.33770899999999998</v>
      </c>
      <c r="V73" s="268">
        <f>Fak_3*32.2399</f>
        <v>0.32239899999999999</v>
      </c>
      <c r="W73" s="268">
        <f>Fak_3*19.6372</f>
        <v>0.19637199999999999</v>
      </c>
      <c r="X73" s="268">
        <f>Fak_3*16.5244</f>
        <v>0.165244</v>
      </c>
      <c r="Y73" s="268">
        <f>Fak_3*32.1791</f>
        <v>0.32179099999999999</v>
      </c>
      <c r="Z73" s="268">
        <f>Fak_3*12.991</f>
        <v>0.12991</v>
      </c>
      <c r="AA73" s="268">
        <f>Fak_3*19.2262</f>
        <v>0.19226199999999999</v>
      </c>
      <c r="AB73" s="268">
        <f>Fak_3*26.8603</f>
        <v>0.26860299999999998</v>
      </c>
      <c r="AC73" s="268">
        <f>Fak_3*14.7877</f>
        <v>0.14787700000000001</v>
      </c>
      <c r="AD73" s="268">
        <f>Fak_3*1.7112</f>
        <v>1.7112000000000002E-2</v>
      </c>
      <c r="AE73" s="268">
        <f>Fak_3*26.2552</f>
        <v>0.26255200000000001</v>
      </c>
      <c r="AF73" s="268">
        <f>Fak_3*15.7779</f>
        <v>0.157779</v>
      </c>
      <c r="AG73" s="268">
        <f>Fak_3*19.4685</f>
        <v>0.194685</v>
      </c>
      <c r="AH73" s="268">
        <f>Fak_3*585.9043</f>
        <v>5.8590430000000007</v>
      </c>
      <c r="AI73" s="213"/>
      <c r="AJ73" s="219"/>
      <c r="AK73" s="210"/>
    </row>
    <row r="74" spans="2:37" s="208" customFormat="1" ht="24" customHeight="1" x14ac:dyDescent="0.25">
      <c r="B74" s="240"/>
      <c r="C74" s="230"/>
      <c r="D74" s="241"/>
      <c r="E74" s="183"/>
      <c r="F74" s="202" t="s">
        <v>7416</v>
      </c>
      <c r="G74" s="203"/>
      <c r="H74" s="201"/>
      <c r="I74" s="204" t="s">
        <v>7533</v>
      </c>
      <c r="J74" s="269">
        <f t="shared" ref="J74:AH74" si="23">+SUM(J65,J70,J71,J72,J73)</f>
        <v>60.374033000000004</v>
      </c>
      <c r="K74" s="269">
        <f t="shared" si="23"/>
        <v>45.300260000000002</v>
      </c>
      <c r="L74" s="269">
        <f t="shared" si="23"/>
        <v>49.640072000000004</v>
      </c>
      <c r="M74" s="269">
        <f t="shared" si="23"/>
        <v>26.146133000000003</v>
      </c>
      <c r="N74" s="269">
        <f t="shared" si="23"/>
        <v>60.905461000000003</v>
      </c>
      <c r="O74" s="269">
        <f t="shared" si="23"/>
        <v>41.926997999999998</v>
      </c>
      <c r="P74" s="269">
        <f t="shared" si="23"/>
        <v>28.015544999999999</v>
      </c>
      <c r="Q74" s="269">
        <f t="shared" si="23"/>
        <v>44.862329000000003</v>
      </c>
      <c r="R74" s="269">
        <f t="shared" si="23"/>
        <v>7.5978850000000007</v>
      </c>
      <c r="S74" s="269">
        <f t="shared" si="23"/>
        <v>35.181817000000002</v>
      </c>
      <c r="T74" s="269">
        <f t="shared" si="23"/>
        <v>14.208994000000001</v>
      </c>
      <c r="U74" s="269">
        <f t="shared" si="23"/>
        <v>46.955272999999998</v>
      </c>
      <c r="V74" s="269">
        <f t="shared" si="23"/>
        <v>58.988659999999996</v>
      </c>
      <c r="W74" s="269">
        <f t="shared" si="23"/>
        <v>32.152473999999998</v>
      </c>
      <c r="X74" s="269">
        <f t="shared" si="23"/>
        <v>37.769430000000007</v>
      </c>
      <c r="Y74" s="269">
        <f t="shared" si="23"/>
        <v>59.630665999999998</v>
      </c>
      <c r="Z74" s="269">
        <f t="shared" si="23"/>
        <v>17.342648999999998</v>
      </c>
      <c r="AA74" s="269">
        <f t="shared" si="23"/>
        <v>23.576929999999994</v>
      </c>
      <c r="AB74" s="269">
        <f t="shared" si="23"/>
        <v>48.520369000000002</v>
      </c>
      <c r="AC74" s="269">
        <f t="shared" si="23"/>
        <v>24.231731</v>
      </c>
      <c r="AD74" s="269">
        <f t="shared" si="23"/>
        <v>4.5750479999999998</v>
      </c>
      <c r="AE74" s="269">
        <f t="shared" si="23"/>
        <v>35.699800000000003</v>
      </c>
      <c r="AF74" s="269">
        <f t="shared" si="23"/>
        <v>12.108776000000001</v>
      </c>
      <c r="AG74" s="269">
        <f t="shared" si="23"/>
        <v>38.731549999999999</v>
      </c>
      <c r="AH74" s="269">
        <f t="shared" si="23"/>
        <v>854.44288300000005</v>
      </c>
      <c r="AI74" s="206"/>
      <c r="AJ74" s="207"/>
      <c r="AK74" s="202"/>
    </row>
  </sheetData>
  <mergeCells count="14">
    <mergeCell ref="AL25:AL30"/>
    <mergeCell ref="I36:AJ36"/>
    <mergeCell ref="AK44:AK57"/>
    <mergeCell ref="B1:D1"/>
    <mergeCell ref="E1:AG4"/>
    <mergeCell ref="I6:AJ6"/>
    <mergeCell ref="AK8:AK9"/>
    <mergeCell ref="AL10:AL15"/>
    <mergeCell ref="J17:AH17"/>
    <mergeCell ref="F58:H58"/>
    <mergeCell ref="I59:AJ59"/>
    <mergeCell ref="J19:AH19"/>
    <mergeCell ref="AI20:AK20"/>
    <mergeCell ref="I21:AJ21"/>
  </mergeCells>
  <conditionalFormatting sqref="A8:AJ8 A23:XFD23 J22:AG22">
    <cfRule type="expression" dxfId="115" priority="8">
      <formula>$A$12=2</formula>
    </cfRule>
  </conditionalFormatting>
  <conditionalFormatting sqref="A8:AJ8 A23:XFD23">
    <cfRule type="expression" dxfId="114" priority="5">
      <formula>$A$12=1</formula>
    </cfRule>
  </conditionalFormatting>
  <conditionalFormatting sqref="J10:AH15 J25:AH30">
    <cfRule type="expression" dxfId="113" priority="6">
      <formula>$C$6 = "relativ"</formula>
    </cfRule>
  </conditionalFormatting>
  <conditionalFormatting sqref="J22:AH22">
    <cfRule type="expression" dxfId="112" priority="4">
      <formula>$A$12=1</formula>
    </cfRule>
  </conditionalFormatting>
  <conditionalFormatting sqref="J31:AH31">
    <cfRule type="expression" dxfId="111" priority="7">
      <formula>$A$12=2</formula>
    </cfRule>
  </conditionalFormatting>
  <conditionalFormatting sqref="AH22">
    <cfRule type="expression" dxfId="110" priority="3">
      <formula>$A$12=2</formula>
    </cfRule>
  </conditionalFormatting>
  <conditionalFormatting sqref="AJ10:AJ15">
    <cfRule type="dataBar" priority="10">
      <dataBar showValue="0">
        <cfvo type="num" val="0"/>
        <cfvo type="num" val="1"/>
        <color theme="0" tint="-0.499984740745262"/>
      </dataBar>
      <extLst>
        <ext xmlns:x14="http://schemas.microsoft.com/office/spreadsheetml/2009/9/main" uri="{B025F937-C7B1-47D3-B67F-A62EFF666E3E}">
          <x14:id>{4161004B-1509-4D29-BC23-18F01706E5CF}</x14:id>
        </ext>
      </extLst>
    </cfRule>
  </conditionalFormatting>
  <conditionalFormatting sqref="AJ25:AJ31">
    <cfRule type="dataBar" priority="9">
      <dataBar showValue="0">
        <cfvo type="num" val="0"/>
        <cfvo type="num" val="1"/>
        <color theme="0" tint="-0.499984740745262"/>
      </dataBar>
      <extLst>
        <ext xmlns:x14="http://schemas.microsoft.com/office/spreadsheetml/2009/9/main" uri="{B025F937-C7B1-47D3-B67F-A62EFF666E3E}">
          <x14:id>{5CB23651-AEFC-4558-A852-C5F945706B0F}</x14:id>
        </ext>
      </extLst>
    </cfRule>
  </conditionalFormatting>
  <conditionalFormatting sqref="AL8:XFD8">
    <cfRule type="expression" dxfId="109" priority="1">
      <formula>$A$12=2</formula>
    </cfRule>
    <cfRule type="expression" dxfId="108" priority="2">
      <formula>$A$12=1</formula>
    </cfRule>
  </conditionalFormatting>
  <dataValidations count="3">
    <dataValidation type="list" allowBlank="1" showInputMessage="1" showErrorMessage="1" sqref="C3 D5" xr:uid="{00000000-0002-0000-0500-000000000000}">
      <formula1>"ha,km²"</formula1>
    </dataValidation>
    <dataValidation type="list" allowBlank="1" showInputMessage="1" showErrorMessage="1" sqref="C36:E36" xr:uid="{00000000-0002-0000-0500-000001000000}">
      <formula1>"absolut, Bevölkerung, Dauersiedlungsraum"</formula1>
    </dataValidation>
    <dataValidation type="list" allowBlank="1" showInputMessage="1" showErrorMessage="1" sqref="C6:D6" xr:uid="{00000000-0002-0000-0500-000002000000}">
      <formula1>"absolut,relativ"</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4161004B-1509-4D29-BC23-18F01706E5CF}">
            <x14:dataBar minLength="0" maxLength="100" gradient="0">
              <x14:cfvo type="num">
                <xm:f>0</xm:f>
              </x14:cfvo>
              <x14:cfvo type="num">
                <xm:f>1</xm:f>
              </x14:cfvo>
              <x14:negativeFillColor rgb="FFFF0000"/>
              <x14:axisColor rgb="FF000000"/>
            </x14:dataBar>
          </x14:cfRule>
          <xm:sqref>AJ10:AJ15</xm:sqref>
        </x14:conditionalFormatting>
        <x14:conditionalFormatting xmlns:xm="http://schemas.microsoft.com/office/excel/2006/main">
          <x14:cfRule type="dataBar" id="{5CB23651-AEFC-4558-A852-C5F945706B0F}">
            <x14:dataBar minLength="0" maxLength="100" gradient="0">
              <x14:cfvo type="num">
                <xm:f>0</xm:f>
              </x14:cfvo>
              <x14:cfvo type="num">
                <xm:f>1</xm:f>
              </x14:cfvo>
              <x14:negativeFillColor rgb="FFFF0000"/>
              <x14:axisColor rgb="FF000000"/>
            </x14:dataBar>
          </x14:cfRule>
          <xm:sqref>AJ25:AJ31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500-000006000000}">
          <x14:colorSeries theme="0" tint="-0.34998626667073579"/>
          <x14:colorNegative rgb="FFD00000"/>
          <x14:colorAxis rgb="FF000000"/>
          <x14:colorMarkers rgb="FFD00000"/>
          <x14:colorFirst rgb="FFD00000"/>
          <x14:colorLast rgb="FFD00000"/>
          <x14:colorHigh rgb="FFD00000"/>
          <x14:colorLow rgb="FFD00000"/>
          <x14:sparklines>
            <x14:sparkline>
              <xm:f>'BL-Template'!J20:AH20</xm:f>
              <xm:sqref>J19</xm:sqref>
            </x14:sparkline>
          </x14:sparklines>
        </x14:sparklineGroup>
        <x14:sparklineGroup manualMin="0" type="column" displayEmptyCellsAs="gap" minAxisType="custom" xr2:uid="{00000000-0003-0000-0500-000005000000}">
          <x14:colorSeries theme="0" tint="-0.34998626667073579"/>
          <x14:colorNegative rgb="FFD00000"/>
          <x14:colorAxis rgb="FF000000"/>
          <x14:colorMarkers rgb="FFD00000"/>
          <x14:colorFirst rgb="FFD00000"/>
          <x14:colorLast rgb="FFD00000"/>
          <x14:colorHigh rgb="FFD00000"/>
          <x14:colorLow rgb="FFD00000"/>
          <x14:sparklines>
            <x14:sparkline>
              <xm:f>'BL-Template'!J18:AH18</xm:f>
              <xm:sqref>J17</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9">
    <tabColor rgb="FFFFFF00"/>
    <pageSetUpPr fitToPage="1"/>
  </sheetPr>
  <dimension ref="A1:DX93"/>
  <sheetViews>
    <sheetView topLeftCell="B1" zoomScale="85" zoomScaleNormal="85" workbookViewId="0">
      <pane xSplit="3" ySplit="4" topLeftCell="E5" activePane="bottomRight" state="frozen"/>
      <selection activeCell="B1" sqref="B1"/>
      <selection pane="topRight" activeCell="E1" sqref="E1"/>
      <selection pane="bottomLeft" activeCell="B5" sqref="B5"/>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19" width="15.42578125" style="138" customWidth="1"/>
    <col min="20" max="20" width="27.42578125" style="138" bestFit="1" customWidth="1"/>
    <col min="21" max="21" width="30" style="186" bestFit="1" customWidth="1"/>
    <col min="22" max="22" width="9.5703125" style="138" customWidth="1"/>
    <col min="23" max="23" width="15.5703125" style="138" customWidth="1"/>
    <col min="24" max="24" width="14.140625" style="138" customWidth="1"/>
    <col min="25" max="65" width="11.42578125" style="138" customWidth="1"/>
    <col min="66" max="66" width="11.42578125" style="138"/>
    <col min="67" max="67" width="12.28515625" style="138" bestFit="1" customWidth="1"/>
    <col min="68" max="68" width="13.140625" style="138" bestFit="1" customWidth="1"/>
    <col min="69" max="69" width="12.85546875" style="138" bestFit="1" customWidth="1"/>
    <col min="70" max="16384" width="11.42578125" style="138"/>
  </cols>
  <sheetData>
    <row r="1" spans="1:69" s="239" customFormat="1" ht="53.25" customHeight="1" x14ac:dyDescent="0.3">
      <c r="A1" s="133" t="s">
        <v>144</v>
      </c>
      <c r="B1" s="366" t="s">
        <v>7540</v>
      </c>
      <c r="C1" s="366"/>
      <c r="D1" s="366"/>
      <c r="E1" s="381" t="str">
        <f xml:space="preserve"> VLOOKUP(BL,Konstanten!$E$38:$F$46,2,FALSE) &amp;"-Ergebnisse: Indikatoren zu Flächeninanspruchnahme und Versiegelung mit Stand 2022 (Baseline)"</f>
        <v>Burgenland-Ergebnisse: Indikatoren zu Flächeninanspruchnahme und Versiegelung mit Stand 2022 (Baseline)</v>
      </c>
      <c r="F1" s="381"/>
      <c r="G1" s="381"/>
      <c r="H1" s="381"/>
      <c r="I1" s="381"/>
      <c r="J1" s="381"/>
      <c r="K1" s="381"/>
      <c r="L1" s="381"/>
      <c r="M1" s="381"/>
      <c r="N1" s="381"/>
      <c r="O1" s="381"/>
      <c r="P1" s="381"/>
      <c r="Q1" s="381"/>
      <c r="R1" s="381"/>
      <c r="S1" s="256"/>
      <c r="T1" s="256"/>
      <c r="U1" s="257"/>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row>
    <row r="2" spans="1:69" s="239" customFormat="1" ht="15" customHeight="1" x14ac:dyDescent="0.3">
      <c r="A2" s="133"/>
      <c r="B2" s="243"/>
      <c r="C2" s="243"/>
      <c r="D2" s="243"/>
      <c r="E2" s="381"/>
      <c r="F2" s="381"/>
      <c r="G2" s="381"/>
      <c r="H2" s="381"/>
      <c r="I2" s="381"/>
      <c r="J2" s="381"/>
      <c r="K2" s="381"/>
      <c r="L2" s="381"/>
      <c r="M2" s="381"/>
      <c r="N2" s="381"/>
      <c r="O2" s="381"/>
      <c r="P2" s="381"/>
      <c r="Q2" s="381"/>
      <c r="R2" s="381"/>
      <c r="S2" s="256"/>
      <c r="T2" s="256"/>
      <c r="U2" s="257"/>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row>
    <row r="3" spans="1:69" s="239" customFormat="1" ht="27" x14ac:dyDescent="0.3">
      <c r="A3" s="133"/>
      <c r="B3" s="228" t="s">
        <v>7517</v>
      </c>
      <c r="C3" s="242" t="s">
        <v>153</v>
      </c>
      <c r="D3" s="229"/>
      <c r="E3" s="381"/>
      <c r="F3" s="381"/>
      <c r="G3" s="381"/>
      <c r="H3" s="381"/>
      <c r="I3" s="381"/>
      <c r="J3" s="381"/>
      <c r="K3" s="381"/>
      <c r="L3" s="381"/>
      <c r="M3" s="381"/>
      <c r="N3" s="381"/>
      <c r="O3" s="381"/>
      <c r="P3" s="381"/>
      <c r="Q3" s="381"/>
      <c r="R3" s="381"/>
      <c r="S3" s="256"/>
      <c r="T3" s="256"/>
      <c r="U3" s="257"/>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row>
    <row r="4" spans="1:69" s="239" customFormat="1" ht="22.5" customHeight="1" x14ac:dyDescent="0.3">
      <c r="A4" s="131"/>
      <c r="B4" s="227"/>
      <c r="C4" s="228"/>
      <c r="D4" s="229"/>
      <c r="E4" s="381"/>
      <c r="F4" s="381"/>
      <c r="G4" s="381"/>
      <c r="H4" s="381"/>
      <c r="I4" s="381"/>
      <c r="J4" s="381"/>
      <c r="K4" s="381"/>
      <c r="L4" s="381"/>
      <c r="M4" s="381"/>
      <c r="N4" s="381"/>
      <c r="O4" s="381"/>
      <c r="P4" s="381"/>
      <c r="Q4" s="381"/>
      <c r="R4" s="381"/>
      <c r="U4" s="261"/>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row>
    <row r="5" spans="1:69" ht="52.5" customHeight="1" x14ac:dyDescent="0.3">
      <c r="A5" s="133">
        <f>+IF(Einheit = "ha", 1, 0.01)</f>
        <v>0.01</v>
      </c>
      <c r="C5" s="227"/>
      <c r="D5" s="231"/>
      <c r="E5" s="226" t="s">
        <v>7530</v>
      </c>
      <c r="F5" s="140"/>
      <c r="G5" s="140"/>
      <c r="H5" s="140"/>
      <c r="I5" s="140"/>
      <c r="J5" s="1"/>
      <c r="K5" s="1"/>
      <c r="L5" s="1"/>
      <c r="M5" s="1"/>
      <c r="N5" s="1"/>
      <c r="O5" s="1"/>
      <c r="P5" s="1"/>
      <c r="Q5" s="1"/>
      <c r="R5" s="1"/>
      <c r="S5" s="140"/>
      <c r="T5" s="140"/>
      <c r="U5" s="140"/>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row>
    <row r="6" spans="1:69"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146"/>
      <c r="W6" s="138"/>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row>
    <row r="7" spans="1:69" s="144" customFormat="1" ht="34.5" hidden="1" customHeight="1" x14ac:dyDescent="0.3">
      <c r="A7" s="133"/>
      <c r="B7" s="227"/>
      <c r="C7" s="230"/>
      <c r="D7" s="231"/>
      <c r="E7" s="139"/>
      <c r="F7" s="141"/>
      <c r="G7" s="141"/>
      <c r="H7" s="141" t="s">
        <v>7598</v>
      </c>
      <c r="I7" s="142"/>
      <c r="J7" s="131">
        <f>Fak_Einheit/IF(denom_1="absolut",1,Fak_Einheit*B!FI_gesamt)</f>
        <v>0.01</v>
      </c>
      <c r="K7" s="131">
        <f>Fak_Einheit/IF(denom_1="absolut",1,Fak_Einheit*B!FI_gesamt)</f>
        <v>0.01</v>
      </c>
      <c r="L7" s="131">
        <f>Fak_Einheit/IF(denom_1="absolut",1,Fak_Einheit*B!FI_gesamt)</f>
        <v>0.01</v>
      </c>
      <c r="M7" s="131">
        <f>Fak_Einheit/IF(denom_1="absolut",1,Fak_Einheit*B!FI_gesamt)</f>
        <v>0.01</v>
      </c>
      <c r="N7" s="131">
        <f>Fak_Einheit/IF(denom_1="absolut",1,Fak_Einheit*B!FI_gesamt)</f>
        <v>0.01</v>
      </c>
      <c r="O7" s="131">
        <f>Fak_Einheit/IF(denom_1="absolut",1,Fak_Einheit*B!FI_gesamt)</f>
        <v>0.01</v>
      </c>
      <c r="P7" s="131">
        <f>Fak_Einheit/IF(denom_1="absolut",1,Fak_Einheit*B!FI_gesamt)</f>
        <v>0.01</v>
      </c>
      <c r="Q7" s="131">
        <f>Fak_Einheit/IF(denom_1="absolut",1,Fak_Einheit*B!FI_gesamt)</f>
        <v>0.01</v>
      </c>
      <c r="R7" s="131">
        <f>Fak_Einheit/IF(denom_1="absolut",1,Fak_Einheit*B!FI_gesamt)</f>
        <v>0.01</v>
      </c>
      <c r="S7" s="131">
        <f>Fak_Einheit/IF(denom_1="absolut",1,Fak_Einheit*B!FI_gesamt)</f>
        <v>0.01</v>
      </c>
      <c r="T7" s="143"/>
      <c r="U7" s="145"/>
      <c r="V7" s="146"/>
      <c r="W7" s="138"/>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row>
    <row r="8" spans="1:69" s="270" customFormat="1" ht="15" hidden="1" x14ac:dyDescent="0.25">
      <c r="B8" s="271"/>
      <c r="C8" s="272"/>
      <c r="D8" s="271"/>
      <c r="H8" t="s">
        <v>7523</v>
      </c>
      <c r="J8">
        <v>854.49246443065294</v>
      </c>
      <c r="K8">
        <v>4451.4528598875104</v>
      </c>
      <c r="L8">
        <v>4639.8300583197497</v>
      </c>
      <c r="M8">
        <v>2992.8012653690198</v>
      </c>
      <c r="N8">
        <v>3496.6796185595499</v>
      </c>
      <c r="O8">
        <v>7924.5421321783697</v>
      </c>
      <c r="P8">
        <v>5694.7071987448498</v>
      </c>
      <c r="Q8">
        <v>7590.0461216173599</v>
      </c>
      <c r="R8">
        <v>169.62518343961901</v>
      </c>
      <c r="S8">
        <v>37814.176902546678</v>
      </c>
      <c r="V8" s="382"/>
    </row>
    <row r="9" spans="1:69" s="274" customFormat="1" ht="93" customHeight="1" x14ac:dyDescent="0.4">
      <c r="B9" s="272"/>
      <c r="C9" s="272"/>
      <c r="D9" s="272"/>
      <c r="F9" s="275"/>
      <c r="G9" s="275"/>
      <c r="H9" s="275"/>
      <c r="I9" s="275"/>
      <c r="J9" s="278" t="s">
        <v>29</v>
      </c>
      <c r="K9" s="278" t="s">
        <v>32</v>
      </c>
      <c r="L9" s="278" t="s">
        <v>33</v>
      </c>
      <c r="M9" s="278" t="s">
        <v>34</v>
      </c>
      <c r="N9" s="278" t="s">
        <v>35</v>
      </c>
      <c r="O9" s="278" t="s">
        <v>36</v>
      </c>
      <c r="P9" s="278" t="s">
        <v>37</v>
      </c>
      <c r="Q9" s="278" t="s">
        <v>38</v>
      </c>
      <c r="R9" s="278" t="s">
        <v>31</v>
      </c>
      <c r="S9" s="279" t="str">
        <f>B!BL</f>
        <v>B</v>
      </c>
      <c r="V9" s="382"/>
      <c r="W9" s="276"/>
      <c r="X9" s="276"/>
      <c r="BO9" s="274" t="s">
        <v>7524</v>
      </c>
      <c r="BP9" s="274" t="s">
        <v>7525</v>
      </c>
      <c r="BQ9" s="274" t="s">
        <v>7526</v>
      </c>
    </row>
    <row r="10" spans="1:69" s="156" customFormat="1" ht="19.5" customHeight="1" thickBot="1" x14ac:dyDescent="0.45">
      <c r="B10" s="236"/>
      <c r="C10" s="237"/>
      <c r="D10" s="238"/>
      <c r="F10" s="265"/>
      <c r="G10" s="157"/>
      <c r="I10" s="192" t="s">
        <v>7515</v>
      </c>
      <c r="J10" s="286">
        <f>854.492464430653*(+B!Fak_1)</f>
        <v>8.5449246443065299</v>
      </c>
      <c r="K10" s="286">
        <f>4451.45285988751*(+B!Fak_1)</f>
        <v>44.514528598875103</v>
      </c>
      <c r="L10" s="286">
        <f>4639.83005831975*(+B!Fak_1)</f>
        <v>46.398300583197496</v>
      </c>
      <c r="M10" s="286">
        <f>2992.80126536902*(+B!Fak_1)</f>
        <v>29.9280126536902</v>
      </c>
      <c r="N10" s="286">
        <f>3496.67961855955*(+B!Fak_1)</f>
        <v>34.966796185595499</v>
      </c>
      <c r="O10" s="286">
        <f>7924.54213217837*(+B!Fak_1)</f>
        <v>79.245421321783695</v>
      </c>
      <c r="P10" s="286">
        <f>5694.70719874485*(+B!Fak_1)</f>
        <v>56.947071987448503</v>
      </c>
      <c r="Q10" s="286">
        <f>7590.04612161736*(+B!Fak_1)</f>
        <v>75.900461216173596</v>
      </c>
      <c r="R10" s="286">
        <f>169.625183439619*(+B!Fak_1)</f>
        <v>1.6962518343961901</v>
      </c>
      <c r="S10" s="287">
        <f>37814.1769025467*(+B!Fak_1)</f>
        <v>378.141769025467</v>
      </c>
      <c r="T10" s="172" t="str">
        <f t="shared" ref="T10:T15" si="0">IF(denom_1="absolut",Einheit,"% FI gesamt")</f>
        <v>km²</v>
      </c>
      <c r="U10" s="160"/>
      <c r="V10" s="161">
        <f>+BP10/BO10</f>
        <v>0.45768072764356332</v>
      </c>
      <c r="W10" s="364" t="s">
        <v>7527</v>
      </c>
      <c r="X10" s="163"/>
      <c r="Y10" s="159"/>
      <c r="BO10" s="164">
        <f>+S10/$S$7</f>
        <v>37814.1769025467</v>
      </c>
      <c r="BP10" s="164">
        <f>+S25/$S$23</f>
        <v>17306.82</v>
      </c>
      <c r="BQ10" s="164">
        <f>+BO10-BP10</f>
        <v>20507.3569025467</v>
      </c>
    </row>
    <row r="11" spans="1:69" s="147" customFormat="1" ht="19.5" customHeight="1" thickTop="1" thickBot="1" x14ac:dyDescent="0.35">
      <c r="B11" s="227"/>
      <c r="C11" s="228"/>
      <c r="D11" s="235"/>
      <c r="E11" s="148"/>
      <c r="F11" s="265"/>
      <c r="I11" s="152" t="s">
        <v>25</v>
      </c>
      <c r="J11" s="288">
        <f>221.649502468224*(+B!Fak_1)</f>
        <v>2.2164950246822399</v>
      </c>
      <c r="K11" s="288">
        <f>1440.62091919759*(+B!Fak_1)</f>
        <v>14.406209191975901</v>
      </c>
      <c r="L11" s="288">
        <f>1434.4506167139*(+B!Fak_1)</f>
        <v>14.344506167139</v>
      </c>
      <c r="M11" s="288">
        <f>868.508185510952*(+B!Fak_1)</f>
        <v>8.6850818551095195</v>
      </c>
      <c r="N11" s="288">
        <f>1038.27135532073*(+B!Fak_1)</f>
        <v>10.382713553207299</v>
      </c>
      <c r="O11" s="288">
        <f>3175.5664572765*(+B!Fak_1)</f>
        <v>31.755664572764999</v>
      </c>
      <c r="P11" s="288">
        <f>2181.39466787894*(+B!Fak_1)</f>
        <v>21.813946678789399</v>
      </c>
      <c r="Q11" s="288">
        <f>2591.84446883629*(+B!Fak_1)</f>
        <v>25.918444688362904</v>
      </c>
      <c r="R11" s="288">
        <f>47.2337483514369*(+B!Fak_1)</f>
        <v>0.47233748351436899</v>
      </c>
      <c r="S11" s="289">
        <f>12999.5399215546*(+B!Fak_1)</f>
        <v>129.995399215546</v>
      </c>
      <c r="T11" s="172" t="str">
        <f t="shared" si="0"/>
        <v>km²</v>
      </c>
      <c r="U11" s="160"/>
      <c r="V11" s="161">
        <f t="shared" ref="V11:V15" si="1">+BP11/BO11</f>
        <v>0.67626035637026494</v>
      </c>
      <c r="W11" s="364"/>
      <c r="X11" s="163"/>
      <c r="Y11" s="159"/>
      <c r="BO11" s="164">
        <f t="shared" ref="BO11:BO15" si="2">+S11/$S$7</f>
        <v>12999.5399215546</v>
      </c>
      <c r="BP11" s="164">
        <f t="shared" ref="BP11:BP15" si="3">+S26/$S$23</f>
        <v>8791.0735000000004</v>
      </c>
      <c r="BQ11" s="164">
        <f t="shared" ref="BQ11:BQ15" si="4">+BO11-BP11</f>
        <v>4208.4664215545999</v>
      </c>
    </row>
    <row r="12" spans="1:69" s="147" customFormat="1" ht="19.5" customHeight="1" thickTop="1" thickBot="1" x14ac:dyDescent="0.35">
      <c r="A12" s="167"/>
      <c r="B12" s="227"/>
      <c r="C12" s="228"/>
      <c r="D12" s="235"/>
      <c r="E12" s="148"/>
      <c r="F12" s="265"/>
      <c r="I12" s="152" t="s">
        <v>7410</v>
      </c>
      <c r="J12" s="288">
        <f>536.056185962869*(+B!Fak_1)</f>
        <v>5.3605618596286897</v>
      </c>
      <c r="K12" s="288">
        <f>2124.25408874196*(+B!Fak_1)</f>
        <v>21.242540887419601</v>
      </c>
      <c r="L12" s="288">
        <f>2635.68731085475*(+B!Fak_1)</f>
        <v>26.356873108547504</v>
      </c>
      <c r="M12" s="288">
        <f>1627.70492364961*(+B!Fak_1)</f>
        <v>16.277049236496101</v>
      </c>
      <c r="N12" s="288">
        <f>2042.01972778695*(+B!Fak_1)</f>
        <v>20.420197277869502</v>
      </c>
      <c r="O12" s="288">
        <f>3365.6773297691*(+B!Fak_1)</f>
        <v>33.656773297691004</v>
      </c>
      <c r="P12" s="288">
        <f>2841.03076993356*(+B!Fak_1)</f>
        <v>28.410307699335601</v>
      </c>
      <c r="Q12" s="288">
        <f>4051.77852992103*(+B!Fak_1)</f>
        <v>40.517785299210303</v>
      </c>
      <c r="R12" s="288">
        <f>80.4694783938397*(+B!Fak_1)</f>
        <v>0.804694783938397</v>
      </c>
      <c r="S12" s="289">
        <f>19304.6783450137*(+B!Fak_1)</f>
        <v>193.04678345013701</v>
      </c>
      <c r="T12" s="172" t="str">
        <f t="shared" si="0"/>
        <v>km²</v>
      </c>
      <c r="U12" s="160"/>
      <c r="V12" s="161">
        <f t="shared" si="1"/>
        <v>0.40495771337310266</v>
      </c>
      <c r="W12" s="364"/>
      <c r="X12" s="163"/>
      <c r="Y12" s="159"/>
      <c r="BO12" s="164">
        <f t="shared" si="2"/>
        <v>19304.678345013701</v>
      </c>
      <c r="BP12" s="164">
        <f t="shared" si="3"/>
        <v>7817.5784000000003</v>
      </c>
      <c r="BQ12" s="164">
        <f t="shared" si="4"/>
        <v>11487.099945013701</v>
      </c>
    </row>
    <row r="13" spans="1:69" s="147" customFormat="1" ht="19.5" customHeight="1" thickTop="1" thickBot="1" x14ac:dyDescent="0.35">
      <c r="B13" s="227"/>
      <c r="C13" s="228"/>
      <c r="D13" s="235"/>
      <c r="E13" s="148"/>
      <c r="F13" s="265"/>
      <c r="I13" s="152" t="s">
        <v>7409</v>
      </c>
      <c r="J13" s="288">
        <f>13.430233746102*(+B!Fak_1)</f>
        <v>0.13430233746101999</v>
      </c>
      <c r="K13" s="288">
        <f>129.809764658474*(+B!Fak_1)</f>
        <v>1.29809764658474</v>
      </c>
      <c r="L13" s="288">
        <f>204.002294639637*(+B!Fak_1)</f>
        <v>2.0400229463963702</v>
      </c>
      <c r="M13" s="288">
        <f>266.404177823064*(+B!Fak_1)</f>
        <v>2.66404177823064</v>
      </c>
      <c r="N13" s="288">
        <f>124.706097836086*(+B!Fak_1)</f>
        <v>1.2470609783608599</v>
      </c>
      <c r="O13" s="288">
        <f>334.441337845656*(+B!Fak_1)</f>
        <v>3.3444133784565602</v>
      </c>
      <c r="P13" s="288">
        <f>264.112752443855*(+B!Fak_1)</f>
        <v>2.6411275244385504</v>
      </c>
      <c r="Q13" s="288">
        <f>326.18074421986*(+B!Fak_1)</f>
        <v>3.2618074421986001</v>
      </c>
      <c r="R13" s="288">
        <f>7.27551740175737*(+B!Fak_1)</f>
        <v>7.2755174017573698E-2</v>
      </c>
      <c r="S13" s="289">
        <f>1670.36292061449*(+B!Fak_1)</f>
        <v>16.7036292061449</v>
      </c>
      <c r="T13" s="172" t="str">
        <f t="shared" si="0"/>
        <v>km²</v>
      </c>
      <c r="U13" s="160"/>
      <c r="V13" s="161">
        <f t="shared" si="1"/>
        <v>0.12402113184109131</v>
      </c>
      <c r="W13" s="364"/>
      <c r="X13" s="163"/>
      <c r="Y13" s="159"/>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4">
        <f t="shared" si="2"/>
        <v>1670.3629206144899</v>
      </c>
      <c r="BP13" s="164">
        <f t="shared" si="3"/>
        <v>207.16030000000001</v>
      </c>
      <c r="BQ13" s="164">
        <f t="shared" si="4"/>
        <v>1463.2026206144899</v>
      </c>
    </row>
    <row r="14" spans="1:69" s="147" customFormat="1" ht="19.5" customHeight="1" thickTop="1" x14ac:dyDescent="0.3">
      <c r="B14" s="227"/>
      <c r="C14" s="228"/>
      <c r="D14" s="235"/>
      <c r="E14" s="148"/>
      <c r="F14" s="265"/>
      <c r="I14" s="152" t="s">
        <v>7549</v>
      </c>
      <c r="J14" s="288">
        <f>74.6764299958134*(+B!Fak_1)</f>
        <v>0.74676429995813398</v>
      </c>
      <c r="K14" s="288">
        <f>585.399736868365*(+B!Fak_1)</f>
        <v>5.8539973686836504</v>
      </c>
      <c r="L14" s="288">
        <f>345.251240320426*(+B!Fak_1)</f>
        <v>3.4525124032042602</v>
      </c>
      <c r="M14" s="288">
        <f>186.687291020517*(+B!Fak_1)</f>
        <v>1.86687291020517</v>
      </c>
      <c r="N14" s="288">
        <f>255.625850218064*(+B!Fak_1)</f>
        <v>2.5562585021806399</v>
      </c>
      <c r="O14" s="288">
        <f>615.347751301413*(+B!Fak_1)</f>
        <v>6.1534775130141304</v>
      </c>
      <c r="P14" s="288">
        <f>274.313495071424*(+B!Fak_1)</f>
        <v>2.7431349507142397</v>
      </c>
      <c r="Q14" s="288">
        <f>464.644598254405*(+B!Fak_1)</f>
        <v>4.6464459825440505</v>
      </c>
      <c r="R14" s="288">
        <f>33.7082768566674*(+B!Fak_1)</f>
        <v>0.33708276856667402</v>
      </c>
      <c r="S14" s="290">
        <f>2835.6546699071*(+B!Fak_1)</f>
        <v>28.356546699071</v>
      </c>
      <c r="T14" s="172" t="str">
        <f t="shared" si="0"/>
        <v>km²</v>
      </c>
      <c r="U14" s="160"/>
      <c r="V14" s="161">
        <f t="shared" si="1"/>
        <v>0.14665932506288737</v>
      </c>
      <c r="W14" s="364"/>
      <c r="X14" s="163"/>
      <c r="Y14" s="159"/>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4">
        <f t="shared" si="2"/>
        <v>2835.6546699071</v>
      </c>
      <c r="BP14" s="164">
        <f t="shared" si="3"/>
        <v>415.87519999999995</v>
      </c>
      <c r="BQ14" s="164">
        <f t="shared" si="4"/>
        <v>2419.7794699071001</v>
      </c>
    </row>
    <row r="15" spans="1:69" s="147" customFormat="1" ht="19.5" customHeight="1" x14ac:dyDescent="0.3">
      <c r="B15" s="227"/>
      <c r="C15" s="228"/>
      <c r="D15" s="235"/>
      <c r="E15" s="148"/>
      <c r="F15" s="265"/>
      <c r="I15" s="152" t="s">
        <v>7519</v>
      </c>
      <c r="J15" s="288">
        <f>8.68011225764406*(+B!Fak_1)</f>
        <v>8.6801122576440598E-2</v>
      </c>
      <c r="K15" s="288">
        <f>171.368350421123*(+B!Fak_1)</f>
        <v>1.7136835042112302</v>
      </c>
      <c r="L15" s="288">
        <f>20.4385957910353*(+B!Fak_1)</f>
        <v>0.20438595791035302</v>
      </c>
      <c r="M15" s="288">
        <f>43.4966873648769*(+B!Fak_1)</f>
        <v>0.43496687364876901</v>
      </c>
      <c r="N15" s="288">
        <f>36.0565873977216*(+B!Fak_1)</f>
        <v>0.36056587397721601</v>
      </c>
      <c r="O15" s="288">
        <f>433.509255985698*(+B!Fak_1)</f>
        <v>4.3350925598569807</v>
      </c>
      <c r="P15" s="288">
        <f>133.855513417063*(+B!Fak_1)</f>
        <v>1.3385551341706301</v>
      </c>
      <c r="Q15" s="288">
        <f>155.597780385773*(+B!Fak_1)</f>
        <v>1.5559778038577301</v>
      </c>
      <c r="R15" s="288">
        <f>0.938162435917181*(+B!Fak_1)</f>
        <v>9.3816243591718102E-3</v>
      </c>
      <c r="S15" s="290">
        <f>1003.94104545685*(+B!Fak_1)</f>
        <v>10.0394104545685</v>
      </c>
      <c r="T15" s="172" t="str">
        <f t="shared" si="0"/>
        <v>km²</v>
      </c>
      <c r="U15" s="160"/>
      <c r="V15" s="161">
        <f t="shared" si="1"/>
        <v>7.4837661374638195E-2</v>
      </c>
      <c r="W15" s="364"/>
      <c r="X15" s="163"/>
      <c r="Y15" s="159"/>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4">
        <f t="shared" si="2"/>
        <v>1003.94104545685</v>
      </c>
      <c r="BP15" s="164">
        <f t="shared" si="3"/>
        <v>75.132599999999996</v>
      </c>
      <c r="BQ15" s="164">
        <f t="shared" si="4"/>
        <v>928.80844545685</v>
      </c>
    </row>
    <row r="16" spans="1:69" s="147" customFormat="1" ht="21" customHeight="1" x14ac:dyDescent="0.3">
      <c r="B16" s="227"/>
      <c r="C16" s="228"/>
      <c r="D16" s="235"/>
      <c r="E16" s="148"/>
      <c r="F16" s="265"/>
      <c r="I16" s="152"/>
      <c r="J16" s="168"/>
      <c r="K16" s="168"/>
      <c r="L16" s="168"/>
      <c r="M16" s="168"/>
      <c r="N16" s="168"/>
      <c r="O16" s="168"/>
      <c r="P16" s="168"/>
      <c r="Q16" s="168"/>
      <c r="R16" s="168"/>
      <c r="S16" s="170"/>
      <c r="T16" s="172"/>
      <c r="U16" s="168"/>
    </row>
    <row r="17" spans="2:23" s="147" customFormat="1" ht="42.75" customHeight="1" x14ac:dyDescent="0.3">
      <c r="B17" s="227"/>
      <c r="C17" s="228"/>
      <c r="D17" s="235"/>
      <c r="E17" s="148"/>
      <c r="F17" s="265"/>
      <c r="I17" s="152" t="s">
        <v>7520</v>
      </c>
      <c r="J17" s="371"/>
      <c r="K17" s="371"/>
      <c r="L17" s="371"/>
      <c r="M17" s="371"/>
      <c r="N17" s="371"/>
      <c r="O17" s="371"/>
      <c r="P17" s="371"/>
      <c r="Q17" s="371"/>
      <c r="R17" s="371"/>
      <c r="S17" s="371"/>
      <c r="T17" s="172"/>
      <c r="U17" s="168"/>
    </row>
    <row r="18" spans="2:23" s="147" customFormat="1" ht="42.75" customHeight="1" x14ac:dyDescent="0.3">
      <c r="B18" s="227"/>
      <c r="C18" s="228"/>
      <c r="D18" s="235"/>
      <c r="E18" s="148"/>
      <c r="F18" s="265"/>
      <c r="J18" s="173">
        <f t="shared" ref="J18:S18" si="5">FI_gesamt/EW*10000</f>
        <v>560.69059345843368</v>
      </c>
      <c r="K18" s="173">
        <f t="shared" si="5"/>
        <v>1005.8189348323452</v>
      </c>
      <c r="L18" s="173">
        <f t="shared" si="5"/>
        <v>1807.6320937820437</v>
      </c>
      <c r="M18" s="173">
        <f t="shared" si="5"/>
        <v>1744.2599751538758</v>
      </c>
      <c r="N18" s="173">
        <f t="shared" si="5"/>
        <v>861.39965475809868</v>
      </c>
      <c r="O18" s="173">
        <f t="shared" si="5"/>
        <v>1303.2500299605908</v>
      </c>
      <c r="P18" s="173">
        <f t="shared" si="5"/>
        <v>1517.6173112527583</v>
      </c>
      <c r="Q18" s="173">
        <f t="shared" si="5"/>
        <v>1396.4355457136423</v>
      </c>
      <c r="R18" s="173">
        <f t="shared" si="5"/>
        <v>854.9656423367893</v>
      </c>
      <c r="S18" s="173">
        <f t="shared" si="5"/>
        <v>1270.7102523513331</v>
      </c>
      <c r="T18" s="171" t="s">
        <v>7413</v>
      </c>
    </row>
    <row r="19" spans="2:23" s="147" customFormat="1" ht="42.75" customHeight="1" x14ac:dyDescent="0.3">
      <c r="B19" s="227"/>
      <c r="C19" s="228"/>
      <c r="D19" s="235"/>
      <c r="E19" s="148"/>
      <c r="F19" s="265"/>
      <c r="I19" s="152" t="s">
        <v>7550</v>
      </c>
      <c r="J19" s="372"/>
      <c r="K19" s="372"/>
      <c r="L19" s="372"/>
      <c r="M19" s="372"/>
      <c r="N19" s="372"/>
      <c r="O19" s="372"/>
      <c r="P19" s="372"/>
      <c r="Q19" s="372"/>
      <c r="R19" s="372"/>
      <c r="S19" s="372"/>
      <c r="T19" s="171"/>
      <c r="U19" s="168"/>
    </row>
    <row r="20" spans="2:23" s="147" customFormat="1" ht="66.75" customHeight="1" x14ac:dyDescent="0.3">
      <c r="B20" s="227"/>
      <c r="C20" s="228"/>
      <c r="D20" s="235"/>
      <c r="E20" s="148"/>
      <c r="F20" s="265"/>
      <c r="I20" s="245"/>
      <c r="J20" s="174">
        <f t="shared" ref="J20:S20" si="6">100*Fak_Einheit*FI_gesamt/DSR</f>
        <v>29.29639516108562</v>
      </c>
      <c r="K20" s="174">
        <f t="shared" si="6"/>
        <v>17.632917350394031</v>
      </c>
      <c r="L20" s="174">
        <f t="shared" si="6"/>
        <v>16.281913540447103</v>
      </c>
      <c r="M20" s="174">
        <f t="shared" si="6"/>
        <v>18.139897397589095</v>
      </c>
      <c r="N20" s="174">
        <f t="shared" si="6"/>
        <v>22.635846025915345</v>
      </c>
      <c r="O20" s="174">
        <f t="shared" si="6"/>
        <v>9.7681335449616533</v>
      </c>
      <c r="P20" s="174">
        <f t="shared" si="6"/>
        <v>15.105332302516395</v>
      </c>
      <c r="Q20" s="174">
        <f t="shared" si="6"/>
        <v>18.896673338679026</v>
      </c>
      <c r="R20" s="174">
        <f t="shared" si="6"/>
        <v>19.386387001033885</v>
      </c>
      <c r="S20" s="174">
        <f t="shared" si="6"/>
        <v>0.15218679707634863</v>
      </c>
      <c r="T20" s="373" t="s">
        <v>7418</v>
      </c>
      <c r="U20" s="373"/>
      <c r="V20" s="373"/>
      <c r="W20" s="266"/>
    </row>
    <row r="21" spans="2:23" ht="51" customHeight="1" x14ac:dyDescent="0.3">
      <c r="G21" s="176"/>
      <c r="H21" s="176"/>
      <c r="I21" s="369" t="s">
        <v>7474</v>
      </c>
      <c r="J21" s="369"/>
      <c r="K21" s="369"/>
      <c r="L21" s="369"/>
      <c r="M21" s="369"/>
      <c r="N21" s="369"/>
      <c r="O21" s="369"/>
      <c r="P21" s="369"/>
      <c r="Q21" s="369"/>
      <c r="R21" s="369"/>
      <c r="S21" s="369"/>
      <c r="T21" s="369"/>
      <c r="U21" s="369"/>
      <c r="V21" s="175"/>
    </row>
    <row r="22" spans="2:23" ht="49.5" hidden="1" customHeight="1" x14ac:dyDescent="0.3">
      <c r="H22" s="177" t="s">
        <v>7522</v>
      </c>
      <c r="I22" s="138"/>
      <c r="J22" s="362">
        <v>482.78219999999999</v>
      </c>
      <c r="K22" s="362">
        <v>2241.0803999999998</v>
      </c>
      <c r="L22" s="362">
        <v>1765.2434000000001</v>
      </c>
      <c r="M22" s="362">
        <v>1116.5864999999999</v>
      </c>
      <c r="N22" s="362">
        <v>1661.6483000000001</v>
      </c>
      <c r="O22" s="362">
        <v>4087.1588999999999</v>
      </c>
      <c r="P22" s="362">
        <v>2603.2682</v>
      </c>
      <c r="Q22" s="362">
        <v>3254.2921000000001</v>
      </c>
      <c r="R22" s="362">
        <v>94.76</v>
      </c>
      <c r="S22" s="362">
        <v>17306.819999999996</v>
      </c>
      <c r="U22" s="138"/>
    </row>
    <row r="23" spans="2:23" ht="18" hidden="1" x14ac:dyDescent="0.35">
      <c r="B23" s="232"/>
      <c r="C23" s="233"/>
      <c r="D23" s="239"/>
      <c r="E23" s="138"/>
      <c r="H23" s="177" t="s">
        <v>7521</v>
      </c>
      <c r="I23" s="138"/>
      <c r="J23" s="362">
        <f>Fak_Einheit/IF(denom_1="absolut",1,Fak_Einheit*B!VS_gesamt)</f>
        <v>0.01</v>
      </c>
      <c r="K23" s="362">
        <f>Fak_Einheit/IF(denom_1="absolut",1,Fak_Einheit*B!VS_gesamt)</f>
        <v>0.01</v>
      </c>
      <c r="L23" s="362">
        <f>Fak_Einheit/IF(denom_1="absolut",1,Fak_Einheit*B!VS_gesamt)</f>
        <v>0.01</v>
      </c>
      <c r="M23" s="362">
        <f>Fak_Einheit/IF(denom_1="absolut",1,Fak_Einheit*B!VS_gesamt)</f>
        <v>0.01</v>
      </c>
      <c r="N23" s="362">
        <f>Fak_Einheit/IF(denom_1="absolut",1,Fak_Einheit*B!VS_gesamt)</f>
        <v>0.01</v>
      </c>
      <c r="O23" s="362">
        <f>Fak_Einheit/IF(denom_1="absolut",1,Fak_Einheit*B!VS_gesamt)</f>
        <v>0.01</v>
      </c>
      <c r="P23" s="362">
        <f>Fak_Einheit/IF(denom_1="absolut",1,Fak_Einheit*B!VS_gesamt)</f>
        <v>0.01</v>
      </c>
      <c r="Q23" s="362">
        <f>Fak_Einheit/IF(denom_1="absolut",1,Fak_Einheit*B!VS_gesamt)</f>
        <v>0.01</v>
      </c>
      <c r="R23" s="362">
        <f>Fak_Einheit/IF(denom_1="absolut",1,Fak_Einheit*B!VS_gesamt)</f>
        <v>0.01</v>
      </c>
      <c r="S23" s="362">
        <f>Fak_Einheit/IF(denom_1="absolut",1,Fak_Einheit*B!VS_gesamt)</f>
        <v>0.01</v>
      </c>
      <c r="U23" s="138"/>
    </row>
    <row r="24" spans="2:23" ht="86.25" customHeight="1" x14ac:dyDescent="0.4">
      <c r="G24" s="144"/>
      <c r="H24" s="210"/>
      <c r="I24" s="210"/>
      <c r="J24" s="278" t="str">
        <f>+J9</f>
        <v>Eisenstadt(Stadt)</v>
      </c>
      <c r="K24" s="278" t="str">
        <f t="shared" ref="K24:R24" si="7">+K9</f>
        <v>Eisenstadt-Umgebung</v>
      </c>
      <c r="L24" s="278" t="str">
        <f t="shared" si="7"/>
        <v>Güssing</v>
      </c>
      <c r="M24" s="278" t="str">
        <f t="shared" si="7"/>
        <v>Jennersdorf</v>
      </c>
      <c r="N24" s="278" t="str">
        <f t="shared" si="7"/>
        <v>Mattersburg</v>
      </c>
      <c r="O24" s="278" t="str">
        <f t="shared" si="7"/>
        <v>Neusiedl am See</v>
      </c>
      <c r="P24" s="278" t="str">
        <f t="shared" si="7"/>
        <v>Oberpullendorf</v>
      </c>
      <c r="Q24" s="278" t="str">
        <f t="shared" si="7"/>
        <v>Oberwart</v>
      </c>
      <c r="R24" s="278" t="str">
        <f t="shared" si="7"/>
        <v>Rust(Stadt)</v>
      </c>
      <c r="S24" s="279" t="str">
        <f>+BL</f>
        <v>B</v>
      </c>
      <c r="T24" s="210"/>
      <c r="U24" s="147"/>
      <c r="V24" s="147"/>
      <c r="W24" s="147"/>
    </row>
    <row r="25" spans="2:23" ht="19.5" customHeight="1" thickBot="1" x14ac:dyDescent="0.35">
      <c r="G25" s="146"/>
      <c r="I25" s="158" t="s">
        <v>7516</v>
      </c>
      <c r="J25" s="280">
        <f>482.7822*(+B!Fak_2)</f>
        <v>4.8278220000000003</v>
      </c>
      <c r="K25" s="280">
        <f>2241.0804*(+B!Fak_2)</f>
        <v>22.410803999999999</v>
      </c>
      <c r="L25" s="280">
        <f>1765.2434*(+B!Fak_2)</f>
        <v>17.652434</v>
      </c>
      <c r="M25" s="280">
        <f>1116.5865*(+B!Fak_2)</f>
        <v>11.165864999999998</v>
      </c>
      <c r="N25" s="280">
        <f>1661.6483*(+B!Fak_2)</f>
        <v>16.616483000000002</v>
      </c>
      <c r="O25" s="280">
        <f>4087.1589*(+B!Fak_2)</f>
        <v>40.871589</v>
      </c>
      <c r="P25" s="280">
        <f>2603.2682*(+B!Fak_2)</f>
        <v>26.032682000000001</v>
      </c>
      <c r="Q25" s="280">
        <f>3254.2921*(+B!Fak_2)</f>
        <v>32.542921</v>
      </c>
      <c r="R25" s="280">
        <f>94.76*(+B!Fak_2)</f>
        <v>0.94760000000000011</v>
      </c>
      <c r="S25" s="281">
        <f>17306.82*(B!Fak_2)</f>
        <v>173.06819999999999</v>
      </c>
      <c r="T25" s="159" t="str">
        <f t="shared" ref="T25:T30" si="8">IF(denom_1="absolut",Einheit,"% VS gesamt")</f>
        <v>km²</v>
      </c>
      <c r="U25" s="160"/>
      <c r="V25" s="161">
        <f>BP10/BO10</f>
        <v>0.45768072764356332</v>
      </c>
      <c r="W25" s="364" t="s">
        <v>7528</v>
      </c>
    </row>
    <row r="26" spans="2:23" ht="19.5" customHeight="1" thickTop="1" thickBot="1" x14ac:dyDescent="0.35">
      <c r="F26" s="138" t="s">
        <v>7411</v>
      </c>
      <c r="G26" s="144"/>
      <c r="I26" s="148" t="s">
        <v>25</v>
      </c>
      <c r="J26" s="282">
        <f>166.3689*(+B!Fak_2)</f>
        <v>1.663689</v>
      </c>
      <c r="K26" s="282">
        <f>1018.4999*(+B!Fak_2)</f>
        <v>10.184999000000001</v>
      </c>
      <c r="L26" s="282">
        <f>928.5396*(+B!Fak_2)</f>
        <v>9.2853960000000004</v>
      </c>
      <c r="M26" s="282">
        <f>565.5117*(+B!Fak_2)</f>
        <v>5.6551170000000006</v>
      </c>
      <c r="N26" s="282">
        <f>693.415*(+B!Fak_2)</f>
        <v>6.9341499999999998</v>
      </c>
      <c r="O26" s="282">
        <f>2233.4872*(+B!Fak_2)</f>
        <v>22.334872000000001</v>
      </c>
      <c r="P26" s="282">
        <f>1459.137*(+B!Fak_2)</f>
        <v>14.59137</v>
      </c>
      <c r="Q26" s="282">
        <f>1688.0064*(+B!Fak_2)</f>
        <v>16.880064000000001</v>
      </c>
      <c r="R26" s="282">
        <f>38.1078*(+B!Fak_2)</f>
        <v>0.38107799999999997</v>
      </c>
      <c r="S26" s="283">
        <f>8791.0735*(B!Fak_2)</f>
        <v>87.910735000000003</v>
      </c>
      <c r="T26" s="159" t="str">
        <f t="shared" si="8"/>
        <v>km²</v>
      </c>
      <c r="U26" s="160"/>
      <c r="V26" s="161">
        <f t="shared" ref="V26:V30" si="9">BP11/BO11</f>
        <v>0.67626035637026494</v>
      </c>
      <c r="W26" s="364"/>
    </row>
    <row r="27" spans="2:23" ht="19.5" customHeight="1" thickTop="1" thickBot="1" x14ac:dyDescent="0.35">
      <c r="G27" s="222"/>
      <c r="I27" s="148" t="s">
        <v>7410</v>
      </c>
      <c r="J27" s="282">
        <f>301.56*(+B!Fak_2)</f>
        <v>3.0156000000000001</v>
      </c>
      <c r="K27" s="282">
        <f>1059.202*(+B!Fak_2)</f>
        <v>10.59202</v>
      </c>
      <c r="L27" s="282">
        <f>784.6509*(+B!Fak_2)</f>
        <v>7.8465090000000002</v>
      </c>
      <c r="M27" s="282">
        <f>517.2267*(+B!Fak_2)</f>
        <v>5.1722670000000006</v>
      </c>
      <c r="N27" s="282">
        <f>892.2982*(+B!Fak_2)</f>
        <v>8.9229819999999993</v>
      </c>
      <c r="O27" s="282">
        <f>1685.8448*(+B!Fak_2)</f>
        <v>16.858448000000003</v>
      </c>
      <c r="P27" s="282">
        <f>1067.5127*(+B!Fak_2)</f>
        <v>10.675127</v>
      </c>
      <c r="Q27" s="282">
        <f>1463.8202*(+B!Fak_2)</f>
        <v>14.638202000000001</v>
      </c>
      <c r="R27" s="282">
        <f>45.4629*(+B!Fak_2)</f>
        <v>0.45462900000000001</v>
      </c>
      <c r="S27" s="283">
        <f>7817.5784*(B!Fak_2)</f>
        <v>78.175784000000007</v>
      </c>
      <c r="T27" s="159" t="str">
        <f t="shared" si="8"/>
        <v>km²</v>
      </c>
      <c r="U27" s="160"/>
      <c r="V27" s="161">
        <f t="shared" si="9"/>
        <v>0.40495771337310266</v>
      </c>
      <c r="W27" s="364"/>
    </row>
    <row r="28" spans="2:23" ht="19.5" customHeight="1" thickTop="1" thickBot="1" x14ac:dyDescent="0.35">
      <c r="G28" s="222"/>
      <c r="I28" s="148" t="s">
        <v>7409</v>
      </c>
      <c r="J28" s="282">
        <f>4.5454*(+B!Fak_2)</f>
        <v>4.5454000000000001E-2</v>
      </c>
      <c r="K28" s="282">
        <f>30.8314*(+B!Fak_2)</f>
        <v>0.30831399999999998</v>
      </c>
      <c r="L28" s="282">
        <f>17.6409*(+B!Fak_2)</f>
        <v>0.17640899999999998</v>
      </c>
      <c r="M28" s="282">
        <f>16.5525*(+B!Fak_2)</f>
        <v>0.16552499999999998</v>
      </c>
      <c r="N28" s="282">
        <f>21.4484*(+B!Fak_2)</f>
        <v>0.21448400000000001</v>
      </c>
      <c r="O28" s="282">
        <f>43.4947*(+B!Fak_2)</f>
        <v>0.43494700000000003</v>
      </c>
      <c r="P28" s="282">
        <f>35.8256*(+B!Fak_2)</f>
        <v>0.35825600000000002</v>
      </c>
      <c r="Q28" s="282">
        <f>33.1212*(+B!Fak_2)</f>
        <v>0.33121200000000001</v>
      </c>
      <c r="R28" s="282">
        <f>3.7002*(+B!Fak_2)</f>
        <v>3.7002E-2</v>
      </c>
      <c r="S28" s="283">
        <f>207.1603*(B!Fak_2)</f>
        <v>2.0716030000000001</v>
      </c>
      <c r="T28" s="159" t="str">
        <f t="shared" si="8"/>
        <v>km²</v>
      </c>
      <c r="U28" s="160"/>
      <c r="V28" s="161">
        <f t="shared" si="9"/>
        <v>0.12402113184109131</v>
      </c>
      <c r="W28" s="364"/>
    </row>
    <row r="29" spans="2:23" ht="19.5" customHeight="1" thickTop="1" x14ac:dyDescent="0.3">
      <c r="G29" s="222"/>
      <c r="I29" s="148" t="s">
        <v>7549</v>
      </c>
      <c r="J29" s="282">
        <f>8.9612*(+B!Fak_2)</f>
        <v>8.9611999999999997E-2</v>
      </c>
      <c r="K29" s="282">
        <f>118.3842*(+B!Fak_2)</f>
        <v>1.1838420000000001</v>
      </c>
      <c r="L29" s="282">
        <f>29.9577*(+B!Fak_2)</f>
        <v>0.29957699999999998</v>
      </c>
      <c r="M29" s="282">
        <f>15.0274*(+B!Fak_2)</f>
        <v>0.15027399999999999</v>
      </c>
      <c r="N29" s="282">
        <f>49.8792*(+B!Fak_2)</f>
        <v>0.49879199999999996</v>
      </c>
      <c r="O29" s="282">
        <f>101.3904*(+B!Fak_2)</f>
        <v>1.0139039999999999</v>
      </c>
      <c r="P29" s="282">
        <f>30.4476*(+B!Fak_2)</f>
        <v>0.30447600000000002</v>
      </c>
      <c r="Q29" s="282">
        <f>54.8192*(+B!Fak_2)</f>
        <v>0.54819200000000001</v>
      </c>
      <c r="R29" s="282">
        <f>7.0083*(+B!Fak_2)</f>
        <v>7.0083000000000006E-2</v>
      </c>
      <c r="S29" s="204">
        <f>415.8752*(B!Fak_2)</f>
        <v>4.1587519999999998</v>
      </c>
      <c r="T29" s="159" t="str">
        <f t="shared" si="8"/>
        <v>km²</v>
      </c>
      <c r="U29" s="160"/>
      <c r="V29" s="161">
        <f t="shared" si="9"/>
        <v>0.14665932506288737</v>
      </c>
      <c r="W29" s="364"/>
    </row>
    <row r="30" spans="2:23" ht="19.5" customHeight="1" x14ac:dyDescent="0.3">
      <c r="G30" s="222"/>
      <c r="I30" s="148" t="s">
        <v>7519</v>
      </c>
      <c r="J30" s="282">
        <f>1.3467*(+B!Fak_2)</f>
        <v>1.3467E-2</v>
      </c>
      <c r="K30" s="282">
        <f>14.1629*(+B!Fak_2)</f>
        <v>0.141629</v>
      </c>
      <c r="L30" s="282">
        <f>4.4543*(+B!Fak_2)</f>
        <v>4.4542999999999999E-2</v>
      </c>
      <c r="M30" s="282">
        <f>2.2682*(+B!Fak_2)</f>
        <v>2.2682000000000004E-2</v>
      </c>
      <c r="N30" s="282">
        <f>4.6075*(+B!Fak_2)</f>
        <v>4.6074999999999998E-2</v>
      </c>
      <c r="O30" s="282">
        <f>22.9418*(+B!Fak_2)</f>
        <v>0.22941800000000001</v>
      </c>
      <c r="P30" s="282">
        <f>10.3453*(+B!Fak_2)</f>
        <v>0.103453</v>
      </c>
      <c r="Q30" s="282">
        <f>14.5251*(+B!Fak_2)</f>
        <v>0.14525099999999999</v>
      </c>
      <c r="R30" s="282">
        <f>0.4808*(+B!Fak_2)</f>
        <v>4.8079999999999998E-3</v>
      </c>
      <c r="S30" s="204">
        <f>75.1326*(B!Fak_2)</f>
        <v>0.75132599999999994</v>
      </c>
      <c r="T30" s="159" t="str">
        <f t="shared" si="8"/>
        <v>km²</v>
      </c>
      <c r="U30" s="160"/>
      <c r="V30" s="161">
        <f t="shared" si="9"/>
        <v>7.4837661374638195E-2</v>
      </c>
      <c r="W30" s="364"/>
    </row>
    <row r="31" spans="2:23" ht="19.5" customHeight="1" x14ac:dyDescent="0.3">
      <c r="G31" s="222"/>
      <c r="I31" s="148"/>
      <c r="J31" s="284"/>
      <c r="K31" s="284"/>
      <c r="L31" s="284"/>
      <c r="M31" s="284"/>
      <c r="N31" s="284"/>
      <c r="O31" s="284"/>
      <c r="P31" s="284"/>
      <c r="Q31" s="284"/>
      <c r="R31" s="284"/>
      <c r="S31" s="284"/>
      <c r="T31" s="159"/>
      <c r="U31" s="160"/>
      <c r="V31" s="189"/>
      <c r="W31" s="147"/>
    </row>
    <row r="32" spans="2:23" ht="19.5" customHeight="1" x14ac:dyDescent="0.3">
      <c r="G32" s="144"/>
      <c r="I32" s="148" t="s">
        <v>7514</v>
      </c>
      <c r="J32" s="282">
        <f t="shared" ref="J32:S32" si="10">+VS_gesamt*10000/EW</f>
        <v>316.78622047244096</v>
      </c>
      <c r="K32" s="282">
        <f t="shared" si="10"/>
        <v>506.37874234584359</v>
      </c>
      <c r="L32" s="282">
        <f t="shared" si="10"/>
        <v>687.72144304191988</v>
      </c>
      <c r="M32" s="282">
        <f t="shared" si="10"/>
        <v>650.76728056883076</v>
      </c>
      <c r="N32" s="282">
        <f t="shared" si="10"/>
        <v>409.34355677087183</v>
      </c>
      <c r="O32" s="282">
        <f t="shared" si="10"/>
        <v>672.16375028780055</v>
      </c>
      <c r="P32" s="282">
        <f t="shared" si="10"/>
        <v>693.76084639164264</v>
      </c>
      <c r="Q32" s="282">
        <f t="shared" si="10"/>
        <v>598.73274704248161</v>
      </c>
      <c r="R32" s="282">
        <f t="shared" si="10"/>
        <v>477.62096774193549</v>
      </c>
      <c r="S32" s="282">
        <f t="shared" si="10"/>
        <v>581.57959292029443</v>
      </c>
      <c r="T32" s="224" t="s">
        <v>7513</v>
      </c>
      <c r="U32" s="147"/>
      <c r="V32" s="147"/>
      <c r="W32" s="147"/>
    </row>
    <row r="33" spans="7:35" ht="19.5" customHeight="1" x14ac:dyDescent="0.3">
      <c r="G33" s="144"/>
      <c r="I33" s="148" t="s">
        <v>7472</v>
      </c>
      <c r="J33" s="285">
        <f>100*Fak_Einheit*VS_gesamt/B!DSR</f>
        <v>16.552256101359827</v>
      </c>
      <c r="K33" s="285">
        <f>100*Fak_Einheit*VS_gesamt/B!DSR</f>
        <v>8.8772782083974704</v>
      </c>
      <c r="L33" s="285">
        <f>100*Fak_Einheit*VS_gesamt/B!DSR</f>
        <v>6.1945243802858663</v>
      </c>
      <c r="M33" s="285">
        <f>100*Fak_Einheit*VS_gesamt/B!DSR</f>
        <v>6.7678281147196904</v>
      </c>
      <c r="N33" s="285">
        <f>100*Fak_Einheit*VS_gesamt/B!DSR</f>
        <v>10.75672328353563</v>
      </c>
      <c r="O33" s="285">
        <f>100*Fak_Einheit*VS_gesamt/B!DSR</f>
        <v>5.0380089207379761</v>
      </c>
      <c r="P33" s="285">
        <f>100*Fak_Einheit*VS_gesamt/B!DSR</f>
        <v>6.905224423520985</v>
      </c>
      <c r="Q33" s="285">
        <f>100*Fak_Einheit*VS_gesamt/B!DSR</f>
        <v>8.1020976390641177</v>
      </c>
      <c r="R33" s="285">
        <f>100*Fak_Einheit*VS_gesamt/B!DSR</f>
        <v>10.830078382034008</v>
      </c>
      <c r="S33" s="285">
        <f>100*Fak_Einheit*VS_gesamt/B!DSR</f>
        <v>6.9652964023646582E-2</v>
      </c>
      <c r="T33" s="210" t="s">
        <v>7418</v>
      </c>
      <c r="U33" s="147"/>
      <c r="V33" s="147"/>
      <c r="W33" s="147"/>
    </row>
    <row r="34" spans="7:35" ht="19.5" customHeight="1" x14ac:dyDescent="0.3">
      <c r="G34" s="144"/>
      <c r="I34" s="148"/>
      <c r="J34" s="285"/>
      <c r="K34" s="285"/>
      <c r="L34" s="285"/>
      <c r="M34" s="285"/>
      <c r="N34" s="285"/>
      <c r="O34" s="285"/>
      <c r="P34" s="285"/>
      <c r="Q34" s="285"/>
      <c r="R34" s="285"/>
      <c r="S34" s="285"/>
      <c r="T34" s="210"/>
      <c r="U34" s="147"/>
      <c r="V34" s="147"/>
      <c r="W34" s="147"/>
    </row>
    <row r="35" spans="7:35" ht="19.5" customHeight="1" x14ac:dyDescent="0.3">
      <c r="G35" s="144"/>
      <c r="I35" s="369" t="s">
        <v>7415</v>
      </c>
      <c r="J35" s="369"/>
      <c r="K35" s="369"/>
      <c r="L35" s="369"/>
      <c r="M35" s="369"/>
      <c r="N35" s="369"/>
      <c r="O35" s="369"/>
      <c r="P35" s="369"/>
      <c r="Q35" s="369"/>
      <c r="R35" s="369"/>
      <c r="S35" s="369"/>
      <c r="T35" s="369"/>
      <c r="U35" s="369"/>
      <c r="V35" s="147"/>
      <c r="W35" s="147"/>
    </row>
    <row r="36" spans="7:35" ht="19.5" customHeight="1" x14ac:dyDescent="0.3">
      <c r="G36" s="144"/>
      <c r="I36" s="148"/>
      <c r="J36" s="285"/>
      <c r="K36" s="285"/>
      <c r="L36" s="285"/>
      <c r="M36" s="285"/>
      <c r="N36" s="285"/>
      <c r="O36" s="285"/>
      <c r="P36" s="285"/>
      <c r="Q36" s="285"/>
      <c r="R36" s="285"/>
      <c r="S36" s="285"/>
      <c r="T36" s="210"/>
      <c r="U36" s="147"/>
      <c r="V36" s="147"/>
      <c r="W36" s="147"/>
    </row>
    <row r="37" spans="7:35" ht="19.5" customHeight="1" x14ac:dyDescent="0.3">
      <c r="G37" s="144"/>
      <c r="I37" s="148"/>
      <c r="J37" s="285"/>
      <c r="K37" s="285"/>
      <c r="L37" s="285"/>
      <c r="M37" s="285"/>
      <c r="N37" s="285"/>
      <c r="O37" s="285"/>
      <c r="P37" s="285"/>
      <c r="Q37" s="285"/>
      <c r="R37" s="285"/>
      <c r="S37" s="285"/>
      <c r="T37" s="210"/>
      <c r="U37" s="147"/>
      <c r="V37" s="147"/>
      <c r="W37" s="147"/>
    </row>
    <row r="38" spans="7:35" ht="90.75" customHeight="1" x14ac:dyDescent="0.4">
      <c r="G38" s="144"/>
      <c r="I38" s="148"/>
      <c r="J38" s="338" t="str">
        <f>J24</f>
        <v>Eisenstadt(Stadt)</v>
      </c>
      <c r="K38" s="338" t="str">
        <f t="shared" ref="K38:R38" si="11">K24</f>
        <v>Eisenstadt-Umgebung</v>
      </c>
      <c r="L38" s="338" t="str">
        <f t="shared" si="11"/>
        <v>Güssing</v>
      </c>
      <c r="M38" s="338" t="str">
        <f t="shared" si="11"/>
        <v>Jennersdorf</v>
      </c>
      <c r="N38" s="338" t="str">
        <f t="shared" si="11"/>
        <v>Mattersburg</v>
      </c>
      <c r="O38" s="338" t="str">
        <f t="shared" si="11"/>
        <v>Neusiedl am See</v>
      </c>
      <c r="P38" s="338" t="str">
        <f t="shared" si="11"/>
        <v>Oberpullendorf</v>
      </c>
      <c r="Q38" s="338" t="str">
        <f t="shared" si="11"/>
        <v>Oberwart</v>
      </c>
      <c r="R38" s="338" t="str">
        <f t="shared" si="11"/>
        <v>Rust(Stadt)</v>
      </c>
      <c r="S38" s="277" t="str">
        <f>BL</f>
        <v>B</v>
      </c>
      <c r="T38" s="339"/>
      <c r="U38" s="339"/>
      <c r="V38" s="339"/>
      <c r="W38" s="339"/>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36"/>
      <c r="U39" s="336"/>
      <c r="V39" s="336"/>
      <c r="W39" s="336"/>
      <c r="X39" s="336"/>
      <c r="Y39" s="336"/>
      <c r="Z39" s="336"/>
      <c r="AA39" s="336"/>
      <c r="AB39" s="336"/>
      <c r="AC39" s="336"/>
      <c r="AD39" s="336"/>
      <c r="AE39" s="336"/>
      <c r="AF39" s="336"/>
      <c r="AG39" s="336"/>
      <c r="AH39" s="336"/>
    </row>
    <row r="40" spans="7:35" ht="19.5" customHeight="1" x14ac:dyDescent="0.3">
      <c r="G40" s="144"/>
      <c r="I40" s="148"/>
      <c r="J40" s="191">
        <f>Fak_1*556.49893</f>
        <v>5.5649892999999997</v>
      </c>
      <c r="K40" s="191">
        <f>Fak_1*2288.816071</f>
        <v>22.888160710000001</v>
      </c>
      <c r="L40" s="191">
        <f>Fak_1*3515.313319</f>
        <v>35.153133189999998</v>
      </c>
      <c r="M40" s="191">
        <f>Fak_1*2061.835565</f>
        <v>20.618355649999998</v>
      </c>
      <c r="N40" s="191">
        <f>Fak_1*2287.956334</f>
        <v>22.879563340000001</v>
      </c>
      <c r="O40" s="191">
        <f>Fak_1*3881.404438</f>
        <v>38.814044379999999</v>
      </c>
      <c r="P40" s="191">
        <f>Fak_1*3336.490176</f>
        <v>33.364901759999995</v>
      </c>
      <c r="Q40" s="191">
        <f>Fak_1*5016.383633</f>
        <v>50.163836330000002</v>
      </c>
      <c r="R40" s="191">
        <f>Fak_1*81.664346</f>
        <v>0.81664345999999999</v>
      </c>
      <c r="S40" s="191">
        <f>Fak_1*23026.362813</f>
        <v>230.26362813</v>
      </c>
      <c r="T40" s="210"/>
      <c r="U40" s="147"/>
      <c r="V40" s="147"/>
      <c r="W40" s="147"/>
    </row>
    <row r="41" spans="7:35" ht="19.5" customHeight="1" x14ac:dyDescent="0.3">
      <c r="G41" s="144"/>
      <c r="I41" s="148"/>
      <c r="J41" s="378" t="s">
        <v>7548</v>
      </c>
      <c r="K41" s="378"/>
      <c r="L41" s="378"/>
      <c r="M41" s="378"/>
      <c r="N41" s="378"/>
      <c r="O41" s="378"/>
      <c r="P41" s="378"/>
      <c r="Q41" s="378"/>
      <c r="R41" s="378"/>
      <c r="S41" s="378"/>
      <c r="T41" s="336"/>
      <c r="U41" s="336"/>
      <c r="V41" s="336"/>
      <c r="W41" s="336"/>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384"/>
      <c r="P42" s="384"/>
      <c r="Q42" s="384"/>
      <c r="R42" s="384"/>
      <c r="S42" s="384"/>
      <c r="T42" s="210"/>
      <c r="U42" s="147"/>
      <c r="V42" s="147"/>
      <c r="W42" s="147"/>
    </row>
    <row r="43" spans="7:35" ht="19.5" customHeight="1" x14ac:dyDescent="0.3">
      <c r="G43" s="144"/>
      <c r="I43" s="307" t="s">
        <v>7546</v>
      </c>
      <c r="J43" s="191">
        <f t="shared" ref="J43:S43" si="12">100*J44/Baulandwidmung</f>
        <v>22.921701394825682</v>
      </c>
      <c r="K43" s="191">
        <f t="shared" si="12"/>
        <v>25.947847514917243</v>
      </c>
      <c r="L43" s="191">
        <f t="shared" si="12"/>
        <v>43.240594167930553</v>
      </c>
      <c r="M43" s="191">
        <f t="shared" si="12"/>
        <v>35.847129254461187</v>
      </c>
      <c r="N43" s="191">
        <f t="shared" si="12"/>
        <v>28.92173002459058</v>
      </c>
      <c r="O43" s="191">
        <f t="shared" si="12"/>
        <v>28.040233306911059</v>
      </c>
      <c r="P43" s="191">
        <f t="shared" si="12"/>
        <v>32.777917281660244</v>
      </c>
      <c r="Q43" s="191">
        <f t="shared" si="12"/>
        <v>35.962599174679191</v>
      </c>
      <c r="R43" s="191">
        <f t="shared" si="12"/>
        <v>17.274587615016227</v>
      </c>
      <c r="S43" s="191">
        <f t="shared" si="12"/>
        <v>33.189962900633638</v>
      </c>
      <c r="T43" s="210"/>
      <c r="U43" s="147"/>
      <c r="V43" s="147"/>
      <c r="W43" s="147"/>
    </row>
    <row r="44" spans="7:35" ht="19.5" customHeight="1" x14ac:dyDescent="0.3">
      <c r="G44" s="144"/>
      <c r="I44" s="152" t="str">
        <f>"in " &amp; Einheit</f>
        <v>in km²</v>
      </c>
      <c r="J44" s="191">
        <f>Fak_1*127.559023</f>
        <v>1.2755902299999999</v>
      </c>
      <c r="K44" s="191">
        <f>Fak_1*593.898504</f>
        <v>5.9389850400000004</v>
      </c>
      <c r="L44" s="191">
        <f>Fak_1*1520.042366</f>
        <v>15.200423659999998</v>
      </c>
      <c r="M44" s="191">
        <f>Fak_1*739.10886</f>
        <v>7.3910886000000007</v>
      </c>
      <c r="N44" s="191">
        <f>Fak_1*661.716554</f>
        <v>6.6171655400000002</v>
      </c>
      <c r="O44" s="191">
        <f>Fak_1*1088.35486</f>
        <v>10.883548599999999</v>
      </c>
      <c r="P44" s="191">
        <f>Fak_1*1093.63199</f>
        <v>10.936319900000001</v>
      </c>
      <c r="Q44" s="191">
        <f>Fak_1*1804.021939</f>
        <v>18.040219390000001</v>
      </c>
      <c r="R44" s="191">
        <f>Fak_1*14.107179</f>
        <v>0.14107179</v>
      </c>
      <c r="S44" s="191">
        <f>Fak_1*7642.441275</f>
        <v>76.424412750000002</v>
      </c>
      <c r="T44" s="210"/>
      <c r="U44" s="147"/>
      <c r="V44" s="147"/>
      <c r="W44" s="147"/>
    </row>
    <row r="45" spans="7:35" ht="19.5" customHeight="1" x14ac:dyDescent="0.3">
      <c r="G45" s="144"/>
      <c r="I45" s="148"/>
      <c r="J45" s="378" t="s">
        <v>7476</v>
      </c>
      <c r="K45" s="378"/>
      <c r="L45" s="378"/>
      <c r="M45" s="378"/>
      <c r="N45" s="378"/>
      <c r="O45" s="378"/>
      <c r="P45" s="378"/>
      <c r="Q45" s="378"/>
      <c r="R45" s="378"/>
      <c r="S45" s="378"/>
      <c r="T45" s="336"/>
      <c r="U45" s="336"/>
      <c r="V45" s="336"/>
      <c r="W45" s="336"/>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384"/>
      <c r="P46" s="384"/>
      <c r="Q46" s="384"/>
      <c r="R46" s="384"/>
      <c r="S46" s="384"/>
      <c r="T46" s="210"/>
      <c r="U46" s="147"/>
      <c r="V46" s="147"/>
      <c r="W46" s="147"/>
    </row>
    <row r="47" spans="7:35" ht="19.5" customHeight="1" x14ac:dyDescent="0.3">
      <c r="G47" s="144"/>
      <c r="I47" s="307" t="s">
        <v>7546</v>
      </c>
      <c r="J47" s="191">
        <f t="shared" ref="J47:S47" si="13">100*J48/Baulandwidmung</f>
        <v>3.6734561196730429</v>
      </c>
      <c r="K47" s="191">
        <f t="shared" si="13"/>
        <v>7.1860752851206273</v>
      </c>
      <c r="L47" s="191">
        <f t="shared" si="13"/>
        <v>25.022691526405019</v>
      </c>
      <c r="M47" s="191">
        <f t="shared" si="13"/>
        <v>21.055541400557811</v>
      </c>
      <c r="N47" s="191">
        <f t="shared" si="13"/>
        <v>10.749182680861425</v>
      </c>
      <c r="O47" s="191">
        <f t="shared" si="13"/>
        <v>13.284912310392942</v>
      </c>
      <c r="P47" s="191">
        <f t="shared" si="13"/>
        <v>14.849718712314292</v>
      </c>
      <c r="Q47" s="191">
        <f t="shared" si="13"/>
        <v>19.228052309531169</v>
      </c>
      <c r="R47" s="191">
        <f t="shared" si="13"/>
        <v>1.463145250682593</v>
      </c>
      <c r="S47" s="191">
        <f t="shared" si="13"/>
        <v>16.161737727414657</v>
      </c>
      <c r="T47" s="210"/>
      <c r="U47" s="147"/>
      <c r="V47" s="147"/>
      <c r="W47" s="147"/>
    </row>
    <row r="48" spans="7:35" ht="19.5" customHeight="1" x14ac:dyDescent="0.3">
      <c r="G48" s="144"/>
      <c r="I48" s="152" t="str">
        <f>"in " &amp; Einheit</f>
        <v>in km²</v>
      </c>
      <c r="J48" s="191">
        <f>Fak_1*20.442744</f>
        <v>0.20442744000000002</v>
      </c>
      <c r="K48" s="191">
        <f>Fak_1*164.476046</f>
        <v>1.6447604600000001</v>
      </c>
      <c r="L48" s="191">
        <f>Fak_1*879.626008</f>
        <v>8.7962600799999997</v>
      </c>
      <c r="M48" s="191">
        <f>Fak_1*434.130641</f>
        <v>4.3413064100000005</v>
      </c>
      <c r="N48" s="191">
        <f>Fak_1*245.936606</f>
        <v>2.4593660600000002</v>
      </c>
      <c r="O48" s="191">
        <f>Fak_1*515.641176</f>
        <v>5.1564117600000001</v>
      </c>
      <c r="P48" s="191">
        <f>Fak_1*495.459406</f>
        <v>4.9545940599999998</v>
      </c>
      <c r="Q48" s="191">
        <f>Fak_1*964.552869</f>
        <v>9.6455286900000008</v>
      </c>
      <c r="R48" s="191">
        <f>Fak_1*1.194868</f>
        <v>1.1948680000000001E-2</v>
      </c>
      <c r="S48" s="191">
        <f>Fak_1*3721.460366</f>
        <v>37.214603660000002</v>
      </c>
      <c r="T48" s="210"/>
      <c r="U48" s="147"/>
      <c r="V48" s="147"/>
      <c r="W48" s="147"/>
    </row>
    <row r="49" spans="1:69" ht="19.5" customHeight="1" x14ac:dyDescent="0.3">
      <c r="G49" s="144"/>
      <c r="I49" s="148"/>
      <c r="J49" s="378" t="s">
        <v>7420</v>
      </c>
      <c r="K49" s="378"/>
      <c r="L49" s="378"/>
      <c r="M49" s="378"/>
      <c r="N49" s="378"/>
      <c r="O49" s="378"/>
      <c r="P49" s="378"/>
      <c r="Q49" s="378"/>
      <c r="R49" s="378"/>
      <c r="S49" s="378"/>
      <c r="T49" s="336"/>
      <c r="U49" s="336"/>
      <c r="V49" s="336"/>
      <c r="W49" s="336"/>
      <c r="X49" s="336"/>
      <c r="Y49" s="336"/>
      <c r="Z49" s="336"/>
      <c r="AA49" s="336"/>
      <c r="AB49" s="336"/>
      <c r="AC49" s="336"/>
      <c r="AD49" s="336"/>
      <c r="AE49" s="336"/>
      <c r="AF49" s="336"/>
      <c r="AG49" s="336"/>
      <c r="AH49" s="336"/>
    </row>
    <row r="50" spans="1:69" ht="19.5" customHeight="1" x14ac:dyDescent="0.3">
      <c r="G50" s="144"/>
      <c r="I50" s="307"/>
      <c r="J50" s="384"/>
      <c r="K50" s="384"/>
      <c r="L50" s="384"/>
      <c r="M50" s="384"/>
      <c r="N50" s="384"/>
      <c r="O50" s="384"/>
      <c r="P50" s="384"/>
      <c r="Q50" s="384"/>
      <c r="R50" s="384"/>
      <c r="S50" s="384"/>
      <c r="T50" s="210"/>
      <c r="U50" s="147"/>
      <c r="V50" s="147"/>
      <c r="W50" s="147"/>
    </row>
    <row r="51" spans="1:69" ht="19.5" customHeight="1" x14ac:dyDescent="0.3">
      <c r="G51" s="144"/>
      <c r="I51" s="307" t="s">
        <v>7546</v>
      </c>
      <c r="J51" s="191">
        <f t="shared" ref="J51:S51" si="14">100*J52/Baulandwidmung</f>
        <v>23.242168677664846</v>
      </c>
      <c r="K51" s="191">
        <f t="shared" si="14"/>
        <v>23.077860545134211</v>
      </c>
      <c r="L51" s="191">
        <f t="shared" si="14"/>
        <v>11.593474009762943</v>
      </c>
      <c r="M51" s="191">
        <f t="shared" si="14"/>
        <v>12.88323892114064</v>
      </c>
      <c r="N51" s="191">
        <f t="shared" si="14"/>
        <v>19.585298213125775</v>
      </c>
      <c r="O51" s="191">
        <f t="shared" si="14"/>
        <v>22.370943478578049</v>
      </c>
      <c r="P51" s="191">
        <f t="shared" si="14"/>
        <v>17.658650465632302</v>
      </c>
      <c r="Q51" s="191">
        <f t="shared" si="14"/>
        <v>14.593274927862758</v>
      </c>
      <c r="R51" s="191">
        <f t="shared" si="14"/>
        <v>31.916945737862154</v>
      </c>
      <c r="S51" s="191">
        <f t="shared" si="14"/>
        <v>17.347241483335175</v>
      </c>
      <c r="T51" s="210"/>
      <c r="U51" s="147"/>
      <c r="V51" s="147"/>
      <c r="W51" s="147"/>
    </row>
    <row r="52" spans="1:69" ht="19.5" customHeight="1" x14ac:dyDescent="0.3">
      <c r="G52" s="144"/>
      <c r="I52" s="152" t="str">
        <f>"in " &amp; Einheit</f>
        <v>in km²</v>
      </c>
      <c r="J52" s="191">
        <f>Fak_1*129.34242</f>
        <v>1.2934242</v>
      </c>
      <c r="K52" s="191">
        <f>Fak_1*528.209781</f>
        <v>5.2820978100000007</v>
      </c>
      <c r="L52" s="191">
        <f>Fak_1*407.546936</f>
        <v>4.0754693600000005</v>
      </c>
      <c r="M52" s="191">
        <f>Fak_1*265.631202</f>
        <v>2.6563120199999997</v>
      </c>
      <c r="N52" s="191">
        <f>Fak_1*448.103071</f>
        <v>4.4810307099999998</v>
      </c>
      <c r="O52" s="191">
        <f>Fak_1*868.306793</f>
        <v>8.68306793</v>
      </c>
      <c r="P52" s="191">
        <f>Fak_1*589.179138</f>
        <v>5.8917913799999999</v>
      </c>
      <c r="Q52" s="191">
        <f>Fak_1*732.054655</f>
        <v>7.3205465500000004</v>
      </c>
      <c r="R52" s="191">
        <f>Fak_1*26.064765</f>
        <v>0.26064765000000001</v>
      </c>
      <c r="S52" s="191">
        <f>Fak_1*3994.438762</f>
        <v>39.944387620000001</v>
      </c>
      <c r="T52" s="210"/>
      <c r="U52" s="147"/>
      <c r="V52" s="147"/>
      <c r="W52" s="147"/>
    </row>
    <row r="53" spans="1:69" ht="19.5" customHeight="1" x14ac:dyDescent="0.3">
      <c r="G53" s="144"/>
      <c r="I53" s="148"/>
      <c r="J53" s="285"/>
      <c r="K53" s="285"/>
      <c r="L53" s="285"/>
      <c r="M53" s="285"/>
      <c r="N53" s="285"/>
      <c r="O53" s="285"/>
      <c r="P53" s="285"/>
      <c r="Q53" s="285"/>
      <c r="R53" s="285"/>
      <c r="S53" s="285"/>
      <c r="T53" s="210"/>
      <c r="U53" s="147"/>
      <c r="V53" s="147"/>
      <c r="W53" s="147"/>
    </row>
    <row r="54" spans="1:69" s="144" customFormat="1" ht="74.25" customHeight="1" x14ac:dyDescent="0.6">
      <c r="B54" s="227"/>
      <c r="C54" s="228"/>
      <c r="D54" s="229"/>
      <c r="E54" s="244" t="s">
        <v>7408</v>
      </c>
      <c r="F54" s="188"/>
      <c r="G54" s="187"/>
      <c r="H54" s="187"/>
    </row>
    <row r="55" spans="1:69"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"&amp;B!Einheit, IF(Versatz = 2, "in m² pro Einwohner:in", "in Prozent des Dauersiedlungsraums"))</f>
        <v>Flächeninanspruchnahme in km²</v>
      </c>
      <c r="J55" s="369"/>
      <c r="K55" s="369"/>
      <c r="L55" s="369"/>
      <c r="M55" s="369"/>
      <c r="N55" s="369"/>
      <c r="O55" s="369"/>
      <c r="P55" s="369"/>
      <c r="Q55" s="369"/>
      <c r="R55" s="369"/>
      <c r="S55" s="369"/>
      <c r="T55" s="369"/>
      <c r="U55" s="369"/>
    </row>
    <row r="56" spans="1:69" x14ac:dyDescent="0.3">
      <c r="F56" s="181"/>
      <c r="G56" s="137"/>
      <c r="H56" s="178"/>
      <c r="I56" s="180"/>
      <c r="J56" s="137"/>
      <c r="K56" s="137"/>
      <c r="L56" s="137"/>
      <c r="M56" s="137"/>
      <c r="N56" s="137"/>
      <c r="O56" s="137"/>
      <c r="P56" s="137"/>
      <c r="Q56" s="137"/>
      <c r="R56" s="137"/>
      <c r="S56" s="137"/>
      <c r="T56" s="137"/>
      <c r="U56" s="137"/>
      <c r="V56" s="136"/>
    </row>
    <row r="57" spans="1:69" hidden="1" x14ac:dyDescent="0.3">
      <c r="F57" s="137"/>
      <c r="G57" s="137"/>
      <c r="H57" s="178" t="s">
        <v>7532</v>
      </c>
      <c r="I57" s="180"/>
      <c r="J57" s="137">
        <f>IF(Versatz = 1, Fak_Einheit, IF(Versatz = 2, 10000/J59, B!Fak_Einheit*100/J60))</f>
        <v>0.01</v>
      </c>
      <c r="K57" s="137">
        <f>IF(Versatz = 1, Fak_Einheit, IF(Versatz = 2, 10000/K59, B!Fak_Einheit*100/K60))</f>
        <v>0.01</v>
      </c>
      <c r="L57" s="137">
        <f>IF(Versatz = 1, Fak_Einheit, IF(Versatz = 2, 10000/L59, B!Fak_Einheit*100/L60))</f>
        <v>0.01</v>
      </c>
      <c r="M57" s="137">
        <f>IF(Versatz = 1, Fak_Einheit, IF(Versatz = 2, 10000/M59, B!Fak_Einheit*100/M60))</f>
        <v>0.01</v>
      </c>
      <c r="N57" s="137">
        <f>IF(Versatz = 1, Fak_Einheit, IF(Versatz = 2, 10000/N59, B!Fak_Einheit*100/N60))</f>
        <v>0.01</v>
      </c>
      <c r="O57" s="137">
        <f>IF(Versatz = 1, Fak_Einheit, IF(Versatz = 2, 10000/O59, B!Fak_Einheit*100/O60))</f>
        <v>0.01</v>
      </c>
      <c r="P57" s="137">
        <f>IF(Versatz = 1, Fak_Einheit, IF(Versatz = 2, 10000/P59, B!Fak_Einheit*100/P60))</f>
        <v>0.01</v>
      </c>
      <c r="Q57" s="137">
        <f>IF(Versatz = 1, Fak_Einheit, IF(Versatz = 2, 10000/Q59, B!Fak_Einheit*100/Q60))</f>
        <v>0.01</v>
      </c>
      <c r="R57" s="137">
        <f>IF(Versatz = 1, Fak_Einheit, IF(Versatz = 2, 10000/R59, B!Fak_Einheit*100/R60))</f>
        <v>0.01</v>
      </c>
      <c r="S57" s="137">
        <f>IF(Versatz = 1, Fak_Einheit, IF(Versatz = 2, 10000/S59, B!Fak_Einheit*100/S60))</f>
        <v>0.01</v>
      </c>
      <c r="T57" s="137"/>
      <c r="U57" s="137"/>
      <c r="V57" s="136"/>
    </row>
    <row r="58" spans="1:69" hidden="1" x14ac:dyDescent="0.3">
      <c r="F58" s="137"/>
      <c r="G58" s="137"/>
      <c r="H58" s="178" t="s">
        <v>7531</v>
      </c>
      <c r="I58" s="180"/>
      <c r="J58" s="137">
        <v>1</v>
      </c>
      <c r="K58" s="137">
        <v>1</v>
      </c>
      <c r="L58" s="137">
        <v>1</v>
      </c>
      <c r="M58" s="137">
        <v>1</v>
      </c>
      <c r="N58" s="137">
        <v>1</v>
      </c>
      <c r="O58" s="137">
        <v>1</v>
      </c>
      <c r="P58" s="137">
        <v>1</v>
      </c>
      <c r="Q58" s="137">
        <v>1</v>
      </c>
      <c r="R58" s="137">
        <v>1</v>
      </c>
      <c r="S58" s="137">
        <v>1</v>
      </c>
      <c r="T58" s="137"/>
      <c r="U58" s="137"/>
      <c r="V58" s="136"/>
    </row>
    <row r="59" spans="1:69" x14ac:dyDescent="0.3">
      <c r="F59" s="149"/>
      <c r="G59" s="149"/>
      <c r="H59" s="192" t="s">
        <v>159</v>
      </c>
      <c r="I59" s="154"/>
      <c r="J59" s="193">
        <v>15240</v>
      </c>
      <c r="K59" s="193">
        <v>44257</v>
      </c>
      <c r="L59" s="193">
        <v>25668</v>
      </c>
      <c r="M59" s="193">
        <v>17158</v>
      </c>
      <c r="N59" s="193">
        <v>40593</v>
      </c>
      <c r="O59" s="193">
        <v>60806</v>
      </c>
      <c r="P59" s="193">
        <v>37524</v>
      </c>
      <c r="Q59" s="193">
        <v>54353</v>
      </c>
      <c r="R59" s="193">
        <v>1984</v>
      </c>
      <c r="S59" s="193">
        <v>297583</v>
      </c>
      <c r="T59" s="194" t="s">
        <v>163</v>
      </c>
      <c r="U59" s="194"/>
      <c r="V59" s="195"/>
      <c r="W59" s="147"/>
      <c r="X59" s="147"/>
    </row>
    <row r="60" spans="1:69" x14ac:dyDescent="0.3">
      <c r="F60" s="150"/>
      <c r="G60" s="150"/>
      <c r="H60" s="192" t="s">
        <v>171</v>
      </c>
      <c r="I60" s="154"/>
      <c r="J60" s="193">
        <f>2916.7153833509*(+B!Fak_Einheit)</f>
        <v>29.167153833509001</v>
      </c>
      <c r="K60" s="193">
        <f>25245.1297277137*(+B!Fak_Einheit)</f>
        <v>252.451297277137</v>
      </c>
      <c r="L60" s="193">
        <f>28496.8351342341*(+B!Fak_Einheit)</f>
        <v>284.96835134234101</v>
      </c>
      <c r="M60" s="193">
        <f>16498.4464893764*(+B!Fak_Einheit)</f>
        <v>164.98446489376403</v>
      </c>
      <c r="N60" s="193">
        <f>15447.5322661069*(+B!Fak_Einheit)</f>
        <v>154.47532266106901</v>
      </c>
      <c r="O60" s="193">
        <f>81126.4720706629*(+B!Fak_Einheit)</f>
        <v>811.26472070662908</v>
      </c>
      <c r="P60" s="193">
        <f>37699.9796144582*(+B!Fak_Einheit)</f>
        <v>376.99979614458198</v>
      </c>
      <c r="Q60" s="193">
        <f>40166.043967546*(+B!Fak_Einheit)</f>
        <v>401.66043967546</v>
      </c>
      <c r="R60" s="193">
        <f>874.9705833819*(+B!Fak_Einheit)</f>
        <v>8.7497058338190001</v>
      </c>
      <c r="S60" s="193">
        <v>248472.12523683097</v>
      </c>
      <c r="T60" s="194" t="str">
        <f t="shared" ref="T60" si="15">Einheit</f>
        <v>km²</v>
      </c>
      <c r="U60" s="194"/>
      <c r="V60" s="195"/>
      <c r="W60" s="147"/>
      <c r="X60" s="147"/>
    </row>
    <row r="61" spans="1:69" x14ac:dyDescent="0.3">
      <c r="F61" s="150"/>
      <c r="G61" s="150"/>
      <c r="H61" s="192"/>
      <c r="I61" s="154"/>
      <c r="J61" s="193"/>
      <c r="K61" s="193"/>
      <c r="L61" s="193"/>
      <c r="M61" s="193"/>
      <c r="N61" s="193"/>
      <c r="O61" s="193"/>
      <c r="P61" s="193"/>
      <c r="Q61" s="193"/>
      <c r="R61" s="193"/>
      <c r="S61" s="193"/>
      <c r="T61" s="194"/>
      <c r="U61" s="194"/>
      <c r="V61" s="195"/>
      <c r="W61" s="147"/>
      <c r="X61" s="147"/>
    </row>
    <row r="62" spans="1:69" s="144" customFormat="1" ht="112.5" customHeight="1" x14ac:dyDescent="0.4">
      <c r="B62" s="227"/>
      <c r="C62" s="228"/>
      <c r="D62" s="229"/>
      <c r="E62" s="131"/>
      <c r="F62" s="210"/>
      <c r="G62" s="196"/>
      <c r="H62" s="210"/>
      <c r="I62" s="148"/>
      <c r="J62" s="278" t="s">
        <v>29</v>
      </c>
      <c r="K62" s="278" t="s">
        <v>32</v>
      </c>
      <c r="L62" s="278" t="s">
        <v>33</v>
      </c>
      <c r="M62" s="278" t="s">
        <v>34</v>
      </c>
      <c r="N62" s="278" t="s">
        <v>35</v>
      </c>
      <c r="O62" s="278" t="s">
        <v>36</v>
      </c>
      <c r="P62" s="278" t="s">
        <v>37</v>
      </c>
      <c r="Q62" s="278" t="s">
        <v>38</v>
      </c>
      <c r="R62" s="278" t="s">
        <v>31</v>
      </c>
      <c r="S62" s="279" t="str">
        <f>+S24</f>
        <v>B</v>
      </c>
      <c r="T62" s="211"/>
      <c r="U62" s="210"/>
      <c r="V62" s="210"/>
      <c r="W62" s="210"/>
      <c r="X62" s="210"/>
    </row>
    <row r="63" spans="1:69" s="144" customFormat="1" ht="24" customHeight="1" x14ac:dyDescent="0.25">
      <c r="B63" s="227"/>
      <c r="C63" s="228"/>
      <c r="D63" s="229"/>
      <c r="E63" s="131"/>
      <c r="F63" s="198" t="s">
        <v>25</v>
      </c>
      <c r="G63" s="196">
        <v>101</v>
      </c>
      <c r="H63" s="148" t="str">
        <f>+VLOOKUP($G63,Konstanten!$A$2:$B$15,2,FALSE)</f>
        <v>Autobahn u. Schnellstraße</v>
      </c>
      <c r="I63" s="148"/>
      <c r="J63" s="267">
        <f>Fak_3*23.3201863045964</f>
        <v>0.23320186304596402</v>
      </c>
      <c r="K63" s="267">
        <f>Fak_3*108.251636200707</f>
        <v>1.0825163620070699</v>
      </c>
      <c r="L63" s="267">
        <f>Fak_3*0</f>
        <v>0</v>
      </c>
      <c r="M63" s="267">
        <f>Fak_3*0</f>
        <v>0</v>
      </c>
      <c r="N63" s="267">
        <f>Fak_3*134.081640843483</f>
        <v>1.34081640843483</v>
      </c>
      <c r="O63" s="267">
        <f>Fak_3*297.310458061741</f>
        <v>2.9731045806174099</v>
      </c>
      <c r="P63" s="267">
        <f>Fak_3*91.877775590999</f>
        <v>0.91877775590999</v>
      </c>
      <c r="Q63" s="267">
        <f>Fak_3*61.1202800819778</f>
        <v>0.61120280081977807</v>
      </c>
      <c r="R63" s="267">
        <f>Fak_3*0</f>
        <v>0</v>
      </c>
      <c r="S63" s="267">
        <f>Fak_3*715.961977083504</f>
        <v>7.1596197708350404</v>
      </c>
      <c r="T63" s="213"/>
      <c r="U63" s="220">
        <f t="shared" ref="U63:U76" si="16">+BD63/BC63</f>
        <v>0.62529156358129656</v>
      </c>
      <c r="V63" s="367" t="s">
        <v>7527</v>
      </c>
      <c r="X63" s="210"/>
      <c r="BC63" s="144">
        <v>110.40250823890199</v>
      </c>
      <c r="BD63" s="144">
        <v>69.033756999999994</v>
      </c>
      <c r="BE63" s="144">
        <f>+BC63-BD63</f>
        <v>41.368751238901993</v>
      </c>
      <c r="BP63" s="214"/>
      <c r="BQ63" s="214"/>
    </row>
    <row r="64" spans="1:69" s="144" customFormat="1" ht="24" customHeight="1" x14ac:dyDescent="0.25">
      <c r="B64" s="227"/>
      <c r="C64" s="228"/>
      <c r="D64" s="229"/>
      <c r="E64" s="131"/>
      <c r="F64" s="198"/>
      <c r="G64" s="196">
        <v>102</v>
      </c>
      <c r="H64" s="148" t="str">
        <f>+VLOOKUP($G64,Konstanten!$A$2:$B$15,2,FALSE)</f>
        <v>Landesstraße B + L</v>
      </c>
      <c r="I64" s="148"/>
      <c r="J64" s="267">
        <f>Fak_3*39.7066677529549</f>
        <v>0.39706667752954899</v>
      </c>
      <c r="K64" s="267">
        <f>Fak_3*275.761100521003</f>
        <v>2.75761100521003</v>
      </c>
      <c r="L64" s="267">
        <f>Fak_3*359.75384115063</f>
        <v>3.5975384115063003</v>
      </c>
      <c r="M64" s="267">
        <f>Fak_3*226.795561710522</f>
        <v>2.26795561710522</v>
      </c>
      <c r="N64" s="267">
        <f>Fak_3*196.557238020518</f>
        <v>1.9655723802051801</v>
      </c>
      <c r="O64" s="267">
        <f>Fak_3*369.876748073498</f>
        <v>3.69876748073498</v>
      </c>
      <c r="P64" s="267">
        <f>Fak_3*473.049189415025</f>
        <v>4.7304918941502505</v>
      </c>
      <c r="Q64" s="267">
        <f>Fak_3*669.654029065419</f>
        <v>6.6965402906541902</v>
      </c>
      <c r="R64" s="267">
        <f>Fak_3*8.94391145060094</f>
        <v>8.9439114506009401E-2</v>
      </c>
      <c r="S64" s="267">
        <f>Fak_3*2620.09828716017</f>
        <v>26.200982871601699</v>
      </c>
      <c r="T64" s="213"/>
      <c r="U64" s="220">
        <f t="shared" si="16"/>
        <v>0.74842676287368548</v>
      </c>
      <c r="V64" s="367"/>
      <c r="X64" s="210"/>
      <c r="BC64" s="144">
        <v>429.83434045676199</v>
      </c>
      <c r="BD64" s="144">
        <v>321.699524</v>
      </c>
      <c r="BE64" s="144">
        <f t="shared" ref="BE64:BE76" si="17">+BC64-BD64</f>
        <v>108.134816456762</v>
      </c>
      <c r="BP64" s="214"/>
      <c r="BQ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Fak_3*147.483879389371</f>
        <v>1.47483879389371</v>
      </c>
      <c r="K65" s="267">
        <f>Fak_3*989.076951966333</f>
        <v>9.8907695196633298</v>
      </c>
      <c r="L65" s="267">
        <f>Fak_3*1074.69677556327</f>
        <v>10.746967755632699</v>
      </c>
      <c r="M65" s="267">
        <f>Fak_3*608.488970000288</f>
        <v>6.0848897000028801</v>
      </c>
      <c r="N65" s="267">
        <f>Fak_3*625.569592049925</f>
        <v>6.2556959204992495</v>
      </c>
      <c r="O65" s="267">
        <f>Fak_3*2309.48159685533</f>
        <v>23.094815968553299</v>
      </c>
      <c r="P65" s="267">
        <f>Fak_3*1564.41780062112</f>
        <v>15.644178006211201</v>
      </c>
      <c r="Q65" s="267">
        <f>Fak_3*1824.64133708632</f>
        <v>18.246413370863198</v>
      </c>
      <c r="R65" s="267">
        <f>Fak_3*38.289836900836</f>
        <v>0.38289836900836</v>
      </c>
      <c r="S65" s="267">
        <f>Fak_3*9182.14674043279</f>
        <v>91.821467404327905</v>
      </c>
      <c r="T65" s="213"/>
      <c r="U65" s="220">
        <f t="shared" si="16"/>
        <v>0.77800703868448506</v>
      </c>
      <c r="V65" s="367"/>
      <c r="X65" s="210"/>
      <c r="BC65" s="144">
        <v>1051.88642686803</v>
      </c>
      <c r="BD65" s="144">
        <v>818.37504400000012</v>
      </c>
      <c r="BE65" s="144">
        <f t="shared" si="17"/>
        <v>233.51138286802984</v>
      </c>
      <c r="BP65" s="214"/>
      <c r="BQ65" s="214"/>
    </row>
    <row r="66" spans="2:128" s="144" customFormat="1" ht="24" customHeight="1" x14ac:dyDescent="0.25">
      <c r="B66" s="227"/>
      <c r="C66" s="228"/>
      <c r="D66" s="229"/>
      <c r="E66" s="131"/>
      <c r="F66" s="198"/>
      <c r="G66" s="196">
        <v>104</v>
      </c>
      <c r="H66" s="148" t="str">
        <f>+VLOOKUP($G66,Konstanten!$A$2:$B$15,2,FALSE)</f>
        <v>Schiene</v>
      </c>
      <c r="I66" s="148"/>
      <c r="J66" s="267">
        <f>Fak_3*11.1387690213021</f>
        <v>0.111387690213021</v>
      </c>
      <c r="K66" s="267">
        <f>Fak_3*67.5312305095431</f>
        <v>0.67531230509543094</v>
      </c>
      <c r="L66" s="267">
        <f>Fak_3*0</f>
        <v>0</v>
      </c>
      <c r="M66" s="267">
        <f>Fak_3*33.2236538001425</f>
        <v>0.332236538001425</v>
      </c>
      <c r="N66" s="267">
        <f>Fak_3*82.0628844068079</f>
        <v>0.82062884406807901</v>
      </c>
      <c r="O66" s="267">
        <f>Fak_3*198.897654285927</f>
        <v>1.9889765428592698</v>
      </c>
      <c r="P66" s="267">
        <f>Fak_3*52.0499022517959</f>
        <v>0.52049902251795899</v>
      </c>
      <c r="Q66" s="267">
        <f>Fak_3*36.4288226025789</f>
        <v>0.36428822602578897</v>
      </c>
      <c r="R66" s="267">
        <f>Fak_3*0</f>
        <v>0</v>
      </c>
      <c r="S66" s="267">
        <f>Fak_3*481.332916878097</f>
        <v>4.8133291687809701</v>
      </c>
      <c r="T66" s="213"/>
      <c r="U66" s="220">
        <f t="shared" si="16"/>
        <v>0.50588581842325953</v>
      </c>
      <c r="V66" s="367"/>
      <c r="X66" s="210"/>
      <c r="BC66" s="144">
        <v>127.56757285891301</v>
      </c>
      <c r="BD66" s="144">
        <v>64.534626000000003</v>
      </c>
      <c r="BE66" s="144">
        <f t="shared" si="17"/>
        <v>63.032946858913007</v>
      </c>
      <c r="BP66" s="214"/>
      <c r="BQ66" s="214"/>
    </row>
    <row r="67" spans="2:128" s="144" customFormat="1" ht="24" customHeight="1" x14ac:dyDescent="0.25">
      <c r="B67" s="227"/>
      <c r="C67" s="228"/>
      <c r="D67" s="229"/>
      <c r="E67" s="131"/>
      <c r="F67" s="200"/>
      <c r="G67" s="215"/>
      <c r="H67" s="216"/>
      <c r="I67" s="217" t="s">
        <v>7535</v>
      </c>
      <c r="J67" s="268">
        <f>Fak_3*221.649502468224</f>
        <v>2.2164950246822399</v>
      </c>
      <c r="K67" s="268">
        <f>Fak_3*1440.62091919759</f>
        <v>14.406209191975901</v>
      </c>
      <c r="L67" s="268">
        <f>Fak_3*1434.4506167139</f>
        <v>14.344506167139</v>
      </c>
      <c r="M67" s="268">
        <f>Fak_3*868.508185510952</f>
        <v>8.6850818551095195</v>
      </c>
      <c r="N67" s="268">
        <f>Fak_3*1038.27135532073</f>
        <v>10.382713553207299</v>
      </c>
      <c r="O67" s="268">
        <f>Fak_3*3175.5664572765</f>
        <v>31.755664572764999</v>
      </c>
      <c r="P67" s="268">
        <f>Fak_3*2181.39466787894</f>
        <v>21.813946678789399</v>
      </c>
      <c r="Q67" s="268">
        <f>Fak_3*2591.84446883629</f>
        <v>25.918444688362904</v>
      </c>
      <c r="R67" s="268">
        <f>Fak_3*47.2337483514369</f>
        <v>0.47233748351436899</v>
      </c>
      <c r="S67" s="268">
        <f>Fak_3*12999.5399215546</f>
        <v>129.995399215546</v>
      </c>
      <c r="T67" s="213"/>
      <c r="U67" s="220">
        <f t="shared" si="16"/>
        <v>0.7406232068794526</v>
      </c>
      <c r="V67" s="367"/>
      <c r="X67" s="210"/>
      <c r="BC67" s="144">
        <v>1719.6908484226101</v>
      </c>
      <c r="BD67" s="144">
        <v>1273.642951</v>
      </c>
      <c r="BE67" s="144">
        <f t="shared" si="17"/>
        <v>446.04789742261005</v>
      </c>
      <c r="BP67" s="214"/>
      <c r="BQ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Fak_3*242.933250310259</f>
        <v>2.4293325031025903</v>
      </c>
      <c r="K68" s="267">
        <f>Fak_3*988.311619601489</f>
        <v>9.8831161960148908</v>
      </c>
      <c r="L68" s="267">
        <f>Fak_3*498.16346752344</f>
        <v>4.9816346752343996</v>
      </c>
      <c r="M68" s="267">
        <f>Fak_3*322.791921839953</f>
        <v>3.22791921839953</v>
      </c>
      <c r="N68" s="267">
        <f>Fak_3*1088.89489591912</f>
        <v>10.8889489591912</v>
      </c>
      <c r="O68" s="267">
        <f>Fak_3*935.542798722894</f>
        <v>9.3554279872289392</v>
      </c>
      <c r="P68" s="267">
        <f>Fak_3*1101.76924015541</f>
        <v>11.0176924015541</v>
      </c>
      <c r="Q68" s="267">
        <f>Fak_3*1528.78250058009</f>
        <v>15.287825005800901</v>
      </c>
      <c r="R68" s="267">
        <f>Fak_3*41.1817324544856</f>
        <v>0.41181732454485598</v>
      </c>
      <c r="S68" s="267">
        <f>Fak_3*6748.37142710714</f>
        <v>67.483714271071406</v>
      </c>
      <c r="T68" s="213"/>
      <c r="U68" s="220">
        <f t="shared" si="16"/>
        <v>0.39295521959753704</v>
      </c>
      <c r="V68" s="367"/>
      <c r="X68" s="210"/>
      <c r="BC68" s="144">
        <v>1112.6431516746302</v>
      </c>
      <c r="BD68" s="144">
        <v>437.21893399999999</v>
      </c>
      <c r="BE68" s="144">
        <f t="shared" si="17"/>
        <v>675.4242176746302</v>
      </c>
      <c r="BP68" s="214"/>
      <c r="BQ68" s="214"/>
    </row>
    <row r="69" spans="2:128" s="144" customFormat="1" ht="24" customHeight="1" x14ac:dyDescent="0.25">
      <c r="B69" s="227"/>
      <c r="C69" s="228"/>
      <c r="D69" s="229"/>
      <c r="E69" s="131"/>
      <c r="F69" s="198"/>
      <c r="G69" s="197">
        <v>212</v>
      </c>
      <c r="H69" s="148" t="str">
        <f>+VLOOKUP($G69,Konstanten!$A$2:$B$15,2,FALSE)</f>
        <v>gemischte bauliche Nutzung</v>
      </c>
      <c r="I69" s="148"/>
      <c r="J69" s="267">
        <f>Fak_3*198.15475995378</f>
        <v>1.9815475995378</v>
      </c>
      <c r="K69" s="267">
        <f>Fak_3*845.752508123339</f>
        <v>8.4575250812333902</v>
      </c>
      <c r="L69" s="267">
        <f>Fak_3*1909.62999378908</f>
        <v>19.096299937890798</v>
      </c>
      <c r="M69" s="267">
        <f>Fak_3*1147.88339306259</f>
        <v>11.4788339306259</v>
      </c>
      <c r="N69" s="267">
        <f>Fak_3*678.998899027496</f>
        <v>6.7899889902749599</v>
      </c>
      <c r="O69" s="267">
        <f>Fak_3*1880.88582190124</f>
        <v>18.8088582190124</v>
      </c>
      <c r="P69" s="267">
        <f>Fak_3*1417.28309839262</f>
        <v>14.172830983926202</v>
      </c>
      <c r="Q69" s="267">
        <f>Fak_3*2069.61303596272</f>
        <v>20.696130359627201</v>
      </c>
      <c r="R69" s="267">
        <f>Fak_3*38.0554666338258</f>
        <v>0.38055466633825802</v>
      </c>
      <c r="S69" s="267">
        <f>Fak_3*10186.2569768467</f>
        <v>101.862569768467</v>
      </c>
      <c r="T69" s="213"/>
      <c r="U69" s="220">
        <f t="shared" si="16"/>
        <v>0.47014924161630484</v>
      </c>
      <c r="V69" s="367"/>
      <c r="X69" s="210"/>
      <c r="BC69" s="144">
        <v>1091.9388516614299</v>
      </c>
      <c r="BD69" s="144">
        <v>513.37422300000003</v>
      </c>
      <c r="BE69" s="144">
        <f t="shared" si="17"/>
        <v>578.56462866142988</v>
      </c>
      <c r="BP69" s="214"/>
      <c r="BQ69" s="214"/>
    </row>
    <row r="70" spans="2:128" s="144" customFormat="1" ht="24" customHeight="1" x14ac:dyDescent="0.25">
      <c r="B70" s="227"/>
      <c r="C70" s="228"/>
      <c r="D70" s="229"/>
      <c r="E70" s="131"/>
      <c r="F70" s="198"/>
      <c r="G70" s="197">
        <v>213</v>
      </c>
      <c r="H70" s="148" t="str">
        <f>+VLOOKUP($G70,Konstanten!$A$2:$B$15,2,FALSE)</f>
        <v>betriebliche Nutzung</v>
      </c>
      <c r="I70" s="148"/>
      <c r="J70" s="267">
        <f>Fak_3*59.3327144722373</f>
        <v>0.59332714472237302</v>
      </c>
      <c r="K70" s="267">
        <f>Fak_3*214.613732596667</f>
        <v>2.1461373259666701</v>
      </c>
      <c r="L70" s="267">
        <f>Fak_3*110.183481845748</f>
        <v>1.10183481845748</v>
      </c>
      <c r="M70" s="267">
        <f>Fak_3*134.4001882698</f>
        <v>1.344001882698</v>
      </c>
      <c r="N70" s="267">
        <f>Fak_3*213.838531925825</f>
        <v>2.13838531925825</v>
      </c>
      <c r="O70" s="267">
        <f>Fak_3*344.490192120639</f>
        <v>3.44490192120639</v>
      </c>
      <c r="P70" s="267">
        <f>Fak_3*235.183572848463</f>
        <v>2.3518357284846299</v>
      </c>
      <c r="Q70" s="267">
        <f>Fak_3*305.974958265226</f>
        <v>3.0597495826522603</v>
      </c>
      <c r="R70" s="267">
        <f>Fak_3*0</f>
        <v>0</v>
      </c>
      <c r="S70" s="267">
        <f>Fak_3*1618.01737234461</f>
        <v>16.180173723446099</v>
      </c>
      <c r="T70" s="213"/>
      <c r="U70" s="220">
        <f t="shared" si="16"/>
        <v>0.67934740484148592</v>
      </c>
      <c r="V70" s="367"/>
      <c r="X70" s="210"/>
      <c r="BC70" s="144">
        <v>435.91739350075102</v>
      </c>
      <c r="BD70" s="144">
        <v>296.13935000000004</v>
      </c>
      <c r="BE70" s="144">
        <f t="shared" si="17"/>
        <v>139.77804350075098</v>
      </c>
      <c r="BP70" s="214"/>
      <c r="BQ70" s="214"/>
    </row>
    <row r="71" spans="2:128" s="144" customFormat="1" ht="24" customHeight="1" x14ac:dyDescent="0.25">
      <c r="B71" s="227"/>
      <c r="C71" s="228"/>
      <c r="D71" s="229"/>
      <c r="E71" s="131"/>
      <c r="F71" s="198"/>
      <c r="G71" s="197">
        <v>214</v>
      </c>
      <c r="H71" s="148" t="str">
        <f>+VLOOKUP($G71,Konstanten!$A$2:$B$15,2,FALSE)</f>
        <v>sonstige bauliche Nutzung</v>
      </c>
      <c r="I71" s="148"/>
      <c r="J71" s="267">
        <f>Fak_3*35.6354612265926</f>
        <v>0.35635461226592596</v>
      </c>
      <c r="K71" s="267">
        <f>Fak_3*75.6621644321726</f>
        <v>0.75662164432172607</v>
      </c>
      <c r="L71" s="267">
        <f>Fak_3*117.710367696488</f>
        <v>1.1771036769648802</v>
      </c>
      <c r="M71" s="267">
        <f>Fak_3*22.6294204772674</f>
        <v>0.22629420477267398</v>
      </c>
      <c r="N71" s="267">
        <f>Fak_3*60.2874009145048</f>
        <v>0.60287400914504807</v>
      </c>
      <c r="O71" s="267">
        <f>Fak_3*204.844449690398</f>
        <v>2.0484444969039801</v>
      </c>
      <c r="P71" s="267">
        <f>Fak_3*86.7948585370671</f>
        <v>0.86794858537067099</v>
      </c>
      <c r="Q71" s="267">
        <f>Fak_3*147.460268617986</f>
        <v>1.47460268617986</v>
      </c>
      <c r="R71" s="267">
        <f>Fak_3*1.2322793055284</f>
        <v>1.2322793055284E-2</v>
      </c>
      <c r="S71" s="267">
        <f>Fak_3*752.256670898004</f>
        <v>7.5225667089800403</v>
      </c>
      <c r="T71" s="213"/>
      <c r="U71" s="220">
        <f t="shared" si="16"/>
        <v>0.49709310254569294</v>
      </c>
      <c r="V71" s="367"/>
      <c r="X71" s="210"/>
      <c r="BC71" s="144">
        <v>153.25834860683301</v>
      </c>
      <c r="BD71" s="144">
        <v>76.183667999999997</v>
      </c>
      <c r="BE71" s="144">
        <f t="shared" si="17"/>
        <v>77.074680606833013</v>
      </c>
      <c r="BP71" s="214"/>
      <c r="BQ71" s="214"/>
    </row>
    <row r="72" spans="2:128" s="144" customFormat="1" ht="24" customHeight="1" x14ac:dyDescent="0.25">
      <c r="B72" s="227"/>
      <c r="C72" s="228"/>
      <c r="D72" s="229"/>
      <c r="E72" s="131"/>
      <c r="F72" s="200"/>
      <c r="G72" s="215"/>
      <c r="H72" s="216"/>
      <c r="I72" s="217" t="s">
        <v>7536</v>
      </c>
      <c r="J72" s="268">
        <f>Fak_3*536.056185962869</f>
        <v>5.3605618596286897</v>
      </c>
      <c r="K72" s="268">
        <f>Fak_3*2124.34002475367</f>
        <v>21.243400247536702</v>
      </c>
      <c r="L72" s="268">
        <f>Fak_3*2635.68731085475</f>
        <v>26.356873108547504</v>
      </c>
      <c r="M72" s="268">
        <f>Fak_3*1627.70492364961</f>
        <v>16.277049236496101</v>
      </c>
      <c r="N72" s="268">
        <f>Fak_3*2042.01972778695</f>
        <v>20.420197277869502</v>
      </c>
      <c r="O72" s="268">
        <f>Fak_3*3365.76326243517</f>
        <v>33.657632624351699</v>
      </c>
      <c r="P72" s="268">
        <f>Fak_3*2841.03076993356</f>
        <v>28.410307699335601</v>
      </c>
      <c r="Q72" s="268">
        <f>Fak_3*4051.83076342602</f>
        <v>40.518307634260204</v>
      </c>
      <c r="R72" s="268">
        <f>Fak_3*80.4694783938397</f>
        <v>0.804694783938397</v>
      </c>
      <c r="S72" s="268">
        <f>Fak_3*19304.9024471964</f>
        <v>193.049024471964</v>
      </c>
      <c r="T72" s="213"/>
      <c r="U72" s="220">
        <f t="shared" si="16"/>
        <v>0.47352572969419021</v>
      </c>
      <c r="V72" s="367"/>
      <c r="X72" s="210"/>
      <c r="BC72" s="144">
        <v>2793.75774544365</v>
      </c>
      <c r="BD72" s="144">
        <v>1322.9161750000001</v>
      </c>
      <c r="BE72" s="144">
        <f t="shared" si="17"/>
        <v>1470.84157044365</v>
      </c>
      <c r="BP72" s="214"/>
      <c r="BQ72" s="214"/>
    </row>
    <row r="73" spans="2:128" s="144" customFormat="1" ht="24" customHeight="1" x14ac:dyDescent="0.25">
      <c r="B73" s="227"/>
      <c r="C73" s="228"/>
      <c r="D73" s="229"/>
      <c r="E73" s="131"/>
      <c r="F73" s="200" t="s">
        <v>7409</v>
      </c>
      <c r="G73" s="215"/>
      <c r="H73" s="216"/>
      <c r="I73" s="217" t="s">
        <v>7537</v>
      </c>
      <c r="J73" s="268">
        <f>Fak_3*13.430233746102</f>
        <v>0.13430233746101999</v>
      </c>
      <c r="K73" s="268">
        <f>Fak_3*129.809764658474</f>
        <v>1.29809764658474</v>
      </c>
      <c r="L73" s="268">
        <f>Fak_3*204.002294639637</f>
        <v>2.0400229463963702</v>
      </c>
      <c r="M73" s="268">
        <f>Fak_3*266.404177823064</f>
        <v>2.66404177823064</v>
      </c>
      <c r="N73" s="268">
        <f>Fak_3*124.706097836086</f>
        <v>1.2470609783608599</v>
      </c>
      <c r="O73" s="268">
        <f>Fak_3*334.441337845656</f>
        <v>3.3444133784565602</v>
      </c>
      <c r="P73" s="268">
        <f>Fak_3*264.112752443855</f>
        <v>2.6411275244385504</v>
      </c>
      <c r="Q73" s="268">
        <f>Fak_3*326.18074421986</f>
        <v>3.2618074421986001</v>
      </c>
      <c r="R73" s="268">
        <f>Fak_3*7.27551740175737</f>
        <v>7.2755174017573698E-2</v>
      </c>
      <c r="S73" s="268">
        <f>Fak_3*1670.36292061449</f>
        <v>16.7036292061449</v>
      </c>
      <c r="T73" s="213"/>
      <c r="U73" s="220">
        <f t="shared" si="16"/>
        <v>0.44779624681110691</v>
      </c>
      <c r="V73" s="367"/>
      <c r="X73" s="210"/>
      <c r="BC73" s="144">
        <v>659.18180668565299</v>
      </c>
      <c r="BD73" s="144">
        <v>295.17913900000002</v>
      </c>
      <c r="BE73" s="144">
        <f t="shared" si="17"/>
        <v>364.00266768565297</v>
      </c>
      <c r="BP73" s="214"/>
      <c r="BQ73" s="214"/>
      <c r="DV73" s="330"/>
      <c r="DW73" s="330"/>
      <c r="DX73" s="330"/>
    </row>
    <row r="74" spans="2:128" s="144" customFormat="1" ht="24" customHeight="1" x14ac:dyDescent="0.25">
      <c r="B74" s="227"/>
      <c r="C74" s="228"/>
      <c r="D74" s="229"/>
      <c r="E74" s="131"/>
      <c r="F74" s="321" t="s">
        <v>7549</v>
      </c>
      <c r="G74" s="199"/>
      <c r="H74" s="200"/>
      <c r="I74" s="217" t="s">
        <v>7538</v>
      </c>
      <c r="J74" s="268">
        <f>Fak_3*74.6764299958134</f>
        <v>0.74676429995813398</v>
      </c>
      <c r="K74" s="268">
        <f>Fak_3*585.399736868365</f>
        <v>5.8539973686836504</v>
      </c>
      <c r="L74" s="268">
        <f>Fak_3*345.251240320426</f>
        <v>3.4525124032042602</v>
      </c>
      <c r="M74" s="268">
        <f>Fak_3*186.687291020517</f>
        <v>1.86687291020517</v>
      </c>
      <c r="N74" s="268">
        <f>Fak_3*255.625850218064</f>
        <v>2.5562585021806399</v>
      </c>
      <c r="O74" s="268">
        <f>Fak_3*615.347751301413</f>
        <v>6.1534775130141304</v>
      </c>
      <c r="P74" s="268">
        <f>Fak_3*274.313495071424</f>
        <v>2.7431349507142397</v>
      </c>
      <c r="Q74" s="268">
        <f>Fak_3*464.644598254404</f>
        <v>4.6464459825440398</v>
      </c>
      <c r="R74" s="268">
        <f>Fak_3*33.7082768566674</f>
        <v>0.33708276856667402</v>
      </c>
      <c r="S74" s="268">
        <f>Fak_3*2835.65466990709</f>
        <v>28.356546699070901</v>
      </c>
      <c r="T74" s="213"/>
      <c r="U74" s="220">
        <f t="shared" si="16"/>
        <v>0.16709269428718873</v>
      </c>
      <c r="V74" s="367"/>
      <c r="X74" s="210"/>
      <c r="BC74" s="144">
        <v>330.24510877272303</v>
      </c>
      <c r="BD74" s="144">
        <v>55.181545</v>
      </c>
      <c r="BE74" s="144">
        <f t="shared" si="17"/>
        <v>275.063563772723</v>
      </c>
      <c r="BP74" s="214"/>
      <c r="BQ74" s="214"/>
      <c r="DV74" s="330"/>
      <c r="DW74" s="330"/>
      <c r="DX74" s="330"/>
    </row>
    <row r="75" spans="2:128" s="144" customFormat="1" ht="24" customHeight="1" x14ac:dyDescent="0.25">
      <c r="B75" s="227"/>
      <c r="C75" s="228"/>
      <c r="D75" s="229"/>
      <c r="E75" s="131"/>
      <c r="F75" s="322" t="s">
        <v>7519</v>
      </c>
      <c r="G75" s="199"/>
      <c r="H75" s="200"/>
      <c r="I75" s="217" t="s">
        <v>7539</v>
      </c>
      <c r="J75" s="268">
        <f>Fak_3*8.68011225764406</f>
        <v>8.6801122576440598E-2</v>
      </c>
      <c r="K75" s="268">
        <f>Fak_3*171.368350421123</f>
        <v>1.7136835042112302</v>
      </c>
      <c r="L75" s="268">
        <f>Fak_3*20.4385957910353</f>
        <v>0.20438595791035302</v>
      </c>
      <c r="M75" s="268">
        <f>Fak_3*43.4966873648769</f>
        <v>0.43496687364876901</v>
      </c>
      <c r="N75" s="268">
        <f>Fak_3*36.0565873977216</f>
        <v>0.36056587397721601</v>
      </c>
      <c r="O75" s="268">
        <f>Fak_3*433.509255985698</f>
        <v>4.3350925598569807</v>
      </c>
      <c r="P75" s="268">
        <f>Fak_3*133.855513417063</f>
        <v>1.3385551341706301</v>
      </c>
      <c r="Q75" s="268">
        <f>Fak_3*155.597780385773</f>
        <v>1.5559778038577301</v>
      </c>
      <c r="R75" s="268">
        <f>Fak_3*0.938162435917181</f>
        <v>9.3816243591718102E-3</v>
      </c>
      <c r="S75" s="268">
        <f>Fak_3*1003.94104545685</f>
        <v>10.0394104545685</v>
      </c>
      <c r="T75" s="213"/>
      <c r="U75" s="220">
        <f t="shared" si="16"/>
        <v>0.11640789345535361</v>
      </c>
      <c r="V75" s="367"/>
      <c r="X75" s="210"/>
      <c r="BC75" s="144">
        <v>145.07992111786899</v>
      </c>
      <c r="BD75" s="144">
        <v>16.888448</v>
      </c>
      <c r="BE75" s="144">
        <f t="shared" si="17"/>
        <v>128.19147311786898</v>
      </c>
      <c r="BP75" s="214"/>
      <c r="BQ75" s="214"/>
      <c r="DV75" s="330"/>
      <c r="DW75" s="330"/>
      <c r="DX75" s="330"/>
    </row>
    <row r="76" spans="2:128" s="208" customFormat="1" ht="24" customHeight="1" x14ac:dyDescent="0.25">
      <c r="B76" s="240"/>
      <c r="C76" s="230"/>
      <c r="D76" s="241"/>
      <c r="E76" s="183"/>
      <c r="F76" s="202" t="s">
        <v>7416</v>
      </c>
      <c r="G76" s="203"/>
      <c r="H76" s="201"/>
      <c r="I76" s="204" t="s">
        <v>7533</v>
      </c>
      <c r="J76" s="269">
        <f t="shared" ref="J76:S76" si="18">+SUM(J75,J74,J73,J72,J67)</f>
        <v>8.5449246443065245</v>
      </c>
      <c r="K76" s="269">
        <f t="shared" si="18"/>
        <v>44.515387958992221</v>
      </c>
      <c r="L76" s="269">
        <f t="shared" si="18"/>
        <v>46.398300583197489</v>
      </c>
      <c r="M76" s="269">
        <f t="shared" si="18"/>
        <v>29.9280126536902</v>
      </c>
      <c r="N76" s="269">
        <f t="shared" si="18"/>
        <v>34.966796185595513</v>
      </c>
      <c r="O76" s="269">
        <f t="shared" si="18"/>
        <v>79.246280648444369</v>
      </c>
      <c r="P76" s="269">
        <f t="shared" si="18"/>
        <v>56.947071987448417</v>
      </c>
      <c r="Q76" s="269">
        <f t="shared" si="18"/>
        <v>75.900983551223476</v>
      </c>
      <c r="R76" s="269">
        <f t="shared" si="18"/>
        <v>1.6962518343961857</v>
      </c>
      <c r="S76" s="269">
        <f t="shared" si="18"/>
        <v>378.14401004729427</v>
      </c>
      <c r="T76" s="206"/>
      <c r="U76" s="220">
        <f t="shared" si="16"/>
        <v>0.52475772773011986</v>
      </c>
      <c r="V76" s="367"/>
      <c r="X76" s="202"/>
      <c r="BC76" s="208">
        <v>5647.9554304425055</v>
      </c>
      <c r="BD76" s="208">
        <v>2963.808258</v>
      </c>
      <c r="BE76" s="144">
        <f t="shared" si="17"/>
        <v>2684.1471724425055</v>
      </c>
      <c r="BP76" s="209"/>
      <c r="BQ76" s="209"/>
    </row>
    <row r="77" spans="2:128" ht="66" customHeight="1" x14ac:dyDescent="0.4">
      <c r="F77" s="365"/>
      <c r="G77" s="365"/>
      <c r="H77" s="365"/>
      <c r="U77" s="138"/>
    </row>
    <row r="78" spans="2:128" ht="22.5" x14ac:dyDescent="0.3">
      <c r="I78" s="369" t="str">
        <f xml:space="preserve"> "Versiegelung " &amp; IF(Versatz = 1, "in "&amp;B!Einheit, IF(Versatz = 2, "in m² pro Einwohner:in", "in Prozent des Dauersiedlungsraums"))</f>
        <v>Versiegelung in km²</v>
      </c>
      <c r="J78" s="369"/>
      <c r="K78" s="369"/>
      <c r="L78" s="369"/>
      <c r="M78" s="369"/>
      <c r="N78" s="369"/>
      <c r="O78" s="369"/>
      <c r="P78" s="369"/>
      <c r="Q78" s="369"/>
      <c r="R78" s="369"/>
      <c r="S78" s="369"/>
      <c r="T78" s="369"/>
      <c r="U78" s="369"/>
    </row>
    <row r="79" spans="2:128" ht="114" customHeight="1" x14ac:dyDescent="0.4">
      <c r="B79" s="247"/>
      <c r="C79" s="233"/>
      <c r="D79" s="248"/>
      <c r="E79" s="249"/>
      <c r="F79" s="147"/>
      <c r="G79" s="250"/>
      <c r="H79" s="147"/>
      <c r="I79" s="152"/>
      <c r="J79" s="278" t="str">
        <f t="shared" ref="J79:S79" si="19">+J24</f>
        <v>Eisenstadt(Stadt)</v>
      </c>
      <c r="K79" s="278" t="str">
        <f t="shared" si="19"/>
        <v>Eisenstadt-Umgebung</v>
      </c>
      <c r="L79" s="278" t="str">
        <f t="shared" si="19"/>
        <v>Güssing</v>
      </c>
      <c r="M79" s="278" t="str">
        <f t="shared" si="19"/>
        <v>Jennersdorf</v>
      </c>
      <c r="N79" s="278" t="str">
        <f t="shared" si="19"/>
        <v>Mattersburg</v>
      </c>
      <c r="O79" s="278" t="str">
        <f t="shared" si="19"/>
        <v>Neusiedl am See</v>
      </c>
      <c r="P79" s="278" t="str">
        <f t="shared" si="19"/>
        <v>Oberpullendorf</v>
      </c>
      <c r="Q79" s="278" t="str">
        <f t="shared" si="19"/>
        <v>Oberwart</v>
      </c>
      <c r="R79" s="278" t="str">
        <f t="shared" si="19"/>
        <v>Rust(Stadt)</v>
      </c>
      <c r="S79" s="277" t="str">
        <f t="shared" si="19"/>
        <v>B</v>
      </c>
      <c r="T79" s="252"/>
      <c r="U79" s="151"/>
      <c r="V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Fak_3*14.6313</f>
        <v>0.146313</v>
      </c>
      <c r="K80" s="267">
        <f>Fak_3*61.2776</f>
        <v>0.61277599999999999</v>
      </c>
      <c r="L80" s="267">
        <f>Fak_3*0</f>
        <v>0</v>
      </c>
      <c r="M80" s="267">
        <f>Fak_3*0</f>
        <v>0</v>
      </c>
      <c r="N80" s="267">
        <f>Fak_3*78.8051</f>
        <v>0.78805099999999995</v>
      </c>
      <c r="O80" s="267">
        <f>Fak_3*173.8876</f>
        <v>1.7388759999999999</v>
      </c>
      <c r="P80" s="267">
        <f>Fak_3*40.0656</f>
        <v>0.40065600000000007</v>
      </c>
      <c r="Q80" s="267">
        <f>Fak_3*37.9247</f>
        <v>0.379247</v>
      </c>
      <c r="R80" s="267">
        <f>Fak_3*0</f>
        <v>0</v>
      </c>
      <c r="S80" s="267">
        <f>Fak_3*406.5919</f>
        <v>4.0659190000000001</v>
      </c>
      <c r="T80" s="213"/>
      <c r="U80" s="219"/>
      <c r="V80" s="210"/>
    </row>
    <row r="81" spans="2:22" s="144" customFormat="1" ht="24" customHeight="1" x14ac:dyDescent="0.25">
      <c r="B81" s="227"/>
      <c r="C81" s="228"/>
      <c r="D81" s="229"/>
      <c r="E81" s="131"/>
      <c r="F81" s="198"/>
      <c r="G81" s="196">
        <v>102</v>
      </c>
      <c r="H81" s="148" t="str">
        <f>+VLOOKUP($G81,Konstanten!$A$2:$B$15,2,FALSE)</f>
        <v>Landesstraße B + L</v>
      </c>
      <c r="I81" s="148"/>
      <c r="J81" s="267">
        <f>Fak_3*28.9213</f>
        <v>0.289213</v>
      </c>
      <c r="K81" s="267">
        <f>Fak_3*188.0557</f>
        <v>1.880557</v>
      </c>
      <c r="L81" s="267">
        <f>Fak_3*220.4056</f>
        <v>2.204056</v>
      </c>
      <c r="M81" s="267">
        <f>Fak_3*140.3884</f>
        <v>1.4038839999999999</v>
      </c>
      <c r="N81" s="267">
        <f>Fak_3*129.3231</f>
        <v>1.2932310000000002</v>
      </c>
      <c r="O81" s="267">
        <f>Fak_3*246.4279</f>
        <v>2.4642789999999999</v>
      </c>
      <c r="P81" s="267">
        <f>Fak_3*289.2545</f>
        <v>2.8925450000000001</v>
      </c>
      <c r="Q81" s="267">
        <f>Fak_3*391.6339</f>
        <v>3.9163389999999998</v>
      </c>
      <c r="R81" s="267">
        <f>Fak_3*6.1856</f>
        <v>6.1856000000000001E-2</v>
      </c>
      <c r="S81" s="267">
        <f>Fak_3*1640.596</f>
        <v>16.40596</v>
      </c>
      <c r="T81" s="213"/>
      <c r="U81" s="219"/>
      <c r="V81" s="210"/>
    </row>
    <row r="82" spans="2:22" s="144" customFormat="1" ht="24" customHeight="1" x14ac:dyDescent="0.25">
      <c r="B82" s="227"/>
      <c r="C82" s="228"/>
      <c r="D82" s="229"/>
      <c r="E82" s="131"/>
      <c r="F82" s="198"/>
      <c r="G82" s="196">
        <v>103</v>
      </c>
      <c r="H82" s="148" t="str">
        <f>+VLOOKUP($G82,Konstanten!$A$2:$B$15,2,FALSE)</f>
        <v>Gemeinde- und sonstige Straßen</v>
      </c>
      <c r="I82" s="148"/>
      <c r="J82" s="267">
        <f>Fak_3*118.3213</f>
        <v>1.1832130000000001</v>
      </c>
      <c r="K82" s="267">
        <f>Fak_3*745.2705</f>
        <v>7.4527049999999999</v>
      </c>
      <c r="L82" s="267">
        <f>Fak_3*708.134</f>
        <v>7.08134</v>
      </c>
      <c r="M82" s="267">
        <f>Fak_3*416.8502</f>
        <v>4.1685020000000002</v>
      </c>
      <c r="N82" s="267">
        <f>Fak_3*462.9834</f>
        <v>4.6298340000000007</v>
      </c>
      <c r="O82" s="267">
        <f>Fak_3*1723.8654</f>
        <v>17.238654</v>
      </c>
      <c r="P82" s="267">
        <f>Fak_3*1114.4904</f>
        <v>11.144903999999999</v>
      </c>
      <c r="Q82" s="267">
        <f>Fak_3*1244.6104</f>
        <v>12.446104</v>
      </c>
      <c r="R82" s="267">
        <f>Fak_3*31.9222</f>
        <v>0.31922200000000001</v>
      </c>
      <c r="S82" s="267">
        <f>Fak_3*6566.4478</f>
        <v>65.664478000000003</v>
      </c>
      <c r="T82" s="213"/>
      <c r="U82" s="219"/>
      <c r="V82" s="210"/>
    </row>
    <row r="83" spans="2:22" s="144" customFormat="1" ht="24" customHeight="1" x14ac:dyDescent="0.25">
      <c r="B83" s="227"/>
      <c r="C83" s="228"/>
      <c r="D83" s="229"/>
      <c r="E83" s="131"/>
      <c r="F83" s="198"/>
      <c r="G83" s="196">
        <v>104</v>
      </c>
      <c r="H83" s="148" t="str">
        <f>+VLOOKUP($G83,Konstanten!$A$2:$B$15,2,FALSE)</f>
        <v>Schiene</v>
      </c>
      <c r="I83" s="148"/>
      <c r="J83" s="267">
        <f>Fak_3*4.495</f>
        <v>4.4950000000000004E-2</v>
      </c>
      <c r="K83" s="267">
        <f>Fak_3*23.8961</f>
        <v>0.23896100000000001</v>
      </c>
      <c r="L83" s="267">
        <f>Fak_3*0</f>
        <v>0</v>
      </c>
      <c r="M83" s="267">
        <f>Fak_3*8.2731</f>
        <v>8.2730999999999999E-2</v>
      </c>
      <c r="N83" s="267">
        <f>Fak_3*22.3034</f>
        <v>0.22303400000000001</v>
      </c>
      <c r="O83" s="267">
        <f>Fak_3*89.3063</f>
        <v>0.89306299999999994</v>
      </c>
      <c r="P83" s="267">
        <f>Fak_3*15.3265</f>
        <v>0.15326499999999998</v>
      </c>
      <c r="Q83" s="267">
        <f>Fak_3*13.8374</f>
        <v>0.138374</v>
      </c>
      <c r="R83" s="267">
        <f>Fak_3*0</f>
        <v>0</v>
      </c>
      <c r="S83" s="267">
        <f>Fak_3*177.4378</f>
        <v>1.7743780000000002</v>
      </c>
      <c r="T83" s="213"/>
      <c r="U83" s="219"/>
      <c r="V83" s="210"/>
    </row>
    <row r="84" spans="2:22" s="144" customFormat="1" ht="24" customHeight="1" x14ac:dyDescent="0.25">
      <c r="B84" s="227"/>
      <c r="C84" s="228"/>
      <c r="D84" s="229"/>
      <c r="E84" s="131"/>
      <c r="F84" s="200"/>
      <c r="G84" s="215"/>
      <c r="H84" s="216"/>
      <c r="I84" s="217" t="s">
        <v>7535</v>
      </c>
      <c r="J84" s="268">
        <f>Fak_3*166.3689</f>
        <v>1.663689</v>
      </c>
      <c r="K84" s="268">
        <f>Fak_3*1018.4999</f>
        <v>10.184999000000001</v>
      </c>
      <c r="L84" s="268">
        <f>Fak_3*928.5396</f>
        <v>9.2853960000000004</v>
      </c>
      <c r="M84" s="268">
        <f>Fak_3*565.5117</f>
        <v>5.6551170000000006</v>
      </c>
      <c r="N84" s="268">
        <f>Fak_3*693.415</f>
        <v>6.9341499999999998</v>
      </c>
      <c r="O84" s="268">
        <f>Fak_3*2233.4872</f>
        <v>22.334872000000001</v>
      </c>
      <c r="P84" s="268">
        <f>Fak_3*1459.137</f>
        <v>14.59137</v>
      </c>
      <c r="Q84" s="268">
        <f>Fak_3*1688.0064</f>
        <v>16.880064000000001</v>
      </c>
      <c r="R84" s="268">
        <f>Fak_3*38.1078</f>
        <v>0.38107799999999997</v>
      </c>
      <c r="S84" s="268">
        <f>Fak_3*8791.0735</f>
        <v>87.910735000000003</v>
      </c>
      <c r="T84" s="213"/>
      <c r="U84" s="219"/>
      <c r="V84" s="210"/>
    </row>
    <row r="85" spans="2:22" s="144" customFormat="1" ht="24" customHeight="1" x14ac:dyDescent="0.25">
      <c r="B85" s="227"/>
      <c r="C85" s="228"/>
      <c r="D85" s="229"/>
      <c r="E85" s="131"/>
      <c r="F85" s="198" t="s">
        <v>7410</v>
      </c>
      <c r="G85" s="197">
        <v>211</v>
      </c>
      <c r="H85" s="148" t="str">
        <f>+VLOOKUP($G85,Konstanten!$A$2:$B$15,2,FALSE)</f>
        <v>Wohnnutzung</v>
      </c>
      <c r="I85" s="148"/>
      <c r="J85" s="267">
        <f>Fak_3*104.0004</f>
        <v>1.0400039999999999</v>
      </c>
      <c r="K85" s="267">
        <f>Fak_3*402.8122</f>
        <v>4.0281220000000006</v>
      </c>
      <c r="L85" s="267">
        <f>Fak_3*119.958</f>
        <v>1.1995800000000001</v>
      </c>
      <c r="M85" s="267">
        <f>Fak_3*80.4218</f>
        <v>0.8042180000000001</v>
      </c>
      <c r="N85" s="267">
        <f>Fak_3*374.5942</f>
        <v>3.7459419999999999</v>
      </c>
      <c r="O85" s="267">
        <f>Fak_3*374.5273</f>
        <v>3.7452730000000005</v>
      </c>
      <c r="P85" s="267">
        <f>Fak_3*308.6964</f>
        <v>3.086964</v>
      </c>
      <c r="Q85" s="267">
        <f>Fak_3*432.256</f>
        <v>4.3225600000000002</v>
      </c>
      <c r="R85" s="267">
        <f>Fak_3*20.7345</f>
        <v>0.207345</v>
      </c>
      <c r="S85" s="267">
        <f>Fak_3*2218.0008</f>
        <v>22.180007999999997</v>
      </c>
      <c r="T85" s="213"/>
      <c r="U85" s="219"/>
      <c r="V85" s="210"/>
    </row>
    <row r="86" spans="2:22" s="144" customFormat="1" ht="24" customHeight="1" x14ac:dyDescent="0.25">
      <c r="B86" s="227"/>
      <c r="C86" s="228"/>
      <c r="D86" s="229"/>
      <c r="E86" s="131"/>
      <c r="F86" s="198"/>
      <c r="G86" s="197">
        <v>212</v>
      </c>
      <c r="H86" s="148" t="str">
        <f>+VLOOKUP($G86,Konstanten!$A$2:$B$15,2,FALSE)</f>
        <v>gemischte bauliche Nutzung</v>
      </c>
      <c r="I86" s="148"/>
      <c r="J86" s="267">
        <f>Fak_3*134.5274</f>
        <v>1.3452740000000001</v>
      </c>
      <c r="K86" s="267">
        <f>Fak_3*491.8537</f>
        <v>4.9185369999999997</v>
      </c>
      <c r="L86" s="267">
        <f>Fak_3*572.7466</f>
        <v>5.7274659999999997</v>
      </c>
      <c r="M86" s="267">
        <f>Fak_3*366.4236</f>
        <v>3.6642360000000003</v>
      </c>
      <c r="N86" s="267">
        <f>Fak_3*354.2391</f>
        <v>3.5423910000000003</v>
      </c>
      <c r="O86" s="267">
        <f>Fak_3*1047.6544</f>
        <v>10.476543999999999</v>
      </c>
      <c r="P86" s="267">
        <f>Fak_3*605.9172</f>
        <v>6.0591720000000002</v>
      </c>
      <c r="Q86" s="267">
        <f>Fak_3*812.9383</f>
        <v>8.1293830000000007</v>
      </c>
      <c r="R86" s="267">
        <f>Fak_3*24.0736</f>
        <v>0.24073600000000001</v>
      </c>
      <c r="S86" s="267">
        <f>Fak_3*4410.3739</f>
        <v>44.103738999999997</v>
      </c>
      <c r="T86" s="213"/>
      <c r="U86" s="219"/>
      <c r="V86" s="210"/>
    </row>
    <row r="87" spans="2:22" s="144" customFormat="1" ht="24" customHeight="1" x14ac:dyDescent="0.25">
      <c r="B87" s="227"/>
      <c r="C87" s="228"/>
      <c r="D87" s="229"/>
      <c r="E87" s="131"/>
      <c r="F87" s="198"/>
      <c r="G87" s="197">
        <v>213</v>
      </c>
      <c r="H87" s="148" t="str">
        <f>+VLOOKUP($G87,Konstanten!$A$2:$B$15,2,FALSE)</f>
        <v>betriebliche Nutzung</v>
      </c>
      <c r="I87" s="148"/>
      <c r="J87" s="267">
        <f>Fak_3*48.5029</f>
        <v>0.48502899999999999</v>
      </c>
      <c r="K87" s="267">
        <f>Fak_3*129.8171</f>
        <v>1.2981710000000002</v>
      </c>
      <c r="L87" s="267">
        <f>Fak_3*63.8324</f>
        <v>0.638324</v>
      </c>
      <c r="M87" s="267">
        <f>Fak_3*65.0744</f>
        <v>0.65074399999999999</v>
      </c>
      <c r="N87" s="267">
        <f>Fak_3*138.1463</f>
        <v>1.3814629999999999</v>
      </c>
      <c r="O87" s="267">
        <f>Fak_3*183.9467</f>
        <v>1.839467</v>
      </c>
      <c r="P87" s="267">
        <f>Fak_3*124.6578</f>
        <v>1.246578</v>
      </c>
      <c r="Q87" s="267">
        <f>Fak_3*178.7968</f>
        <v>1.787968</v>
      </c>
      <c r="R87" s="267">
        <f>Fak_3*0</f>
        <v>0</v>
      </c>
      <c r="S87" s="267">
        <f>Fak_3*932.7744</f>
        <v>9.3277440000000009</v>
      </c>
      <c r="T87" s="213"/>
      <c r="U87" s="219"/>
      <c r="V87" s="210"/>
    </row>
    <row r="88" spans="2:22" s="144" customFormat="1" ht="24" customHeight="1" x14ac:dyDescent="0.25">
      <c r="B88" s="227"/>
      <c r="C88" s="228"/>
      <c r="D88" s="229"/>
      <c r="E88" s="131"/>
      <c r="F88" s="198"/>
      <c r="G88" s="197">
        <v>214</v>
      </c>
      <c r="H88" s="148" t="str">
        <f>+VLOOKUP($G88,Konstanten!$A$2:$B$15,2,FALSE)</f>
        <v>sonstige bauliche Nutzung</v>
      </c>
      <c r="I88" s="148"/>
      <c r="J88" s="267">
        <f>Fak_3*14.5293</f>
        <v>0.14529300000000001</v>
      </c>
      <c r="K88" s="267">
        <f>Fak_3*34.719</f>
        <v>0.34719</v>
      </c>
      <c r="L88" s="267">
        <f>Fak_3*28.1139</f>
        <v>0.28113900000000003</v>
      </c>
      <c r="M88" s="267">
        <f>Fak_3*5.3069</f>
        <v>5.3068999999999998E-2</v>
      </c>
      <c r="N88" s="267">
        <f>Fak_3*25.3186</f>
        <v>0.25318600000000002</v>
      </c>
      <c r="O88" s="267">
        <f>Fak_3*79.7164</f>
        <v>0.79716399999999998</v>
      </c>
      <c r="P88" s="267">
        <f>Fak_3*28.2413</f>
        <v>0.28241299999999997</v>
      </c>
      <c r="Q88" s="267">
        <f>Fak_3*39.8291</f>
        <v>0.39829099999999995</v>
      </c>
      <c r="R88" s="267">
        <f>Fak_3*0.6548</f>
        <v>6.5480000000000009E-3</v>
      </c>
      <c r="S88" s="267">
        <f>Fak_3*256.4293</f>
        <v>2.5642930000000002</v>
      </c>
      <c r="T88" s="213"/>
      <c r="U88" s="219"/>
      <c r="V88" s="210"/>
    </row>
    <row r="89" spans="2:22" s="144" customFormat="1" ht="24" customHeight="1" x14ac:dyDescent="0.25">
      <c r="B89" s="227"/>
      <c r="C89" s="228"/>
      <c r="D89" s="229"/>
      <c r="E89" s="131"/>
      <c r="F89" s="200"/>
      <c r="G89" s="215"/>
      <c r="H89" s="216"/>
      <c r="I89" s="217" t="s">
        <v>7536</v>
      </c>
      <c r="J89" s="268">
        <f>Fak_3*301.56</f>
        <v>3.0156000000000001</v>
      </c>
      <c r="K89" s="268">
        <f>Fak_3*1059.202</f>
        <v>10.59202</v>
      </c>
      <c r="L89" s="268">
        <f>Fak_3*784.6509</f>
        <v>7.8465090000000002</v>
      </c>
      <c r="M89" s="268">
        <f>Fak_3*517.2267</f>
        <v>5.1722670000000006</v>
      </c>
      <c r="N89" s="268">
        <f>Fak_3*892.2982</f>
        <v>8.9229819999999993</v>
      </c>
      <c r="O89" s="268">
        <f>Fak_3*1685.8448</f>
        <v>16.858448000000003</v>
      </c>
      <c r="P89" s="268">
        <f>Fak_3*1067.5127</f>
        <v>10.675127</v>
      </c>
      <c r="Q89" s="268">
        <f>Fak_3*1463.8202</f>
        <v>14.638202000000001</v>
      </c>
      <c r="R89" s="268">
        <f>Fak_3*45.4629</f>
        <v>0.45462900000000001</v>
      </c>
      <c r="S89" s="268">
        <f>Fak_3*7817.5784</f>
        <v>78.175784000000007</v>
      </c>
      <c r="T89" s="213"/>
      <c r="U89" s="219"/>
      <c r="V89" s="210"/>
    </row>
    <row r="90" spans="2:22" s="144" customFormat="1" ht="24" customHeight="1" x14ac:dyDescent="0.25">
      <c r="B90" s="227"/>
      <c r="C90" s="228"/>
      <c r="D90" s="229"/>
      <c r="E90" s="131"/>
      <c r="F90" s="200" t="s">
        <v>7409</v>
      </c>
      <c r="G90" s="215"/>
      <c r="H90" s="216"/>
      <c r="I90" s="217" t="s">
        <v>7537</v>
      </c>
      <c r="J90" s="268">
        <f>Fak_3*4.5454</f>
        <v>4.5454000000000001E-2</v>
      </c>
      <c r="K90" s="268">
        <f>Fak_3*30.8314</f>
        <v>0.30831399999999998</v>
      </c>
      <c r="L90" s="268">
        <f>Fak_3*17.6409</f>
        <v>0.17640899999999998</v>
      </c>
      <c r="M90" s="268">
        <f>Fak_3*16.5525</f>
        <v>0.16552499999999998</v>
      </c>
      <c r="N90" s="268">
        <f>Fak_3*21.4484</f>
        <v>0.21448400000000001</v>
      </c>
      <c r="O90" s="268">
        <f>Fak_3*43.4947</f>
        <v>0.43494700000000003</v>
      </c>
      <c r="P90" s="268">
        <f>Fak_3*35.8256</f>
        <v>0.35825600000000002</v>
      </c>
      <c r="Q90" s="268">
        <f>Fak_3*33.1212</f>
        <v>0.33121200000000001</v>
      </c>
      <c r="R90" s="268">
        <f>Fak_3*3.7002</f>
        <v>3.7002E-2</v>
      </c>
      <c r="S90" s="268">
        <f>Fak_3*207.1603</f>
        <v>2.0716030000000001</v>
      </c>
      <c r="T90" s="213"/>
      <c r="U90" s="219"/>
      <c r="V90" s="210"/>
    </row>
    <row r="91" spans="2:22" s="144" customFormat="1" ht="24" customHeight="1" x14ac:dyDescent="0.25">
      <c r="B91" s="227"/>
      <c r="C91" s="228"/>
      <c r="D91" s="229"/>
      <c r="E91" s="131"/>
      <c r="F91" s="321" t="s">
        <v>7549</v>
      </c>
      <c r="G91" s="199"/>
      <c r="H91" s="200"/>
      <c r="I91" s="217" t="s">
        <v>7538</v>
      </c>
      <c r="J91" s="268">
        <f>Fak_3*8.9612</f>
        <v>8.9611999999999997E-2</v>
      </c>
      <c r="K91" s="268">
        <f>Fak_3*118.3842</f>
        <v>1.1838420000000001</v>
      </c>
      <c r="L91" s="268">
        <f>Fak_3*29.9577</f>
        <v>0.29957699999999998</v>
      </c>
      <c r="M91" s="268">
        <f>Fak_3*15.0274</f>
        <v>0.15027399999999999</v>
      </c>
      <c r="N91" s="268">
        <f>Fak_3*49.8792</f>
        <v>0.49879199999999996</v>
      </c>
      <c r="O91" s="268">
        <f>Fak_3*101.3904</f>
        <v>1.0139039999999999</v>
      </c>
      <c r="P91" s="268">
        <f>Fak_3*30.4476</f>
        <v>0.30447600000000002</v>
      </c>
      <c r="Q91" s="268">
        <f>Fak_3*54.8192</f>
        <v>0.54819200000000001</v>
      </c>
      <c r="R91" s="268">
        <f>Fak_3*7.0083</f>
        <v>7.0083000000000006E-2</v>
      </c>
      <c r="S91" s="268">
        <f>Fak_3*415.8752</f>
        <v>4.1587519999999998</v>
      </c>
      <c r="T91" s="213"/>
      <c r="U91" s="219"/>
      <c r="V91" s="210"/>
    </row>
    <row r="92" spans="2:22" s="144" customFormat="1" ht="24" customHeight="1" x14ac:dyDescent="0.25">
      <c r="B92" s="227"/>
      <c r="C92" s="228"/>
      <c r="D92" s="229"/>
      <c r="E92" s="131"/>
      <c r="F92" s="322" t="s">
        <v>7519</v>
      </c>
      <c r="G92" s="199"/>
      <c r="H92" s="200"/>
      <c r="I92" s="217" t="s">
        <v>7539</v>
      </c>
      <c r="J92" s="268">
        <f>Fak_3*1.3467</f>
        <v>1.3467E-2</v>
      </c>
      <c r="K92" s="268">
        <f>Fak_3*14.1629</f>
        <v>0.141629</v>
      </c>
      <c r="L92" s="268">
        <f>Fak_3*4.4543</f>
        <v>4.4542999999999999E-2</v>
      </c>
      <c r="M92" s="268">
        <f>Fak_3*2.2682</f>
        <v>2.2682000000000004E-2</v>
      </c>
      <c r="N92" s="268">
        <f>Fak_3*4.6075</f>
        <v>4.6074999999999998E-2</v>
      </c>
      <c r="O92" s="268">
        <f>Fak_3*22.9418</f>
        <v>0.22941800000000001</v>
      </c>
      <c r="P92" s="268">
        <f>Fak_3*10.3453</f>
        <v>0.103453</v>
      </c>
      <c r="Q92" s="268">
        <f>Fak_3*14.5251</f>
        <v>0.14525099999999999</v>
      </c>
      <c r="R92" s="268">
        <f>Fak_3*0.4808</f>
        <v>4.8079999999999998E-3</v>
      </c>
      <c r="S92" s="268">
        <f>Fak_3*75.1326</f>
        <v>0.75132599999999994</v>
      </c>
      <c r="T92" s="213"/>
      <c r="U92" s="219"/>
      <c r="V92" s="210"/>
    </row>
    <row r="93" spans="2:22" s="208" customFormat="1" ht="24" customHeight="1" x14ac:dyDescent="0.25">
      <c r="B93" s="240"/>
      <c r="C93" s="230"/>
      <c r="D93" s="241"/>
      <c r="E93" s="183"/>
      <c r="F93" s="202" t="s">
        <v>7597</v>
      </c>
      <c r="G93" s="203"/>
      <c r="H93" s="201"/>
      <c r="I93" s="204" t="s">
        <v>7533</v>
      </c>
      <c r="J93" s="269">
        <f t="shared" ref="J93:S93" si="20">+SUM(J84,J89,J90,J91,J92)</f>
        <v>4.8278220000000003</v>
      </c>
      <c r="K93" s="269">
        <f t="shared" si="20"/>
        <v>22.410803999999999</v>
      </c>
      <c r="L93" s="269">
        <f t="shared" si="20"/>
        <v>17.652434</v>
      </c>
      <c r="M93" s="269">
        <f t="shared" si="20"/>
        <v>11.165865000000002</v>
      </c>
      <c r="N93" s="269">
        <f t="shared" si="20"/>
        <v>16.616482999999999</v>
      </c>
      <c r="O93" s="269">
        <f t="shared" si="20"/>
        <v>40.871589</v>
      </c>
      <c r="P93" s="269">
        <f t="shared" si="20"/>
        <v>26.032682000000001</v>
      </c>
      <c r="Q93" s="269">
        <f t="shared" si="20"/>
        <v>32.542921000000007</v>
      </c>
      <c r="R93" s="269">
        <f t="shared" si="20"/>
        <v>0.9476</v>
      </c>
      <c r="S93" s="269">
        <f t="shared" si="20"/>
        <v>173.06820000000002</v>
      </c>
      <c r="T93" s="206"/>
      <c r="U93" s="207"/>
      <c r="V93" s="202"/>
    </row>
  </sheetData>
  <mergeCells count="22">
    <mergeCell ref="F77:H77"/>
    <mergeCell ref="I78:U78"/>
    <mergeCell ref="J19:S19"/>
    <mergeCell ref="T20:V20"/>
    <mergeCell ref="I21:U21"/>
    <mergeCell ref="J41:S41"/>
    <mergeCell ref="J45:S45"/>
    <mergeCell ref="J49:S49"/>
    <mergeCell ref="J42:S42"/>
    <mergeCell ref="J46:S46"/>
    <mergeCell ref="J50:S50"/>
    <mergeCell ref="W25:W30"/>
    <mergeCell ref="I55:U55"/>
    <mergeCell ref="V63:V76"/>
    <mergeCell ref="B1:D1"/>
    <mergeCell ref="E1:R4"/>
    <mergeCell ref="I6:U6"/>
    <mergeCell ref="V8:V9"/>
    <mergeCell ref="W10:W15"/>
    <mergeCell ref="J17:S17"/>
    <mergeCell ref="I35:U35"/>
    <mergeCell ref="J39:S39"/>
  </mergeCells>
  <conditionalFormatting sqref="A8:U8 A23:XFD23 J22:R22">
    <cfRule type="expression" dxfId="107" priority="12">
      <formula>$A$12=2</formula>
    </cfRule>
  </conditionalFormatting>
  <conditionalFormatting sqref="A8:U8 A23:XFD23">
    <cfRule type="expression" dxfId="106" priority="9">
      <formula>$A$12=1</formula>
    </cfRule>
  </conditionalFormatting>
  <conditionalFormatting sqref="J39">
    <cfRule type="expression" dxfId="105" priority="4">
      <formula>$C$8 = "relativ"</formula>
    </cfRule>
  </conditionalFormatting>
  <conditionalFormatting sqref="J41">
    <cfRule type="expression" dxfId="104" priority="3">
      <formula>$C$8 = "relativ"</formula>
    </cfRule>
  </conditionalFormatting>
  <conditionalFormatting sqref="J45">
    <cfRule type="expression" dxfId="103" priority="2">
      <formula>$C$8 = "relativ"</formula>
    </cfRule>
  </conditionalFormatting>
  <conditionalFormatting sqref="J49">
    <cfRule type="expression" dxfId="102" priority="1">
      <formula>$C$8 = "relativ"</formula>
    </cfRule>
  </conditionalFormatting>
  <conditionalFormatting sqref="J10:S15 J25:S30">
    <cfRule type="expression" dxfId="101" priority="10">
      <formula>$C$6 = "relativ"</formula>
    </cfRule>
  </conditionalFormatting>
  <conditionalFormatting sqref="J22:S22">
    <cfRule type="expression" dxfId="100" priority="8">
      <formula>$A$12=1</formula>
    </cfRule>
  </conditionalFormatting>
  <conditionalFormatting sqref="J31:S31">
    <cfRule type="expression" dxfId="99" priority="11">
      <formula>$A$12=2</formula>
    </cfRule>
  </conditionalFormatting>
  <conditionalFormatting sqref="S22">
    <cfRule type="expression" dxfId="98" priority="7">
      <formula>$A$12=2</formula>
    </cfRule>
  </conditionalFormatting>
  <conditionalFormatting sqref="U10:U15">
    <cfRule type="dataBar" priority="14">
      <dataBar showValue="0">
        <cfvo type="num" val="0"/>
        <cfvo type="num" val="1"/>
        <color theme="0" tint="-0.499984740745262"/>
      </dataBar>
      <extLst>
        <ext xmlns:x14="http://schemas.microsoft.com/office/spreadsheetml/2009/9/main" uri="{B025F937-C7B1-47D3-B67F-A62EFF666E3E}">
          <x14:id>{C3328F3B-EB4B-4BAE-94C0-71A5EDF00093}</x14:id>
        </ext>
      </extLst>
    </cfRule>
  </conditionalFormatting>
  <conditionalFormatting sqref="U25:U31">
    <cfRule type="dataBar" priority="13">
      <dataBar showValue="0">
        <cfvo type="num" val="0"/>
        <cfvo type="num" val="1"/>
        <color theme="0" tint="-0.499984740745262"/>
      </dataBar>
      <extLst>
        <ext xmlns:x14="http://schemas.microsoft.com/office/spreadsheetml/2009/9/main" uri="{B025F937-C7B1-47D3-B67F-A62EFF666E3E}">
          <x14:id>{95BCFDBA-4636-4BBE-89D3-037968941242}</x14:id>
        </ext>
      </extLst>
    </cfRule>
  </conditionalFormatting>
  <conditionalFormatting sqref="W8:XFD8">
    <cfRule type="expression" dxfId="97" priority="5">
      <formula>$A$12=2</formula>
    </cfRule>
    <cfRule type="expression" dxfId="96" priority="6">
      <formula>$A$12=1</formula>
    </cfRule>
  </conditionalFormatting>
  <dataValidations count="3">
    <dataValidation type="list" allowBlank="1" showInputMessage="1" showErrorMessage="1" sqref="C6:D6" xr:uid="{00000000-0002-0000-0600-000000000000}">
      <formula1>"absolut,relativ"</formula1>
    </dataValidation>
    <dataValidation type="list" allowBlank="1" showInputMessage="1" showErrorMessage="1" sqref="C55:E55" xr:uid="{00000000-0002-0000-0600-000001000000}">
      <formula1>"absolut, Bevölkerung, Dauersiedlungsraum"</formula1>
    </dataValidation>
    <dataValidation type="list" allowBlank="1" showInputMessage="1" showErrorMessage="1" sqref="C3 D5" xr:uid="{00000000-0002-0000-06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C3328F3B-EB4B-4BAE-94C0-71A5EDF00093}">
            <x14:dataBar minLength="0" maxLength="100" gradient="0">
              <x14:cfvo type="num">
                <xm:f>0</xm:f>
              </x14:cfvo>
              <x14:cfvo type="num">
                <xm:f>1</xm:f>
              </x14:cfvo>
              <x14:negativeFillColor rgb="FFFF0000"/>
              <x14:axisColor rgb="FF000000"/>
            </x14:dataBar>
          </x14:cfRule>
          <xm:sqref>U10:U15</xm:sqref>
        </x14:conditionalFormatting>
        <x14:conditionalFormatting xmlns:xm="http://schemas.microsoft.com/office/excel/2006/main">
          <x14:cfRule type="dataBar" id="{95BCFDBA-4636-4BBE-89D3-037968941242}">
            <x14:dataBar minLength="0" maxLength="100" gradient="0">
              <x14:cfvo type="num">
                <xm:f>0</xm:f>
              </x14:cfvo>
              <x14:cfvo type="num">
                <xm:f>1</xm:f>
              </x14:cfvo>
              <x14:negativeFillColor rgb="FFFF0000"/>
              <x14:axisColor rgb="FF000000"/>
            </x14:dataBar>
          </x14:cfRule>
          <xm:sqref>U25:U31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600-00000B000000}">
          <x14:colorSeries theme="0" tint="-0.34998626667073579"/>
          <x14:colorNegative rgb="FFD00000"/>
          <x14:colorAxis rgb="FF000000"/>
          <x14:colorMarkers rgb="FFD00000"/>
          <x14:colorFirst rgb="FFD00000"/>
          <x14:colorLast rgb="FFD00000"/>
          <x14:colorHigh rgb="FFD00000"/>
          <x14:colorLow rgb="FFD00000"/>
          <x14:sparklines>
            <x14:sparkline>
              <xm:f>B!J18:S18</xm:f>
              <xm:sqref>J17</xm:sqref>
            </x14:sparkline>
          </x14:sparklines>
        </x14:sparklineGroup>
        <x14:sparklineGroup manualMin="0" type="column" displayEmptyCellsAs="gap" minAxisType="custom" xr2:uid="{00000000-0003-0000-0600-00000A000000}">
          <x14:colorSeries theme="0" tint="-0.34998626667073579"/>
          <x14:colorNegative rgb="FFD00000"/>
          <x14:colorAxis rgb="FF000000"/>
          <x14:colorMarkers rgb="FFD00000"/>
          <x14:colorFirst rgb="FFD00000"/>
          <x14:colorLast rgb="FFD00000"/>
          <x14:colorHigh rgb="FFD00000"/>
          <x14:colorLow rgb="FFD00000"/>
          <x14:sparklines>
            <x14:sparkline>
              <xm:f>B!J20:S20</xm:f>
              <xm:sqref>J19</xm:sqref>
            </x14:sparkline>
          </x14:sparklines>
        </x14:sparklineGroup>
        <x14:sparklineGroup type="column" displayEmptyCellsAs="gap" xr2:uid="{00000000-0003-0000-0600-000009000000}">
          <x14:colorSeries rgb="FF376092"/>
          <x14:colorNegative rgb="FFD00000"/>
          <x14:colorAxis rgb="FF000000"/>
          <x14:colorMarkers rgb="FFD00000"/>
          <x14:colorFirst rgb="FFD00000"/>
          <x14:colorLast rgb="FFD00000"/>
          <x14:colorHigh rgb="FFD00000"/>
          <x14:colorLow rgb="FFD00000"/>
          <x14:sparklines>
            <x14:sparkline>
              <xm:f>B!J43:S43</xm:f>
              <xm:sqref>J42</xm:sqref>
            </x14:sparkline>
          </x14:sparklines>
        </x14:sparklineGroup>
        <x14:sparklineGroup type="column" displayEmptyCellsAs="gap" xr2:uid="{00000000-0003-0000-0600-000008000000}">
          <x14:colorSeries rgb="FF376092"/>
          <x14:colorNegative rgb="FFD00000"/>
          <x14:colorAxis rgb="FF000000"/>
          <x14:colorMarkers rgb="FFD00000"/>
          <x14:colorFirst rgb="FFD00000"/>
          <x14:colorLast rgb="FFD00000"/>
          <x14:colorHigh rgb="FFD00000"/>
          <x14:colorLow rgb="FFD00000"/>
          <x14:sparklines>
            <x14:sparkline>
              <xm:f>B!J47:S47</xm:f>
              <xm:sqref>J46</xm:sqref>
            </x14:sparkline>
          </x14:sparklines>
        </x14:sparklineGroup>
        <x14:sparklineGroup type="column" displayEmptyCellsAs="gap" xr2:uid="{00000000-0003-0000-0600-000007000000}">
          <x14:colorSeries rgb="FF376092"/>
          <x14:colorNegative rgb="FFD00000"/>
          <x14:colorAxis rgb="FF000000"/>
          <x14:colorMarkers rgb="FFD00000"/>
          <x14:colorFirst rgb="FFD00000"/>
          <x14:colorLast rgb="FFD00000"/>
          <x14:colorHigh rgb="FFD00000"/>
          <x14:colorLow rgb="FFD00000"/>
          <x14:sparklines>
            <x14:sparkline>
              <xm:f>B!J51:S51</xm:f>
              <xm:sqref>J50</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rgb="FFFFFF00"/>
    <pageSetUpPr fitToPage="1"/>
  </sheetPr>
  <dimension ref="A1:DX93"/>
  <sheetViews>
    <sheetView topLeftCell="B1" zoomScale="90" zoomScaleNormal="90" workbookViewId="0">
      <pane xSplit="3" ySplit="4" topLeftCell="E5" activePane="bottomRight" state="frozen"/>
      <selection activeCell="F93" sqref="F93"/>
      <selection pane="topRight" activeCell="F93" sqref="F93"/>
      <selection pane="bottomLeft" activeCell="F93" sqref="F93"/>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20" width="15.42578125" style="138" customWidth="1"/>
    <col min="21" max="21" width="27.42578125" style="138" bestFit="1" customWidth="1"/>
    <col min="22" max="22" width="30" style="186" bestFit="1" customWidth="1"/>
    <col min="23" max="23" width="9.5703125" style="138" customWidth="1"/>
    <col min="24" max="24" width="15.5703125" style="138" customWidth="1"/>
    <col min="25" max="25" width="14.140625" style="138" customWidth="1"/>
    <col min="26" max="66" width="11.42578125" style="138" customWidth="1"/>
    <col min="67" max="67" width="11.42578125" style="138"/>
    <col min="68" max="68" width="12.28515625" style="138" bestFit="1" customWidth="1"/>
    <col min="69" max="69" width="13.140625" style="138" bestFit="1" customWidth="1"/>
    <col min="70" max="70" width="12.85546875" style="138" bestFit="1" customWidth="1"/>
    <col min="71" max="16384" width="11.42578125" style="138"/>
  </cols>
  <sheetData>
    <row r="1" spans="1:70" s="239" customFormat="1" ht="53.25" customHeight="1" x14ac:dyDescent="0.3">
      <c r="A1" s="133" t="s">
        <v>145</v>
      </c>
      <c r="B1" s="366" t="s">
        <v>7540</v>
      </c>
      <c r="C1" s="366"/>
      <c r="D1" s="366"/>
      <c r="E1" s="381" t="str">
        <f xml:space="preserve"> VLOOKUP(BL,Konstanten!$E$38:$F$46,2,FALSE) &amp;"-Ergebnisse: Indikatoren zu Flächeninanspruchnahme und Versiegelung mit Stand 2022 (Baseline)"</f>
        <v>Kärnten-Ergebnisse: Indikatoren zu Flächeninanspruchnahme und Versiegelung mit Stand 2022 (Baseline)</v>
      </c>
      <c r="F1" s="381"/>
      <c r="G1" s="381"/>
      <c r="H1" s="381"/>
      <c r="I1" s="381"/>
      <c r="J1" s="381"/>
      <c r="K1" s="381"/>
      <c r="L1" s="381"/>
      <c r="M1" s="381"/>
      <c r="N1" s="381"/>
      <c r="O1" s="381"/>
      <c r="P1" s="381"/>
      <c r="Q1" s="381"/>
      <c r="R1" s="381"/>
      <c r="S1" s="380"/>
      <c r="T1" s="256"/>
      <c r="U1" s="256"/>
      <c r="V1" s="257"/>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row>
    <row r="2" spans="1:70" s="239" customFormat="1" ht="15" customHeight="1" x14ac:dyDescent="0.3">
      <c r="A2" s="133"/>
      <c r="B2" s="243"/>
      <c r="C2" s="243"/>
      <c r="D2" s="243"/>
      <c r="E2" s="381"/>
      <c r="F2" s="381"/>
      <c r="G2" s="381"/>
      <c r="H2" s="381"/>
      <c r="I2" s="381"/>
      <c r="J2" s="381"/>
      <c r="K2" s="381"/>
      <c r="L2" s="381"/>
      <c r="M2" s="381"/>
      <c r="N2" s="381"/>
      <c r="O2" s="381"/>
      <c r="P2" s="381"/>
      <c r="Q2" s="381"/>
      <c r="R2" s="381"/>
      <c r="S2" s="380"/>
      <c r="T2" s="256"/>
      <c r="U2" s="256"/>
      <c r="V2" s="257"/>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row>
    <row r="3" spans="1:70"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256"/>
      <c r="U3" s="256"/>
      <c r="V3" s="257"/>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row>
    <row r="4" spans="1:70" s="239" customFormat="1" ht="22.5" customHeight="1" x14ac:dyDescent="0.3">
      <c r="A4" s="131"/>
      <c r="B4" s="227"/>
      <c r="C4" s="228"/>
      <c r="D4" s="229"/>
      <c r="E4" s="381"/>
      <c r="F4" s="381"/>
      <c r="G4" s="381"/>
      <c r="H4" s="381"/>
      <c r="I4" s="381"/>
      <c r="J4" s="381"/>
      <c r="K4" s="381"/>
      <c r="L4" s="381"/>
      <c r="M4" s="381"/>
      <c r="N4" s="381"/>
      <c r="O4" s="381"/>
      <c r="P4" s="381"/>
      <c r="Q4" s="381"/>
      <c r="R4" s="381"/>
      <c r="S4" s="380"/>
      <c r="V4" s="261"/>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row>
    <row r="5" spans="1:70" ht="52.5" customHeight="1" x14ac:dyDescent="0.3">
      <c r="A5" s="133">
        <f>+IF(Einheit = "ha", 1, 0.01)</f>
        <v>0.01</v>
      </c>
      <c r="C5" s="227"/>
      <c r="D5" s="231"/>
      <c r="E5" s="226" t="s">
        <v>7530</v>
      </c>
      <c r="F5" s="140"/>
      <c r="G5" s="140"/>
      <c r="H5" s="140"/>
      <c r="I5" s="140"/>
      <c r="J5" s="1"/>
      <c r="K5" s="1"/>
      <c r="L5" s="1"/>
      <c r="M5" s="1"/>
      <c r="N5" s="1"/>
      <c r="O5" s="1"/>
      <c r="P5" s="1"/>
      <c r="Q5" s="1"/>
      <c r="R5" s="1"/>
      <c r="S5" s="1"/>
      <c r="T5" s="140"/>
      <c r="U5" s="140"/>
      <c r="V5" s="140"/>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row>
    <row r="6" spans="1:70"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146"/>
      <c r="X6" s="138"/>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row>
    <row r="7" spans="1:70" s="144" customFormat="1" ht="34.5" hidden="1" customHeight="1" x14ac:dyDescent="0.3">
      <c r="A7" s="133"/>
      <c r="B7" s="227"/>
      <c r="C7" s="230"/>
      <c r="D7" s="231"/>
      <c r="E7" s="139"/>
      <c r="F7" s="141"/>
      <c r="G7" s="141"/>
      <c r="H7" s="141" t="s">
        <v>7599</v>
      </c>
      <c r="I7" s="142"/>
      <c r="J7" s="131">
        <f>Fak_Einheit/IF(denom_1="absolut",1,Fak_Einheit*K!FI_gesamt)</f>
        <v>0.01</v>
      </c>
      <c r="K7" s="131">
        <f>Fak_Einheit/IF(denom_1="absolut",1,Fak_Einheit*K!FI_gesamt)</f>
        <v>0.01</v>
      </c>
      <c r="L7" s="131">
        <f>Fak_Einheit/IF(denom_1="absolut",1,Fak_Einheit*K!FI_gesamt)</f>
        <v>0.01</v>
      </c>
      <c r="M7" s="131">
        <f>Fak_Einheit/IF(denom_1="absolut",1,Fak_Einheit*K!FI_gesamt)</f>
        <v>0.01</v>
      </c>
      <c r="N7" s="131">
        <f>Fak_Einheit/IF(denom_1="absolut",1,Fak_Einheit*K!FI_gesamt)</f>
        <v>0.01</v>
      </c>
      <c r="O7" s="131">
        <f>Fak_Einheit/IF(denom_1="absolut",1,Fak_Einheit*K!FI_gesamt)</f>
        <v>0.01</v>
      </c>
      <c r="P7" s="131">
        <f>Fak_Einheit/IF(denom_1="absolut",1,Fak_Einheit*K!FI_gesamt)</f>
        <v>0.01</v>
      </c>
      <c r="Q7" s="131">
        <f>Fak_Einheit/IF(denom_1="absolut",1,Fak_Einheit*K!FI_gesamt)</f>
        <v>0.01</v>
      </c>
      <c r="R7" s="131">
        <f>Fak_Einheit/IF(denom_1="absolut",1,Fak_Einheit*K!FI_gesamt)</f>
        <v>0.01</v>
      </c>
      <c r="S7" s="131">
        <f>Fak_Einheit/IF(denom_1="absolut",1,Fak_Einheit*K!FI_gesamt)</f>
        <v>0.01</v>
      </c>
      <c r="T7" s="131">
        <f>Fak_Einheit/IF(denom_1="absolut",1,Fak_Einheit*K!FI_gesamt)</f>
        <v>0.01</v>
      </c>
      <c r="U7" s="143"/>
      <c r="V7" s="145"/>
      <c r="W7" s="146"/>
      <c r="X7" s="138"/>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row>
    <row r="8" spans="1:70" s="270" customFormat="1" ht="16.5" hidden="1" x14ac:dyDescent="0.25">
      <c r="B8" s="271"/>
      <c r="C8" s="272"/>
      <c r="D8" s="271"/>
      <c r="H8" t="s">
        <v>7523</v>
      </c>
      <c r="J8" s="270">
        <v>3100.50032305277</v>
      </c>
      <c r="K8" s="270">
        <v>2219.9263761788702</v>
      </c>
      <c r="L8" s="270">
        <v>6292.7098784965901</v>
      </c>
      <c r="M8" s="270">
        <v>4126.1289660585398</v>
      </c>
      <c r="N8" s="270">
        <v>5991.8596983514699</v>
      </c>
      <c r="O8" s="270">
        <v>7209.3106989670296</v>
      </c>
      <c r="P8" s="270">
        <v>7364.3681002273797</v>
      </c>
      <c r="Q8" s="270">
        <v>2985.6264650718899</v>
      </c>
      <c r="R8" s="270">
        <v>5677.3584464052401</v>
      </c>
      <c r="S8" s="270">
        <v>5526.3101847672197</v>
      </c>
      <c r="T8" s="270">
        <v>50494.099137576995</v>
      </c>
      <c r="W8" s="382"/>
    </row>
    <row r="9" spans="1:70" s="274" customFormat="1" ht="93" customHeight="1" x14ac:dyDescent="0.4">
      <c r="B9" s="272"/>
      <c r="C9" s="272"/>
      <c r="D9" s="272"/>
      <c r="F9" s="275"/>
      <c r="G9" s="275"/>
      <c r="H9" s="275"/>
      <c r="I9" s="275"/>
      <c r="J9" s="278" t="s">
        <v>48</v>
      </c>
      <c r="K9" s="278" t="s">
        <v>42</v>
      </c>
      <c r="L9" s="278" t="s">
        <v>43</v>
      </c>
      <c r="M9" s="278" t="s">
        <v>39</v>
      </c>
      <c r="N9" s="278" t="s">
        <v>44</v>
      </c>
      <c r="O9" s="278" t="s">
        <v>10</v>
      </c>
      <c r="P9" s="278" t="s">
        <v>45</v>
      </c>
      <c r="Q9" s="278" t="s">
        <v>41</v>
      </c>
      <c r="R9" s="278" t="s">
        <v>46</v>
      </c>
      <c r="S9" s="278" t="s">
        <v>47</v>
      </c>
      <c r="T9" s="279" t="str">
        <f>+BL</f>
        <v>K</v>
      </c>
      <c r="W9" s="382"/>
      <c r="X9" s="276"/>
      <c r="Y9" s="276"/>
      <c r="BP9" s="274" t="s">
        <v>7524</v>
      </c>
      <c r="BQ9" s="274" t="s">
        <v>7525</v>
      </c>
      <c r="BR9" s="274" t="s">
        <v>7526</v>
      </c>
    </row>
    <row r="10" spans="1:70" s="156" customFormat="1" ht="19.5" customHeight="1" thickBot="1" x14ac:dyDescent="0.45">
      <c r="B10" s="236"/>
      <c r="C10" s="237"/>
      <c r="D10" s="238"/>
      <c r="F10" s="265"/>
      <c r="G10" s="157"/>
      <c r="I10" s="192" t="s">
        <v>7515</v>
      </c>
      <c r="J10" s="286">
        <f>3100.50032305277*(+K!Fak_1)</f>
        <v>31.005003230527702</v>
      </c>
      <c r="K10" s="286">
        <f>2219.92637617887*(+K!Fak_1)</f>
        <v>22.199263761788703</v>
      </c>
      <c r="L10" s="286">
        <f>6292.70987849659*(+K!Fak_1)</f>
        <v>62.927098784965899</v>
      </c>
      <c r="M10" s="286">
        <f>4126.12896605854*(+K!Fak_1)</f>
        <v>41.261289660585398</v>
      </c>
      <c r="N10" s="286">
        <f>5991.85969835147*(+K!Fak_1)</f>
        <v>59.918596983514703</v>
      </c>
      <c r="O10" s="286">
        <f>7209.31069896703*(+K!Fak_1)</f>
        <v>72.093106989670304</v>
      </c>
      <c r="P10" s="286">
        <f>7364.36810022738*(+K!Fak_1)</f>
        <v>73.643681002273794</v>
      </c>
      <c r="Q10" s="286">
        <f>2985.62646507189*(+K!Fak_1)</f>
        <v>29.856264650718899</v>
      </c>
      <c r="R10" s="286">
        <f>5677.35844640524*(+K!Fak_1)</f>
        <v>56.773584464052405</v>
      </c>
      <c r="S10" s="286">
        <f>5526.31018476722*(+K!Fak_1)</f>
        <v>55.263101847672196</v>
      </c>
      <c r="T10" s="287">
        <f>50494.0991375769*(+K!Fak_1)</f>
        <v>504.94099137576904</v>
      </c>
      <c r="U10" s="172" t="str">
        <f t="shared" ref="U10:U15" si="0">IF(denom_1="absolut",Einheit,"% FI gesamt")</f>
        <v>km²</v>
      </c>
      <c r="V10" s="160"/>
      <c r="W10" s="161">
        <f>+BQ10/BP10</f>
        <v>0.4859570052560705</v>
      </c>
      <c r="X10" s="364" t="s">
        <v>7527</v>
      </c>
      <c r="Y10" s="163"/>
      <c r="Z10" s="159"/>
      <c r="BP10" s="164">
        <f>+T10/$T$7</f>
        <v>50494.099137576901</v>
      </c>
      <c r="BQ10" s="164">
        <f>+T25/$T$23</f>
        <v>24537.961200000002</v>
      </c>
      <c r="BR10" s="164">
        <f>+BP10-BQ10</f>
        <v>25956.137937576899</v>
      </c>
    </row>
    <row r="11" spans="1:70" s="147" customFormat="1" ht="19.5" customHeight="1" thickTop="1" thickBot="1" x14ac:dyDescent="0.35">
      <c r="B11" s="227"/>
      <c r="C11" s="228"/>
      <c r="D11" s="235"/>
      <c r="E11" s="148"/>
      <c r="F11" s="265"/>
      <c r="I11" s="152" t="s">
        <v>25</v>
      </c>
      <c r="J11" s="288">
        <f>942.500155804681*(+K!Fak_1)</f>
        <v>9.4250015580468105</v>
      </c>
      <c r="K11" s="288">
        <f>738.811547963176*(+K!Fak_1)</f>
        <v>7.388115479631761</v>
      </c>
      <c r="L11" s="288">
        <f>1753.16005609217*(+K!Fak_1)</f>
        <v>17.531600560921699</v>
      </c>
      <c r="M11" s="288">
        <f>889.47857595477*(+K!Fak_1)</f>
        <v>8.8947857595477</v>
      </c>
      <c r="N11" s="288">
        <f>2169.82025614954*(+K!Fak_1)</f>
        <v>21.6982025614954</v>
      </c>
      <c r="O11" s="288">
        <f>2363.04973097953*(+K!Fak_1)</f>
        <v>23.630497309795302</v>
      </c>
      <c r="P11" s="288">
        <f>2239.23241204045*(+K!Fak_1)</f>
        <v>22.392324120404503</v>
      </c>
      <c r="Q11" s="288">
        <f>795.201926046316*(+K!Fak_1)</f>
        <v>7.9520192604631603</v>
      </c>
      <c r="R11" s="288">
        <f>1752.28885690138*(+K!Fak_1)</f>
        <v>17.522888569013801</v>
      </c>
      <c r="S11" s="288">
        <f>1743.72154435866*(+K!Fak_1)</f>
        <v>17.437215443586599</v>
      </c>
      <c r="T11" s="289">
        <f>15387.2650622907*(+K!Fak_1)</f>
        <v>153.872650622907</v>
      </c>
      <c r="U11" s="172" t="str">
        <f t="shared" si="0"/>
        <v>km²</v>
      </c>
      <c r="V11" s="160"/>
      <c r="W11" s="161">
        <f t="shared" ref="W11:W15" si="1">+BQ11/BP11</f>
        <v>0.72617522703131698</v>
      </c>
      <c r="X11" s="364"/>
      <c r="Y11" s="163"/>
      <c r="Z11" s="159"/>
      <c r="BP11" s="164">
        <f t="shared" ref="BP11:BP15" si="2">+T11/$T$7</f>
        <v>15387.2650622907</v>
      </c>
      <c r="BQ11" s="164">
        <f t="shared" ref="BQ11:BQ15" si="3">+T26/$T$23</f>
        <v>11173.850700000001</v>
      </c>
      <c r="BR11" s="164">
        <f t="shared" ref="BR11:BR15" si="4">+BP11-BQ11</f>
        <v>4213.4143622906995</v>
      </c>
    </row>
    <row r="12" spans="1:70" s="147" customFormat="1" ht="19.5" customHeight="1" thickTop="1" thickBot="1" x14ac:dyDescent="0.35">
      <c r="A12" s="167"/>
      <c r="B12" s="227"/>
      <c r="C12" s="228"/>
      <c r="D12" s="235"/>
      <c r="E12" s="148"/>
      <c r="F12" s="265"/>
      <c r="I12" s="152" t="s">
        <v>7410</v>
      </c>
      <c r="J12" s="288">
        <f>1746.84756115829*(+K!Fak_1)</f>
        <v>17.4684756115829</v>
      </c>
      <c r="K12" s="288">
        <f>1088.99368700018*(+K!Fak_1)</f>
        <v>10.889936870001801</v>
      </c>
      <c r="L12" s="288">
        <f>3422.88127895171*(+K!Fak_1)</f>
        <v>34.2288127895171</v>
      </c>
      <c r="M12" s="288">
        <f>2661.12492387747*(+K!Fak_1)</f>
        <v>26.6112492387747</v>
      </c>
      <c r="N12" s="288">
        <f>2750.81680778645*(+K!Fak_1)</f>
        <v>27.508168077864504</v>
      </c>
      <c r="O12" s="288">
        <f>3457.28125903413*(+K!Fak_1)</f>
        <v>34.5728125903413</v>
      </c>
      <c r="P12" s="288">
        <f>3891.33341298124*(+K!Fak_1)</f>
        <v>38.913334129812405</v>
      </c>
      <c r="Q12" s="288">
        <f>1857.95735982729*(+K!Fak_1)</f>
        <v>18.579573598272901</v>
      </c>
      <c r="R12" s="288">
        <f>3204.03003917831*(+K!Fak_1)</f>
        <v>32.040300391783099</v>
      </c>
      <c r="S12" s="288">
        <f>3113.0358157049*(+K!Fak_1)</f>
        <v>31.130358157048999</v>
      </c>
      <c r="T12" s="289">
        <f>27194.3021455*(+K!Fak_1)</f>
        <v>271.94302145500001</v>
      </c>
      <c r="U12" s="172" t="str">
        <f t="shared" si="0"/>
        <v>km²</v>
      </c>
      <c r="V12" s="160"/>
      <c r="W12" s="161">
        <f t="shared" si="1"/>
        <v>0.42170346341826109</v>
      </c>
      <c r="X12" s="364"/>
      <c r="Y12" s="163"/>
      <c r="Z12" s="159"/>
      <c r="BP12" s="164">
        <f t="shared" si="2"/>
        <v>27194.302145500002</v>
      </c>
      <c r="BQ12" s="164">
        <f t="shared" si="3"/>
        <v>11467.931399999999</v>
      </c>
      <c r="BR12" s="164">
        <f t="shared" si="4"/>
        <v>15726.370745500002</v>
      </c>
    </row>
    <row r="13" spans="1:70" s="147" customFormat="1" ht="19.5" customHeight="1" thickTop="1" thickBot="1" x14ac:dyDescent="0.35">
      <c r="B13" s="227"/>
      <c r="C13" s="228"/>
      <c r="D13" s="235"/>
      <c r="E13" s="148"/>
      <c r="F13" s="265"/>
      <c r="I13" s="152" t="s">
        <v>7409</v>
      </c>
      <c r="J13" s="288">
        <f>173.200948142041*(+K!Fak_1)</f>
        <v>1.7320094814204101</v>
      </c>
      <c r="K13" s="288">
        <f>190.590603340473*(+K!Fak_1)</f>
        <v>1.90590603340473</v>
      </c>
      <c r="L13" s="288">
        <f>596.773578735887*(+K!Fak_1)</f>
        <v>5.9677357873588699</v>
      </c>
      <c r="M13" s="288">
        <f>147.166576434286*(+K!Fak_1)</f>
        <v>1.4716657643428599</v>
      </c>
      <c r="N13" s="288">
        <f>548.405257504986*(+K!Fak_1)</f>
        <v>5.4840525750498603</v>
      </c>
      <c r="O13" s="288">
        <f>833.590648083561*(+K!Fak_1)</f>
        <v>8.3359064808356091</v>
      </c>
      <c r="P13" s="288">
        <f>513.663617781087*(+K!Fak_1)</f>
        <v>5.1366361778108702</v>
      </c>
      <c r="Q13" s="288">
        <f>85.058871413649*(+K!Fak_1)</f>
        <v>0.85058871413649006</v>
      </c>
      <c r="R13" s="288">
        <f>279.735134414516*(+K!Fak_1)</f>
        <v>2.7973513441451598</v>
      </c>
      <c r="S13" s="288">
        <f>362.3230014929*(+K!Fak_1)</f>
        <v>3.6232300149290002</v>
      </c>
      <c r="T13" s="289">
        <f>3730.50823734339*(+K!Fak_1)</f>
        <v>37.305082373433905</v>
      </c>
      <c r="U13" s="172" t="str">
        <f t="shared" si="0"/>
        <v>km²</v>
      </c>
      <c r="V13" s="160"/>
      <c r="W13" s="161">
        <f t="shared" si="1"/>
        <v>0.33719874611396261</v>
      </c>
      <c r="X13" s="364"/>
      <c r="Y13" s="163"/>
      <c r="Z13" s="159"/>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4">
        <f t="shared" si="2"/>
        <v>3730.5082373433902</v>
      </c>
      <c r="BQ13" s="164">
        <f t="shared" si="3"/>
        <v>1257.9227000000001</v>
      </c>
      <c r="BR13" s="164">
        <f t="shared" si="4"/>
        <v>2472.5855373433901</v>
      </c>
    </row>
    <row r="14" spans="1:70" s="147" customFormat="1" ht="19.5" customHeight="1" thickTop="1" x14ac:dyDescent="0.3">
      <c r="B14" s="227"/>
      <c r="C14" s="228"/>
      <c r="D14" s="235"/>
      <c r="E14" s="148"/>
      <c r="F14" s="265"/>
      <c r="I14" s="152" t="s">
        <v>7549</v>
      </c>
      <c r="J14" s="288">
        <f>187.092969109811*(+K!Fak_1)</f>
        <v>1.8709296910981101</v>
      </c>
      <c r="K14" s="288">
        <f>171.224521310331*(+K!Fak_1)</f>
        <v>1.7122452131033101</v>
      </c>
      <c r="L14" s="288">
        <f>412.900074197048*(+K!Fak_1)</f>
        <v>4.1290007419704802</v>
      </c>
      <c r="M14" s="288">
        <f>397.159083809273*(+K!Fak_1)</f>
        <v>3.9715908380927303</v>
      </c>
      <c r="N14" s="288">
        <f>317.935923631432*(+K!Fak_1)</f>
        <v>3.1793592363143199</v>
      </c>
      <c r="O14" s="288">
        <f>434.95756573059*(+K!Fak_1)</f>
        <v>4.3495756573059001</v>
      </c>
      <c r="P14" s="288">
        <f>487.206845872914*(+K!Fak_1)</f>
        <v>4.8720684587291405</v>
      </c>
      <c r="Q14" s="288">
        <f>200.965795299736*(+K!Fak_1)</f>
        <v>2.0096579529973599</v>
      </c>
      <c r="R14" s="288">
        <f>262.631028969757*(+K!Fak_1)</f>
        <v>2.6263102896975701</v>
      </c>
      <c r="S14" s="288">
        <f>181.105279216496*(+K!Fak_1)</f>
        <v>1.81105279216496</v>
      </c>
      <c r="T14" s="290">
        <f>3053.17908714739*(+K!Fak_1)</f>
        <v>30.531790871473902</v>
      </c>
      <c r="U14" s="172" t="str">
        <f t="shared" si="0"/>
        <v>km²</v>
      </c>
      <c r="V14" s="160"/>
      <c r="W14" s="161">
        <f t="shared" si="1"/>
        <v>0.15612795266633775</v>
      </c>
      <c r="X14" s="364"/>
      <c r="Y14" s="163"/>
      <c r="Z14" s="159"/>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4">
        <f t="shared" si="2"/>
        <v>3053.17908714739</v>
      </c>
      <c r="BQ14" s="164">
        <f t="shared" si="3"/>
        <v>476.6866</v>
      </c>
      <c r="BR14" s="164">
        <f t="shared" si="4"/>
        <v>2576.49248714739</v>
      </c>
    </row>
    <row r="15" spans="1:70" s="147" customFormat="1" ht="19.5" customHeight="1" x14ac:dyDescent="0.3">
      <c r="B15" s="227"/>
      <c r="C15" s="228"/>
      <c r="D15" s="235"/>
      <c r="E15" s="148"/>
      <c r="F15" s="265"/>
      <c r="I15" s="152" t="s">
        <v>7519</v>
      </c>
      <c r="J15" s="288">
        <f>50.8586888379438*(+K!Fak_1)</f>
        <v>0.508586888379438</v>
      </c>
      <c r="K15" s="288">
        <f>30.3060165647063*(+K!Fak_1)</f>
        <v>0.30306016564706301</v>
      </c>
      <c r="L15" s="288">
        <f>106.994890519776*(+K!Fak_1)</f>
        <v>1.0699489051977602</v>
      </c>
      <c r="M15" s="288">
        <f>31.1998059827338*(+K!Fak_1)</f>
        <v>0.31199805982733803</v>
      </c>
      <c r="N15" s="288">
        <f>204.881453279063*(+K!Fak_1)</f>
        <v>2.04881453279063</v>
      </c>
      <c r="O15" s="288">
        <f>120.43149513922*(+K!Fak_1)</f>
        <v>1.2043149513922</v>
      </c>
      <c r="P15" s="288">
        <f>232.93181155169*(+K!Fak_1)</f>
        <v>2.3293181155169003</v>
      </c>
      <c r="Q15" s="288">
        <f>46.4425124849006*(+K!Fak_1)</f>
        <v>0.464425124849006</v>
      </c>
      <c r="R15" s="288">
        <f>178.673386941278*(+K!Fak_1)</f>
        <v>1.7867338694127801</v>
      </c>
      <c r="S15" s="288">
        <f>126.124543994272*(+K!Fak_1)</f>
        <v>1.26124543994272</v>
      </c>
      <c r="T15" s="290">
        <f>1128.84460529558*(+K!Fak_1)</f>
        <v>11.288446052955802</v>
      </c>
      <c r="U15" s="172" t="str">
        <f t="shared" si="0"/>
        <v>km²</v>
      </c>
      <c r="V15" s="160"/>
      <c r="W15" s="161">
        <f t="shared" si="1"/>
        <v>0.14312846891596215</v>
      </c>
      <c r="X15" s="364"/>
      <c r="Y15" s="163"/>
      <c r="Z15" s="159"/>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4">
        <f t="shared" si="2"/>
        <v>1128.8446052955801</v>
      </c>
      <c r="BQ15" s="164">
        <f t="shared" si="3"/>
        <v>161.56979999999999</v>
      </c>
      <c r="BR15" s="164">
        <f t="shared" si="4"/>
        <v>967.27480529558011</v>
      </c>
    </row>
    <row r="16" spans="1:70" s="147" customFormat="1" ht="21" customHeight="1" x14ac:dyDescent="0.3">
      <c r="B16" s="227"/>
      <c r="C16" s="228"/>
      <c r="D16" s="235"/>
      <c r="E16" s="148"/>
      <c r="F16" s="265"/>
      <c r="I16" s="152"/>
      <c r="J16" s="168"/>
      <c r="K16" s="168"/>
      <c r="L16" s="168"/>
      <c r="M16" s="168"/>
      <c r="N16" s="168"/>
      <c r="O16" s="168"/>
      <c r="P16" s="168"/>
      <c r="Q16" s="168"/>
      <c r="R16" s="168"/>
      <c r="S16" s="168"/>
      <c r="T16" s="170"/>
      <c r="U16" s="172"/>
      <c r="V16" s="168"/>
    </row>
    <row r="17" spans="2:24"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172"/>
      <c r="V17" s="168"/>
    </row>
    <row r="18" spans="2:24" s="147" customFormat="1" ht="42.75" customHeight="1" x14ac:dyDescent="0.3">
      <c r="B18" s="227"/>
      <c r="C18" s="228"/>
      <c r="D18" s="235"/>
      <c r="E18" s="148"/>
      <c r="F18" s="265"/>
      <c r="J18" s="173">
        <f t="shared" ref="J18:T18" si="5">FI_gesamt/EW*10000</f>
        <v>1037.3035540491035</v>
      </c>
      <c r="K18" s="173">
        <f t="shared" si="5"/>
        <v>1231.2403639372546</v>
      </c>
      <c r="L18" s="173">
        <f t="shared" si="5"/>
        <v>1032.0824455063209</v>
      </c>
      <c r="M18" s="173">
        <f t="shared" si="5"/>
        <v>402.08627785169654</v>
      </c>
      <c r="N18" s="173">
        <f t="shared" si="5"/>
        <v>1111.7035322927511</v>
      </c>
      <c r="O18" s="173">
        <f t="shared" si="5"/>
        <v>954.25627062794069</v>
      </c>
      <c r="P18" s="173">
        <f t="shared" si="5"/>
        <v>1128.033713751609</v>
      </c>
      <c r="Q18" s="173">
        <f t="shared" si="5"/>
        <v>465.98718063896143</v>
      </c>
      <c r="R18" s="173">
        <f t="shared" si="5"/>
        <v>1354.8164768894499</v>
      </c>
      <c r="S18" s="173">
        <f t="shared" si="5"/>
        <v>1056.7366882299257</v>
      </c>
      <c r="T18" s="173">
        <f t="shared" si="5"/>
        <v>894.47185693822803</v>
      </c>
      <c r="U18" s="171" t="s">
        <v>7413</v>
      </c>
    </row>
    <row r="19" spans="2:24" s="147" customFormat="1" ht="42.75" customHeight="1" x14ac:dyDescent="0.3">
      <c r="B19" s="227"/>
      <c r="C19" s="228"/>
      <c r="D19" s="235"/>
      <c r="E19" s="148"/>
      <c r="F19" s="265"/>
      <c r="I19" s="152" t="s">
        <v>7550</v>
      </c>
      <c r="J19" s="372"/>
      <c r="K19" s="372"/>
      <c r="L19" s="372"/>
      <c r="M19" s="372"/>
      <c r="N19" s="372"/>
      <c r="O19" s="372"/>
      <c r="P19" s="372"/>
      <c r="Q19" s="372"/>
      <c r="R19" s="372"/>
      <c r="S19" s="372"/>
      <c r="T19" s="372"/>
      <c r="U19" s="171"/>
      <c r="V19" s="168"/>
    </row>
    <row r="20" spans="2:24" s="147" customFormat="1" ht="66.75" customHeight="1" x14ac:dyDescent="0.3">
      <c r="B20" s="227"/>
      <c r="C20" s="228"/>
      <c r="D20" s="235"/>
      <c r="E20" s="148"/>
      <c r="F20" s="265"/>
      <c r="I20" s="245"/>
      <c r="J20" s="174">
        <f t="shared" ref="J20:T20" si="6">100*Fak_Einheit*FI_gesamt/DSR</f>
        <v>18.903517210062208</v>
      </c>
      <c r="K20" s="174">
        <f t="shared" si="6"/>
        <v>17.554892306808181</v>
      </c>
      <c r="L20" s="174">
        <f t="shared" si="6"/>
        <v>22.242055580778526</v>
      </c>
      <c r="M20" s="174">
        <f t="shared" si="6"/>
        <v>48.568862450106643</v>
      </c>
      <c r="N20" s="174">
        <f t="shared" si="6"/>
        <v>13.320431075168182</v>
      </c>
      <c r="O20" s="174">
        <f t="shared" si="6"/>
        <v>20.806713443718134</v>
      </c>
      <c r="P20" s="174">
        <f t="shared" si="6"/>
        <v>27.221526236301248</v>
      </c>
      <c r="Q20" s="174">
        <f t="shared" si="6"/>
        <v>51.331808117550359</v>
      </c>
      <c r="R20" s="174">
        <f t="shared" si="6"/>
        <v>17.435602382437132</v>
      </c>
      <c r="S20" s="174">
        <f t="shared" si="6"/>
        <v>15.959658557599244</v>
      </c>
      <c r="T20" s="174">
        <f t="shared" si="6"/>
        <v>0.20565803718098533</v>
      </c>
      <c r="U20" s="373" t="s">
        <v>7418</v>
      </c>
      <c r="V20" s="373"/>
      <c r="W20" s="373"/>
      <c r="X20" s="266"/>
    </row>
    <row r="21" spans="2:24" ht="51" customHeight="1" x14ac:dyDescent="0.3">
      <c r="G21" s="176"/>
      <c r="H21" s="176"/>
      <c r="I21" s="369" t="s">
        <v>7474</v>
      </c>
      <c r="J21" s="369"/>
      <c r="K21" s="369"/>
      <c r="L21" s="369"/>
      <c r="M21" s="369"/>
      <c r="N21" s="369"/>
      <c r="O21" s="369"/>
      <c r="P21" s="369"/>
      <c r="Q21" s="369"/>
      <c r="R21" s="369"/>
      <c r="S21" s="369"/>
      <c r="T21" s="369"/>
      <c r="U21" s="369"/>
      <c r="V21" s="369"/>
      <c r="W21" s="175"/>
    </row>
    <row r="22" spans="2:24" ht="49.5" hidden="1" customHeight="1" x14ac:dyDescent="0.3">
      <c r="H22" s="177" t="s">
        <v>7522</v>
      </c>
      <c r="I22" s="138"/>
      <c r="J22" s="138">
        <v>1393.7007000000001</v>
      </c>
      <c r="K22" s="138">
        <v>1112.5241000000001</v>
      </c>
      <c r="L22" s="138">
        <v>2794.8119000000002</v>
      </c>
      <c r="M22" s="138">
        <v>2266.1545999999998</v>
      </c>
      <c r="N22" s="138">
        <v>3053.8516</v>
      </c>
      <c r="O22" s="138">
        <v>3639.9470999999999</v>
      </c>
      <c r="P22" s="138">
        <v>3286.0416</v>
      </c>
      <c r="Q22" s="138">
        <v>1511.7553</v>
      </c>
      <c r="R22" s="138">
        <v>2708.7655</v>
      </c>
      <c r="S22" s="138">
        <v>2770.4088000000002</v>
      </c>
      <c r="T22" s="138">
        <v>24537.961200000002</v>
      </c>
      <c r="V22" s="138"/>
    </row>
    <row r="23" spans="2:24" ht="18" hidden="1" x14ac:dyDescent="0.35">
      <c r="B23" s="232"/>
      <c r="C23" s="233"/>
      <c r="D23" s="239"/>
      <c r="E23" s="138"/>
      <c r="H23" s="177" t="s">
        <v>7521</v>
      </c>
      <c r="I23" s="138"/>
      <c r="J23" s="138">
        <f>Fak_Einheit/IF(denom_1="absolut",1,Fak_Einheit*K!VS_gesamt)</f>
        <v>0.01</v>
      </c>
      <c r="K23" s="138">
        <f>Fak_Einheit/IF(denom_1="absolut",1,Fak_Einheit*K!VS_gesamt)</f>
        <v>0.01</v>
      </c>
      <c r="L23" s="138">
        <f>Fak_Einheit/IF(denom_1="absolut",1,Fak_Einheit*K!VS_gesamt)</f>
        <v>0.01</v>
      </c>
      <c r="M23" s="138">
        <f>Fak_Einheit/IF(denom_1="absolut",1,Fak_Einheit*K!VS_gesamt)</f>
        <v>0.01</v>
      </c>
      <c r="N23" s="138">
        <f>Fak_Einheit/IF(denom_1="absolut",1,Fak_Einheit*K!VS_gesamt)</f>
        <v>0.01</v>
      </c>
      <c r="O23" s="138">
        <f>Fak_Einheit/IF(denom_1="absolut",1,Fak_Einheit*K!VS_gesamt)</f>
        <v>0.01</v>
      </c>
      <c r="P23" s="138">
        <f>Fak_Einheit/IF(denom_1="absolut",1,Fak_Einheit*K!VS_gesamt)</f>
        <v>0.01</v>
      </c>
      <c r="Q23" s="138">
        <f>Fak_Einheit/IF(denom_1="absolut",1,Fak_Einheit*K!VS_gesamt)</f>
        <v>0.01</v>
      </c>
      <c r="R23" s="138">
        <f>Fak_Einheit/IF(denom_1="absolut",1,Fak_Einheit*K!VS_gesamt)</f>
        <v>0.01</v>
      </c>
      <c r="S23" s="138">
        <f>Fak_Einheit/IF(denom_1="absolut",1,Fak_Einheit*K!VS_gesamt)</f>
        <v>0.01</v>
      </c>
      <c r="T23" s="138">
        <f>Fak_Einheit/IF(denom_1="absolut",1,Fak_Einheit*K!VS_gesamt)</f>
        <v>0.01</v>
      </c>
      <c r="V23" s="138"/>
    </row>
    <row r="24" spans="2:24" ht="86.25" customHeight="1" x14ac:dyDescent="0.4">
      <c r="G24" s="144"/>
      <c r="H24" s="210"/>
      <c r="I24" s="210"/>
      <c r="J24" s="278" t="str">
        <f t="shared" ref="J24:S24" si="7">+J9</f>
        <v>Feldkirchen</v>
      </c>
      <c r="K24" s="278" t="str">
        <f t="shared" si="7"/>
        <v>Hermagor</v>
      </c>
      <c r="L24" s="278" t="str">
        <f t="shared" si="7"/>
        <v>Klagenfurt Land</v>
      </c>
      <c r="M24" s="278" t="str">
        <f t="shared" si="7"/>
        <v>Klagenfurt Stadt</v>
      </c>
      <c r="N24" s="278" t="str">
        <f t="shared" si="7"/>
        <v>Sankt Veit an der Glan</v>
      </c>
      <c r="O24" s="278" t="str">
        <f t="shared" si="7"/>
        <v>Spittal an der Drau</v>
      </c>
      <c r="P24" s="278" t="str">
        <f t="shared" si="7"/>
        <v>Villach Land</v>
      </c>
      <c r="Q24" s="278" t="str">
        <f t="shared" si="7"/>
        <v>Villach Stadt</v>
      </c>
      <c r="R24" s="278" t="str">
        <f t="shared" si="7"/>
        <v>Völkermarkt</v>
      </c>
      <c r="S24" s="278" t="str">
        <f t="shared" si="7"/>
        <v>Wolfsberg</v>
      </c>
      <c r="T24" s="279" t="str">
        <f>K!BL</f>
        <v>K</v>
      </c>
      <c r="U24" s="210"/>
      <c r="V24" s="147"/>
      <c r="W24" s="147"/>
      <c r="X24" s="147"/>
    </row>
    <row r="25" spans="2:24" ht="19.5" customHeight="1" thickBot="1" x14ac:dyDescent="0.35">
      <c r="G25" s="146"/>
      <c r="I25" s="158" t="s">
        <v>7516</v>
      </c>
      <c r="J25" s="280">
        <f>1393.7007*(+K!Fak_2)</f>
        <v>13.937007000000001</v>
      </c>
      <c r="K25" s="280">
        <f>1112.5241*(+K!Fak_2)</f>
        <v>11.125241000000001</v>
      </c>
      <c r="L25" s="280">
        <f>2794.8119*(+K!Fak_2)</f>
        <v>27.948119000000002</v>
      </c>
      <c r="M25" s="280">
        <f>2266.1546*(+K!Fak_2)</f>
        <v>22.661545999999998</v>
      </c>
      <c r="N25" s="280">
        <f>3053.8516*(+K!Fak_2)</f>
        <v>30.538516000000001</v>
      </c>
      <c r="O25" s="280">
        <f>3639.9471*(+K!Fak_2)</f>
        <v>36.399470999999998</v>
      </c>
      <c r="P25" s="280">
        <f>3286.0416*(+K!Fak_2)</f>
        <v>32.860416000000001</v>
      </c>
      <c r="Q25" s="280">
        <f>1511.7553*(+K!Fak_2)</f>
        <v>15.117553000000001</v>
      </c>
      <c r="R25" s="280">
        <f>2708.7655*(+K!Fak_2)</f>
        <v>27.087655000000002</v>
      </c>
      <c r="S25" s="280">
        <f>2770.4088*(+K!Fak_2)</f>
        <v>27.704088000000002</v>
      </c>
      <c r="T25" s="281">
        <f>24537.9612*(+K!Fak_2)</f>
        <v>245.37961200000001</v>
      </c>
      <c r="U25" s="159" t="str">
        <f t="shared" ref="U25:U30" si="8">IF(denom_1="absolut",Einheit,"% VS gesamt")</f>
        <v>km²</v>
      </c>
      <c r="V25" s="160"/>
      <c r="W25" s="161">
        <f>BQ10/BP10</f>
        <v>0.4859570052560705</v>
      </c>
      <c r="X25" s="364" t="s">
        <v>7528</v>
      </c>
    </row>
    <row r="26" spans="2:24" ht="19.5" customHeight="1" thickTop="1" thickBot="1" x14ac:dyDescent="0.35">
      <c r="F26" s="138" t="s">
        <v>7411</v>
      </c>
      <c r="G26" s="144"/>
      <c r="I26" s="148" t="s">
        <v>25</v>
      </c>
      <c r="J26" s="282">
        <f>655.4039*(+K!Fak_2)</f>
        <v>6.5540390000000004</v>
      </c>
      <c r="K26" s="282">
        <f>542.3369*(+K!Fak_2)</f>
        <v>5.4233690000000001</v>
      </c>
      <c r="L26" s="282">
        <f>1274.5136*(+K!Fak_2)</f>
        <v>12.745136</v>
      </c>
      <c r="M26" s="282">
        <f>680.8627*(+K!Fak_2)</f>
        <v>6.8086270000000004</v>
      </c>
      <c r="N26" s="282">
        <f>1590.3074*(+K!Fak_2)</f>
        <v>15.903074</v>
      </c>
      <c r="O26" s="282">
        <f>1706.4762*(+K!Fak_2)</f>
        <v>17.064762000000002</v>
      </c>
      <c r="P26" s="282">
        <f>1586.384*(+K!Fak_2)</f>
        <v>15.86384</v>
      </c>
      <c r="Q26" s="282">
        <f>545.014*(+K!Fak_2)</f>
        <v>5.4501400000000002</v>
      </c>
      <c r="R26" s="282">
        <f>1287.618*(+K!Fak_2)</f>
        <v>12.87618</v>
      </c>
      <c r="S26" s="282">
        <f>1304.934*(+K!Fak_2)</f>
        <v>13.049340000000001</v>
      </c>
      <c r="T26" s="283">
        <f>11173.8507*(+K!Fak_2)</f>
        <v>111.73850700000001</v>
      </c>
      <c r="U26" s="159" t="str">
        <f t="shared" si="8"/>
        <v>km²</v>
      </c>
      <c r="V26" s="160"/>
      <c r="W26" s="161">
        <f t="shared" ref="W26:W30" si="9">BQ11/BP11</f>
        <v>0.72617522703131698</v>
      </c>
      <c r="X26" s="364"/>
    </row>
    <row r="27" spans="2:24" ht="19.5" customHeight="1" thickTop="1" thickBot="1" x14ac:dyDescent="0.35">
      <c r="G27" s="222"/>
      <c r="I27" s="148" t="s">
        <v>7410</v>
      </c>
      <c r="J27" s="282">
        <f>659.45*(+K!Fak_2)</f>
        <v>6.5945000000000009</v>
      </c>
      <c r="K27" s="282">
        <f>467.0268*(+K!Fak_2)</f>
        <v>4.6702680000000001</v>
      </c>
      <c r="L27" s="282">
        <f>1223.3497*(+K!Fak_2)</f>
        <v>12.233497</v>
      </c>
      <c r="M27" s="282">
        <f>1442.262*(+K!Fak_2)</f>
        <v>14.42262</v>
      </c>
      <c r="N27" s="282">
        <f>1215.4913*(+K!Fak_2)</f>
        <v>12.154912999999999</v>
      </c>
      <c r="O27" s="282">
        <f>1532.9372*(+K!Fak_2)</f>
        <v>15.329372000000001</v>
      </c>
      <c r="P27" s="282">
        <f>1465.2932*(+K!Fak_2)</f>
        <v>14.652932000000002</v>
      </c>
      <c r="Q27" s="282">
        <f>893.6453*(+K!Fak_2)</f>
        <v>8.9364530000000002</v>
      </c>
      <c r="R27" s="282">
        <f>1261.2917*(+K!Fak_2)</f>
        <v>12.612916999999999</v>
      </c>
      <c r="S27" s="282">
        <f>1307.1842*(+K!Fak_2)</f>
        <v>13.071842</v>
      </c>
      <c r="T27" s="283">
        <f>11467.9314*(+K!Fak_2)</f>
        <v>114.67931399999999</v>
      </c>
      <c r="U27" s="159" t="str">
        <f t="shared" si="8"/>
        <v>km²</v>
      </c>
      <c r="V27" s="160"/>
      <c r="W27" s="161">
        <f t="shared" si="9"/>
        <v>0.42170346341826109</v>
      </c>
      <c r="X27" s="364"/>
    </row>
    <row r="28" spans="2:24" ht="19.5" customHeight="1" thickTop="1" thickBot="1" x14ac:dyDescent="0.35">
      <c r="G28" s="222"/>
      <c r="I28" s="148" t="s">
        <v>7409</v>
      </c>
      <c r="J28" s="282">
        <f>47.3123*(+K!Fak_2)</f>
        <v>0.47312300000000002</v>
      </c>
      <c r="K28" s="282">
        <f>74.2861*(+K!Fak_2)</f>
        <v>0.7428610000000001</v>
      </c>
      <c r="L28" s="282">
        <f>213.8281*(+K!Fak_2)</f>
        <v>2.1382810000000001</v>
      </c>
      <c r="M28" s="282">
        <f>62.124*(+K!Fak_2)</f>
        <v>0.62124000000000001</v>
      </c>
      <c r="N28" s="282">
        <f>187.324*(+K!Fak_2)</f>
        <v>1.8732400000000002</v>
      </c>
      <c r="O28" s="282">
        <f>311.6715*(+K!Fak_2)</f>
        <v>3.1167149999999997</v>
      </c>
      <c r="P28" s="282">
        <f>143.8309*(+K!Fak_2)</f>
        <v>1.4383090000000001</v>
      </c>
      <c r="Q28" s="282">
        <f>33.3183*(+K!Fak_2)</f>
        <v>0.33318300000000001</v>
      </c>
      <c r="R28" s="282">
        <f>80.679*(+K!Fak_2)</f>
        <v>0.80679000000000001</v>
      </c>
      <c r="S28" s="282">
        <f>103.5485*(+K!Fak_2)</f>
        <v>1.035485</v>
      </c>
      <c r="T28" s="283">
        <f>1257.9227*(+K!Fak_2)</f>
        <v>12.579227000000001</v>
      </c>
      <c r="U28" s="159" t="str">
        <f t="shared" si="8"/>
        <v>km²</v>
      </c>
      <c r="V28" s="160"/>
      <c r="W28" s="161">
        <f t="shared" si="9"/>
        <v>0.33719874611396261</v>
      </c>
      <c r="X28" s="364"/>
    </row>
    <row r="29" spans="2:24" ht="19.5" customHeight="1" thickTop="1" x14ac:dyDescent="0.3">
      <c r="G29" s="222"/>
      <c r="I29" s="148" t="s">
        <v>7549</v>
      </c>
      <c r="J29" s="282">
        <f>26.5031*(+K!Fak_2)</f>
        <v>0.26503100000000002</v>
      </c>
      <c r="K29" s="282">
        <f>22.1411*(+K!Fak_2)</f>
        <v>0.22141100000000002</v>
      </c>
      <c r="L29" s="282">
        <f>55.0627*(+K!Fak_2)</f>
        <v>0.55062699999999998</v>
      </c>
      <c r="M29" s="282">
        <f>77.4896*(+K!Fak_2)</f>
        <v>0.77489600000000003</v>
      </c>
      <c r="N29" s="282">
        <f>42.0561*(+K!Fak_2)</f>
        <v>0.42056100000000002</v>
      </c>
      <c r="O29" s="282">
        <f>69.392*(+K!Fak_2)</f>
        <v>0.69391999999999998</v>
      </c>
      <c r="P29" s="282">
        <f>67.2912*(+K!Fak_2)</f>
        <v>0.67291200000000007</v>
      </c>
      <c r="Q29" s="282">
        <f>33.7669*(+K!Fak_2)</f>
        <v>0.337669</v>
      </c>
      <c r="R29" s="282">
        <f>49.9278*(+K!Fak_2)</f>
        <v>0.499278</v>
      </c>
      <c r="S29" s="282">
        <f>33.0561*(+K!Fak_2)</f>
        <v>0.33056099999999999</v>
      </c>
      <c r="T29" s="204">
        <f>476.6866*(+K!Fak_2)</f>
        <v>4.7668660000000003</v>
      </c>
      <c r="U29" s="159" t="str">
        <f t="shared" si="8"/>
        <v>km²</v>
      </c>
      <c r="V29" s="160"/>
      <c r="W29" s="161">
        <f t="shared" si="9"/>
        <v>0.15612795266633775</v>
      </c>
      <c r="X29" s="364"/>
    </row>
    <row r="30" spans="2:24" ht="19.5" customHeight="1" x14ac:dyDescent="0.3">
      <c r="G30" s="222"/>
      <c r="I30" s="148" t="s">
        <v>7519</v>
      </c>
      <c r="J30" s="282">
        <f>5.0314*(+K!Fak_2)</f>
        <v>5.0313999999999998E-2</v>
      </c>
      <c r="K30" s="282">
        <f>6.7332*(+K!Fak_2)</f>
        <v>6.7332000000000003E-2</v>
      </c>
      <c r="L30" s="282">
        <f>28.0578*(+K!Fak_2)</f>
        <v>0.28057799999999999</v>
      </c>
      <c r="M30" s="282">
        <f>3.4163*(+K!Fak_2)</f>
        <v>3.4162999999999999E-2</v>
      </c>
      <c r="N30" s="282">
        <f>18.6728*(+K!Fak_2)</f>
        <v>0.18672800000000001</v>
      </c>
      <c r="O30" s="282">
        <f>19.4702*(+K!Fak_2)</f>
        <v>0.19470199999999999</v>
      </c>
      <c r="P30" s="282">
        <f>23.2423*(+K!Fak_2)</f>
        <v>0.23242300000000002</v>
      </c>
      <c r="Q30" s="282">
        <f>6.0108*(+K!Fak_2)</f>
        <v>6.0108000000000002E-2</v>
      </c>
      <c r="R30" s="282">
        <f>29.249*(+K!Fak_2)</f>
        <v>0.29248999999999997</v>
      </c>
      <c r="S30" s="282">
        <f>21.686*(+K!Fak_2)</f>
        <v>0.21686</v>
      </c>
      <c r="T30" s="204">
        <f>161.5698*(+K!Fak_2)</f>
        <v>1.6156979999999999</v>
      </c>
      <c r="U30" s="159" t="str">
        <f t="shared" si="8"/>
        <v>km²</v>
      </c>
      <c r="V30" s="160"/>
      <c r="W30" s="161">
        <f t="shared" si="9"/>
        <v>0.14312846891596215</v>
      </c>
      <c r="X30" s="364"/>
    </row>
    <row r="31" spans="2:24" ht="19.5" customHeight="1" x14ac:dyDescent="0.3">
      <c r="G31" s="222"/>
      <c r="I31" s="148"/>
      <c r="J31" s="284"/>
      <c r="K31" s="284"/>
      <c r="L31" s="284"/>
      <c r="M31" s="284"/>
      <c r="N31" s="284"/>
      <c r="O31" s="284"/>
      <c r="P31" s="284"/>
      <c r="Q31" s="284"/>
      <c r="R31" s="284"/>
      <c r="S31" s="284"/>
      <c r="T31" s="284"/>
      <c r="U31" s="159"/>
      <c r="V31" s="160"/>
      <c r="W31" s="189"/>
      <c r="X31" s="147"/>
    </row>
    <row r="32" spans="2:24" ht="19.5" customHeight="1" x14ac:dyDescent="0.3">
      <c r="G32" s="144"/>
      <c r="I32" s="148" t="s">
        <v>7514</v>
      </c>
      <c r="J32" s="282">
        <f t="shared" ref="J32:T32" si="10">+VS_gesamt*10000/EW</f>
        <v>466.27658079625297</v>
      </c>
      <c r="K32" s="282">
        <f t="shared" si="10"/>
        <v>617.0405435385469</v>
      </c>
      <c r="L32" s="282">
        <f t="shared" si="10"/>
        <v>458.38380541568944</v>
      </c>
      <c r="M32" s="282">
        <f t="shared" si="10"/>
        <v>220.83402521974702</v>
      </c>
      <c r="N32" s="282">
        <f t="shared" si="10"/>
        <v>566.59831533637612</v>
      </c>
      <c r="O32" s="282">
        <f t="shared" si="10"/>
        <v>481.79950760433627</v>
      </c>
      <c r="P32" s="282">
        <f t="shared" si="10"/>
        <v>503.33791835796893</v>
      </c>
      <c r="Q32" s="282">
        <f t="shared" si="10"/>
        <v>235.95000858422688</v>
      </c>
      <c r="R32" s="282">
        <f t="shared" si="10"/>
        <v>646.40627610070396</v>
      </c>
      <c r="S32" s="282">
        <f t="shared" si="10"/>
        <v>529.75539238182648</v>
      </c>
      <c r="T32" s="282">
        <f t="shared" si="10"/>
        <v>434.67486488353683</v>
      </c>
      <c r="U32" s="224" t="s">
        <v>7513</v>
      </c>
      <c r="V32" s="147"/>
      <c r="W32" s="147"/>
      <c r="X32" s="147"/>
    </row>
    <row r="33" spans="7:35" ht="19.5" customHeight="1" x14ac:dyDescent="0.3">
      <c r="G33" s="144"/>
      <c r="I33" s="148" t="s">
        <v>7472</v>
      </c>
      <c r="J33" s="285">
        <f>100*Fak_Einheit*VS_gesamt/K!DSR</f>
        <v>8.4972883157726873</v>
      </c>
      <c r="K33" s="285">
        <f>100*Fak_Einheit*VS_gesamt/K!DSR</f>
        <v>8.7976975154670853</v>
      </c>
      <c r="L33" s="285">
        <f>100*Fak_Einheit*VS_gesamt/K!DSR</f>
        <v>9.8784725210424984</v>
      </c>
      <c r="M33" s="285">
        <f>100*Fak_Einheit*VS_gesamt/K!DSR</f>
        <v>26.6750147568012</v>
      </c>
      <c r="N33" s="285">
        <f>100*Fak_Einheit*VS_gesamt/K!DSR</f>
        <v>6.7889806837072486</v>
      </c>
      <c r="O33" s="285">
        <f>100*Fak_Einheit*VS_gesamt/K!DSR</f>
        <v>10.505211860385543</v>
      </c>
      <c r="P33" s="285">
        <f>100*Fak_Einheit*VS_gesamt/K!DSR</f>
        <v>12.146468836235314</v>
      </c>
      <c r="Q33" s="285">
        <f>100*Fak_Einheit*VS_gesamt/K!DSR</f>
        <v>25.991574595190109</v>
      </c>
      <c r="R33" s="285">
        <f>100*Fak_Einheit*VS_gesamt/K!DSR</f>
        <v>8.3188262025568758</v>
      </c>
      <c r="S33" s="285">
        <f>100*Fak_Einheit*VS_gesamt/K!DSR</f>
        <v>8.000777559472203</v>
      </c>
      <c r="T33" s="285">
        <f>100*Fak_Einheit*VS_gesamt/K!DSR</f>
        <v>9.9940963855313036E-2</v>
      </c>
      <c r="U33" s="210" t="s">
        <v>7418</v>
      </c>
      <c r="V33" s="147"/>
      <c r="W33" s="147"/>
      <c r="X33" s="147"/>
    </row>
    <row r="34" spans="7:35" ht="19.5" customHeight="1" x14ac:dyDescent="0.3">
      <c r="G34" s="144"/>
      <c r="I34" s="148"/>
      <c r="J34" s="285"/>
      <c r="K34" s="285"/>
      <c r="L34" s="285"/>
      <c r="M34" s="285"/>
      <c r="N34" s="285"/>
      <c r="O34" s="285"/>
      <c r="P34" s="285"/>
      <c r="Q34" s="285"/>
      <c r="R34" s="285"/>
      <c r="S34" s="285"/>
      <c r="T34" s="285"/>
      <c r="U34" s="210"/>
      <c r="V34" s="147"/>
      <c r="W34" s="147"/>
      <c r="X34" s="147"/>
    </row>
    <row r="35" spans="7:35" ht="19.5" customHeight="1" x14ac:dyDescent="0.3">
      <c r="G35" s="144"/>
      <c r="I35" s="369" t="s">
        <v>7415</v>
      </c>
      <c r="J35" s="369"/>
      <c r="K35" s="369"/>
      <c r="L35" s="369"/>
      <c r="M35" s="369"/>
      <c r="N35" s="369"/>
      <c r="O35" s="369"/>
      <c r="P35" s="369"/>
      <c r="Q35" s="369"/>
      <c r="R35" s="369"/>
      <c r="S35" s="369"/>
      <c r="T35" s="369"/>
      <c r="U35" s="369"/>
      <c r="V35" s="147"/>
      <c r="W35" s="147"/>
      <c r="X35" s="147"/>
    </row>
    <row r="36" spans="7:35" ht="19.5" customHeight="1" x14ac:dyDescent="0.3">
      <c r="G36" s="144"/>
      <c r="I36" s="148"/>
      <c r="J36" s="285"/>
      <c r="K36" s="285"/>
      <c r="L36" s="285"/>
      <c r="M36" s="285"/>
      <c r="N36" s="285"/>
      <c r="O36" s="285"/>
      <c r="P36" s="285"/>
      <c r="Q36" s="285"/>
      <c r="R36" s="285"/>
      <c r="S36" s="285"/>
      <c r="T36" s="285"/>
      <c r="U36" s="210"/>
      <c r="V36" s="147"/>
      <c r="W36" s="147"/>
      <c r="X36" s="147"/>
    </row>
    <row r="37" spans="7:35" ht="19.5" customHeight="1" x14ac:dyDescent="0.3">
      <c r="G37" s="144"/>
      <c r="I37" s="148"/>
      <c r="J37" s="285"/>
      <c r="K37" s="285"/>
      <c r="L37" s="285"/>
      <c r="M37" s="285"/>
      <c r="N37" s="285"/>
      <c r="O37" s="285"/>
      <c r="P37" s="285"/>
      <c r="Q37" s="285"/>
      <c r="R37" s="285"/>
      <c r="S37" s="285"/>
      <c r="T37" s="285"/>
      <c r="U37" s="210"/>
      <c r="V37" s="147"/>
      <c r="W37" s="147"/>
      <c r="X37" s="147"/>
    </row>
    <row r="38" spans="7:35" ht="90.75" customHeight="1" x14ac:dyDescent="0.4">
      <c r="G38" s="144"/>
      <c r="I38" s="148"/>
      <c r="J38" s="338" t="str">
        <f>J24</f>
        <v>Feldkirchen</v>
      </c>
      <c r="K38" s="338" t="str">
        <f t="shared" ref="K38:S38" si="11">K24</f>
        <v>Hermagor</v>
      </c>
      <c r="L38" s="338" t="str">
        <f t="shared" si="11"/>
        <v>Klagenfurt Land</v>
      </c>
      <c r="M38" s="338" t="str">
        <f t="shared" si="11"/>
        <v>Klagenfurt Stadt</v>
      </c>
      <c r="N38" s="338" t="str">
        <f t="shared" si="11"/>
        <v>Sankt Veit an der Glan</v>
      </c>
      <c r="O38" s="338" t="str">
        <f t="shared" si="11"/>
        <v>Spittal an der Drau</v>
      </c>
      <c r="P38" s="338" t="str">
        <f t="shared" si="11"/>
        <v>Villach Land</v>
      </c>
      <c r="Q38" s="338" t="str">
        <f t="shared" si="11"/>
        <v>Villach Stadt</v>
      </c>
      <c r="R38" s="338" t="str">
        <f t="shared" si="11"/>
        <v>Völkermarkt</v>
      </c>
      <c r="S38" s="338" t="str">
        <f t="shared" si="11"/>
        <v>Wolfsberg</v>
      </c>
      <c r="T38" s="277" t="str">
        <f>K!BL</f>
        <v>K</v>
      </c>
      <c r="U38" s="339"/>
      <c r="V38" s="339"/>
      <c r="W38" s="339"/>
      <c r="X38" s="339"/>
      <c r="Y38" s="339"/>
      <c r="Z38" s="339"/>
      <c r="AA38" s="339"/>
      <c r="AB38" s="339"/>
      <c r="AC38" s="339"/>
      <c r="AD38" s="339"/>
      <c r="AE38" s="339"/>
      <c r="AF38" s="339"/>
      <c r="AG38" s="339"/>
      <c r="AH38" s="339"/>
      <c r="AI38" s="144"/>
    </row>
    <row r="39" spans="7:35"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83"/>
      <c r="U39" s="336"/>
      <c r="V39" s="336"/>
      <c r="W39" s="336"/>
      <c r="X39" s="336"/>
      <c r="Y39" s="336"/>
      <c r="Z39" s="336"/>
      <c r="AA39" s="336"/>
      <c r="AB39" s="336"/>
      <c r="AC39" s="336"/>
      <c r="AD39" s="336"/>
      <c r="AE39" s="336"/>
      <c r="AF39" s="336"/>
      <c r="AG39" s="336"/>
      <c r="AH39" s="336"/>
    </row>
    <row r="40" spans="7:35" ht="19.5" customHeight="1" x14ac:dyDescent="0.3">
      <c r="G40" s="144"/>
      <c r="I40" s="148"/>
      <c r="J40" s="191">
        <f>Fak_1*2116.804912</f>
        <v>21.168049120000003</v>
      </c>
      <c r="K40" s="191">
        <f>Fak_1*1408.927244</f>
        <v>14.08927244</v>
      </c>
      <c r="L40" s="191">
        <f>Fak_1*4090.628157</f>
        <v>40.906281570000004</v>
      </c>
      <c r="M40" s="191">
        <f>Fak_1*2907.086541</f>
        <v>29.070865410000003</v>
      </c>
      <c r="N40" s="191">
        <f>Fak_1*3330.421553</f>
        <v>33.30421553</v>
      </c>
      <c r="O40" s="191">
        <f>Fak_1*4265.632201</f>
        <v>42.656322010000004</v>
      </c>
      <c r="P40" s="191">
        <f>Fak_1*4566.563043</f>
        <v>45.66563043</v>
      </c>
      <c r="Q40" s="191">
        <f>Fak_1*2049.048281</f>
        <v>20.49048281</v>
      </c>
      <c r="R40" s="191">
        <f>Fak_1*3933.068648</f>
        <v>39.330686479999997</v>
      </c>
      <c r="S40" s="191">
        <f>Fak_1*3884.077766</f>
        <v>38.840777660000001</v>
      </c>
      <c r="T40" s="191">
        <f>Fak_1*32552.258346</f>
        <v>325.52258346000002</v>
      </c>
      <c r="U40" s="210"/>
      <c r="V40" s="147"/>
      <c r="W40" s="147"/>
      <c r="X40" s="147"/>
    </row>
    <row r="41" spans="7:35" ht="19.5" customHeight="1" x14ac:dyDescent="0.3">
      <c r="G41" s="144"/>
      <c r="I41" s="148"/>
      <c r="J41" s="378" t="s">
        <v>7548</v>
      </c>
      <c r="K41" s="378"/>
      <c r="L41" s="378"/>
      <c r="M41" s="378"/>
      <c r="N41" s="378"/>
      <c r="O41" s="378"/>
      <c r="P41" s="378"/>
      <c r="Q41" s="378"/>
      <c r="R41" s="378"/>
      <c r="S41" s="378"/>
      <c r="T41" s="378"/>
      <c r="U41" s="336"/>
      <c r="V41" s="336"/>
      <c r="W41" s="336"/>
      <c r="X41" s="336"/>
      <c r="Y41" s="336"/>
      <c r="Z41" s="336"/>
      <c r="AA41" s="336"/>
      <c r="AB41" s="336"/>
      <c r="AC41" s="336"/>
      <c r="AD41" s="336"/>
      <c r="AE41" s="336"/>
      <c r="AF41" s="336"/>
      <c r="AG41" s="336"/>
      <c r="AH41" s="336"/>
    </row>
    <row r="42" spans="7:35" ht="19.5" customHeight="1" x14ac:dyDescent="0.3">
      <c r="G42" s="144"/>
      <c r="I42" s="307"/>
      <c r="J42" s="384"/>
      <c r="K42" s="384"/>
      <c r="L42" s="384"/>
      <c r="M42" s="384"/>
      <c r="N42" s="384"/>
      <c r="O42" s="384"/>
      <c r="P42" s="384"/>
      <c r="Q42" s="384"/>
      <c r="R42" s="384"/>
      <c r="S42" s="384"/>
      <c r="T42" s="384"/>
      <c r="U42" s="210"/>
      <c r="V42" s="147"/>
      <c r="W42" s="147"/>
      <c r="X42" s="147"/>
    </row>
    <row r="43" spans="7:35" ht="19.5" customHeight="1" x14ac:dyDescent="0.3">
      <c r="G43" s="144"/>
      <c r="I43" s="307" t="s">
        <v>7546</v>
      </c>
      <c r="J43" s="191">
        <f t="shared" ref="J43:T43" si="12">100*J44/Baulandwidmung</f>
        <v>23.604480609784218</v>
      </c>
      <c r="K43" s="191">
        <f t="shared" si="12"/>
        <v>29.098693402794332</v>
      </c>
      <c r="L43" s="191">
        <f t="shared" si="12"/>
        <v>26.469302377121437</v>
      </c>
      <c r="M43" s="191">
        <f t="shared" si="12"/>
        <v>15.908821993338792</v>
      </c>
      <c r="N43" s="191">
        <f t="shared" si="12"/>
        <v>19.108209452546742</v>
      </c>
      <c r="O43" s="191">
        <f t="shared" si="12"/>
        <v>24.308280698859061</v>
      </c>
      <c r="P43" s="191">
        <f t="shared" si="12"/>
        <v>24.45905444603757</v>
      </c>
      <c r="Q43" s="191">
        <f t="shared" si="12"/>
        <v>19.504982079043558</v>
      </c>
      <c r="R43" s="191">
        <f t="shared" si="12"/>
        <v>23.612532938428391</v>
      </c>
      <c r="S43" s="191">
        <f t="shared" si="12"/>
        <v>18.317996699966177</v>
      </c>
      <c r="T43" s="191">
        <f t="shared" si="12"/>
        <v>22.379267476829824</v>
      </c>
      <c r="U43" s="210"/>
      <c r="V43" s="147"/>
      <c r="W43" s="147"/>
      <c r="X43" s="147"/>
    </row>
    <row r="44" spans="7:35" ht="19.5" customHeight="1" x14ac:dyDescent="0.3">
      <c r="G44" s="144"/>
      <c r="I44" s="152" t="str">
        <f>"in " &amp; Einheit</f>
        <v>in km²</v>
      </c>
      <c r="J44" s="191">
        <f>Fak_1*499.660805</f>
        <v>4.9966080499999999</v>
      </c>
      <c r="K44" s="191">
        <f>Fak_1*409.979419</f>
        <v>4.0997941899999999</v>
      </c>
      <c r="L44" s="191">
        <f>Fak_1*1082.760736</f>
        <v>10.82760736</v>
      </c>
      <c r="M44" s="191">
        <f>Fak_1*462.483223</f>
        <v>4.62483223</v>
      </c>
      <c r="N44" s="191">
        <f>Fak_1*636.383926</f>
        <v>6.3638392599999998</v>
      </c>
      <c r="O44" s="191">
        <f>Fak_1*1036.901849</f>
        <v>10.36901849</v>
      </c>
      <c r="P44" s="191">
        <f>Fak_1*1116.938141</f>
        <v>11.169381410000002</v>
      </c>
      <c r="Q44" s="191">
        <f>Fak_1*399.6665</f>
        <v>3.9966650000000001</v>
      </c>
      <c r="R44" s="191">
        <f>Fak_1*928.69713</f>
        <v>9.2869713000000012</v>
      </c>
      <c r="S44" s="191">
        <f>Fak_1*711.485237</f>
        <v>7.1148523700000004</v>
      </c>
      <c r="T44" s="191">
        <f>Fak_1*7284.956965</f>
        <v>72.849569650000007</v>
      </c>
      <c r="U44" s="210"/>
      <c r="V44" s="147"/>
      <c r="W44" s="147"/>
      <c r="X44" s="147"/>
    </row>
    <row r="45" spans="7:35" ht="19.5" customHeight="1" x14ac:dyDescent="0.3">
      <c r="G45" s="144"/>
      <c r="I45" s="148"/>
      <c r="J45" s="378" t="s">
        <v>7476</v>
      </c>
      <c r="K45" s="378"/>
      <c r="L45" s="378"/>
      <c r="M45" s="378"/>
      <c r="N45" s="378"/>
      <c r="O45" s="378"/>
      <c r="P45" s="378"/>
      <c r="Q45" s="378"/>
      <c r="R45" s="378"/>
      <c r="S45" s="378"/>
      <c r="T45" s="378"/>
      <c r="U45" s="336"/>
      <c r="V45" s="336"/>
      <c r="W45" s="336"/>
      <c r="X45" s="336"/>
      <c r="Y45" s="336"/>
      <c r="Z45" s="336"/>
      <c r="AA45" s="336"/>
      <c r="AB45" s="336"/>
      <c r="AC45" s="336"/>
      <c r="AD45" s="336"/>
      <c r="AE45" s="336"/>
      <c r="AF45" s="336"/>
      <c r="AG45" s="336"/>
      <c r="AH45" s="336"/>
    </row>
    <row r="46" spans="7:35" ht="19.5" customHeight="1" x14ac:dyDescent="0.3">
      <c r="G46" s="144"/>
      <c r="I46" s="148"/>
      <c r="J46" s="384"/>
      <c r="K46" s="384"/>
      <c r="L46" s="384"/>
      <c r="M46" s="384"/>
      <c r="N46" s="384"/>
      <c r="O46" s="384"/>
      <c r="P46" s="384"/>
      <c r="Q46" s="384"/>
      <c r="R46" s="384"/>
      <c r="S46" s="384"/>
      <c r="T46" s="384"/>
      <c r="U46" s="210"/>
      <c r="V46" s="147"/>
      <c r="W46" s="147"/>
      <c r="X46" s="147"/>
    </row>
    <row r="47" spans="7:35" ht="19.5" customHeight="1" x14ac:dyDescent="0.3">
      <c r="G47" s="144"/>
      <c r="I47" s="307" t="s">
        <v>7546</v>
      </c>
      <c r="J47" s="191">
        <f t="shared" ref="J47:T47" si="13">100*J48/Baulandwidmung</f>
        <v>17.477158565852761</v>
      </c>
      <c r="K47" s="191">
        <f t="shared" si="13"/>
        <v>22.707599584184063</v>
      </c>
      <c r="L47" s="191">
        <f t="shared" si="13"/>
        <v>16.323822463729254</v>
      </c>
      <c r="M47" s="191">
        <f t="shared" si="13"/>
        <v>8.4606982809460156</v>
      </c>
      <c r="N47" s="191">
        <f t="shared" si="13"/>
        <v>17.403344765106375</v>
      </c>
      <c r="O47" s="191">
        <f t="shared" si="13"/>
        <v>18.95003858538248</v>
      </c>
      <c r="P47" s="191">
        <f t="shared" si="13"/>
        <v>14.786385814492302</v>
      </c>
      <c r="Q47" s="191">
        <f t="shared" si="13"/>
        <v>9.3258378912741691</v>
      </c>
      <c r="R47" s="191">
        <f t="shared" si="13"/>
        <v>18.536127239241619</v>
      </c>
      <c r="S47" s="191">
        <f t="shared" si="13"/>
        <v>19.851352018475524</v>
      </c>
      <c r="T47" s="191">
        <f t="shared" si="13"/>
        <v>16.459510590786337</v>
      </c>
      <c r="U47" s="210"/>
      <c r="V47" s="147"/>
      <c r="W47" s="147"/>
      <c r="X47" s="147"/>
    </row>
    <row r="48" spans="7:35" ht="19.5" customHeight="1" x14ac:dyDescent="0.3">
      <c r="G48" s="144"/>
      <c r="I48" s="152" t="str">
        <f>"in " &amp; Einheit</f>
        <v>in km²</v>
      </c>
      <c r="J48" s="191">
        <f>Fak_1*369.957351</f>
        <v>3.6995735100000005</v>
      </c>
      <c r="K48" s="191">
        <f>Fak_1*319.933557</f>
        <v>3.1993355700000001</v>
      </c>
      <c r="L48" s="191">
        <f>Fak_1*667.746878</f>
        <v>6.6774687800000008</v>
      </c>
      <c r="M48" s="191">
        <f>Fak_1*245.959821</f>
        <v>2.4595982100000002</v>
      </c>
      <c r="N48" s="191">
        <f>Fak_1*579.604745</f>
        <v>5.7960474499999997</v>
      </c>
      <c r="O48" s="191">
        <f>Fak_1*808.338948</f>
        <v>8.0833894799999992</v>
      </c>
      <c r="P48" s="191">
        <f>Fak_1*675.22963</f>
        <v>6.7522963000000003</v>
      </c>
      <c r="Q48" s="191">
        <f>Fak_1*191.090921</f>
        <v>1.91090921</v>
      </c>
      <c r="R48" s="191">
        <f>Fak_1*729.038609</f>
        <v>7.2903860899999993</v>
      </c>
      <c r="S48" s="191">
        <f>Fak_1*771.04195</f>
        <v>7.7104195000000004</v>
      </c>
      <c r="T48" s="191">
        <f>Fak_1*5357.94241</f>
        <v>53.579424099999997</v>
      </c>
      <c r="U48" s="210"/>
      <c r="V48" s="147"/>
      <c r="W48" s="147"/>
      <c r="X48" s="147"/>
    </row>
    <row r="49" spans="1:70" ht="19.5" customHeight="1" x14ac:dyDescent="0.3">
      <c r="G49" s="144"/>
      <c r="I49" s="148"/>
      <c r="J49" s="378" t="s">
        <v>7420</v>
      </c>
      <c r="K49" s="378"/>
      <c r="L49" s="378"/>
      <c r="M49" s="378"/>
      <c r="N49" s="378"/>
      <c r="O49" s="378"/>
      <c r="P49" s="378"/>
      <c r="Q49" s="378"/>
      <c r="R49" s="378"/>
      <c r="S49" s="378"/>
      <c r="T49" s="378"/>
      <c r="U49" s="336"/>
      <c r="V49" s="336"/>
      <c r="W49" s="336"/>
      <c r="X49" s="336"/>
      <c r="Y49" s="336"/>
      <c r="Z49" s="336"/>
      <c r="AA49" s="336"/>
      <c r="AB49" s="336"/>
      <c r="AC49" s="336"/>
      <c r="AD49" s="336"/>
      <c r="AE49" s="336"/>
      <c r="AF49" s="336"/>
      <c r="AG49" s="336"/>
      <c r="AH49" s="336"/>
    </row>
    <row r="50" spans="1:70" ht="19.5" customHeight="1" x14ac:dyDescent="0.3">
      <c r="G50" s="144"/>
      <c r="I50" s="307"/>
      <c r="J50" s="384"/>
      <c r="K50" s="384"/>
      <c r="L50" s="384"/>
      <c r="M50" s="384"/>
      <c r="N50" s="384"/>
      <c r="O50" s="384"/>
      <c r="P50" s="384"/>
      <c r="Q50" s="384"/>
      <c r="R50" s="384"/>
      <c r="S50" s="384"/>
      <c r="T50" s="384"/>
      <c r="U50" s="210"/>
      <c r="V50" s="147"/>
      <c r="W50" s="147"/>
      <c r="X50" s="147"/>
    </row>
    <row r="51" spans="1:70" ht="19.5" customHeight="1" x14ac:dyDescent="0.3">
      <c r="G51" s="144"/>
      <c r="I51" s="307" t="s">
        <v>7546</v>
      </c>
      <c r="J51" s="191">
        <f t="shared" ref="J51:T51" si="14">100*J52/Baulandwidmung</f>
        <v>16.319578107630541</v>
      </c>
      <c r="K51" s="191">
        <f t="shared" si="14"/>
        <v>17.502774543551947</v>
      </c>
      <c r="L51" s="191">
        <f t="shared" si="14"/>
        <v>15.668191153068426</v>
      </c>
      <c r="M51" s="191">
        <f t="shared" si="14"/>
        <v>21.609664010342922</v>
      </c>
      <c r="N51" s="191">
        <f t="shared" si="14"/>
        <v>20.702022252376409</v>
      </c>
      <c r="O51" s="191">
        <f t="shared" si="14"/>
        <v>20.090913928282209</v>
      </c>
      <c r="P51" s="191">
        <f t="shared" si="14"/>
        <v>14.746504683259662</v>
      </c>
      <c r="Q51" s="191">
        <f t="shared" si="14"/>
        <v>18.176085573651743</v>
      </c>
      <c r="R51" s="191">
        <f t="shared" si="14"/>
        <v>15.664440673144336</v>
      </c>
      <c r="S51" s="191">
        <f t="shared" si="14"/>
        <v>17.479497113652798</v>
      </c>
      <c r="T51" s="191">
        <f t="shared" si="14"/>
        <v>17.659354926772306</v>
      </c>
      <c r="U51" s="210"/>
      <c r="V51" s="147"/>
      <c r="W51" s="147"/>
      <c r="X51" s="147"/>
    </row>
    <row r="52" spans="1:70" ht="19.5" customHeight="1" x14ac:dyDescent="0.3">
      <c r="G52" s="144"/>
      <c r="I52" s="152" t="str">
        <f>"in " &amp; Einheit</f>
        <v>in km²</v>
      </c>
      <c r="J52" s="191">
        <f>Fak_1*345.453631</f>
        <v>3.4545363099999999</v>
      </c>
      <c r="K52" s="191">
        <f>Fak_1*246.601359</f>
        <v>2.4660135900000002</v>
      </c>
      <c r="L52" s="191">
        <f>Fak_1*640.927439</f>
        <v>6.4092743900000002</v>
      </c>
      <c r="M52" s="191">
        <f>Fak_1*628.211634</f>
        <v>6.28211634</v>
      </c>
      <c r="N52" s="191">
        <f>Fak_1*689.464611</f>
        <v>6.89464611</v>
      </c>
      <c r="O52" s="191">
        <f>Fak_1*857.004494</f>
        <v>8.5700449400000007</v>
      </c>
      <c r="P52" s="191">
        <f>Fak_1*673.408433</f>
        <v>6.73408433</v>
      </c>
      <c r="Q52" s="191">
        <f>Fak_1*372.436769</f>
        <v>3.7243676900000002</v>
      </c>
      <c r="R52" s="191">
        <f>Fak_1*616.093205</f>
        <v>6.1609320500000004</v>
      </c>
      <c r="S52" s="191">
        <f>Fak_1*678.917261</f>
        <v>6.7891726100000005</v>
      </c>
      <c r="T52" s="191">
        <f>Fak_1*5748.518838</f>
        <v>57.485188380000004</v>
      </c>
      <c r="U52" s="210"/>
      <c r="V52" s="147"/>
      <c r="W52" s="147"/>
      <c r="X52" s="147"/>
    </row>
    <row r="53" spans="1:70" ht="19.5" customHeight="1" x14ac:dyDescent="0.3">
      <c r="G53" s="144"/>
      <c r="I53" s="148"/>
      <c r="J53" s="285"/>
      <c r="K53" s="285"/>
      <c r="L53" s="285"/>
      <c r="M53" s="285"/>
      <c r="N53" s="285"/>
      <c r="O53" s="285"/>
      <c r="P53" s="285"/>
      <c r="Q53" s="285"/>
      <c r="R53" s="285"/>
      <c r="S53" s="285"/>
      <c r="T53" s="285"/>
      <c r="U53" s="210"/>
      <c r="V53" s="147"/>
      <c r="W53" s="147"/>
      <c r="X53" s="147"/>
    </row>
    <row r="54" spans="1:70" s="144" customFormat="1" ht="74.25" customHeight="1" x14ac:dyDescent="0.6">
      <c r="B54" s="227"/>
      <c r="C54" s="228"/>
      <c r="D54" s="229"/>
      <c r="E54" s="244" t="s">
        <v>7408</v>
      </c>
      <c r="F54" s="188"/>
      <c r="G54" s="187"/>
      <c r="H54" s="187"/>
    </row>
    <row r="55" spans="1:70"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"&amp;K!Einheit, IF(Versatz = 2, "in m² pro Einwohner:in", "in Prozent des Dauersiedlungsraums"))</f>
        <v>Flächeninanspruchnahme in km²</v>
      </c>
      <c r="J55" s="369"/>
      <c r="K55" s="369"/>
      <c r="L55" s="369"/>
      <c r="M55" s="369"/>
      <c r="N55" s="369"/>
      <c r="O55" s="369"/>
      <c r="P55" s="369"/>
      <c r="Q55" s="369"/>
      <c r="R55" s="369"/>
      <c r="S55" s="369"/>
      <c r="T55" s="369"/>
      <c r="U55" s="369"/>
      <c r="V55" s="369"/>
    </row>
    <row r="56" spans="1:70" x14ac:dyDescent="0.3">
      <c r="F56" s="181"/>
      <c r="G56" s="137"/>
      <c r="H56" s="178"/>
      <c r="I56" s="180"/>
      <c r="J56" s="137"/>
      <c r="K56" s="137"/>
      <c r="L56" s="137"/>
      <c r="M56" s="137"/>
      <c r="N56" s="137"/>
      <c r="O56" s="137"/>
      <c r="P56" s="137"/>
      <c r="Q56" s="137"/>
      <c r="R56" s="137"/>
      <c r="S56" s="137"/>
      <c r="T56" s="137"/>
      <c r="U56" s="137"/>
      <c r="V56" s="137"/>
      <c r="W56" s="136"/>
    </row>
    <row r="57" spans="1:70" hidden="1" x14ac:dyDescent="0.3">
      <c r="F57" s="137"/>
      <c r="G57" s="137"/>
      <c r="H57" s="178" t="s">
        <v>7532</v>
      </c>
      <c r="I57" s="180"/>
      <c r="J57" s="137">
        <f t="shared" ref="J57:S57" si="15">IF(Versatz = 1, Fak_Einheit, IF(Versatz = 2, 10000/J59, 100*Fak_Einheit/J60))</f>
        <v>0.01</v>
      </c>
      <c r="K57" s="137">
        <f t="shared" si="15"/>
        <v>0.01</v>
      </c>
      <c r="L57" s="137">
        <f t="shared" si="15"/>
        <v>0.01</v>
      </c>
      <c r="M57" s="137">
        <f t="shared" si="15"/>
        <v>0.01</v>
      </c>
      <c r="N57" s="137">
        <f t="shared" si="15"/>
        <v>0.01</v>
      </c>
      <c r="O57" s="137">
        <f t="shared" si="15"/>
        <v>0.01</v>
      </c>
      <c r="P57" s="137">
        <f t="shared" si="15"/>
        <v>0.01</v>
      </c>
      <c r="Q57" s="137">
        <f t="shared" si="15"/>
        <v>0.01</v>
      </c>
      <c r="R57" s="137">
        <f t="shared" si="15"/>
        <v>0.01</v>
      </c>
      <c r="S57" s="137">
        <f t="shared" si="15"/>
        <v>0.01</v>
      </c>
      <c r="T57" s="137">
        <f t="shared" ref="T57" si="16">IF(Versatz = 1, Fak_Einheit, IF(Versatz = 2, 10000/T59, 100*Fak_Einheit/T60))</f>
        <v>0.01</v>
      </c>
      <c r="U57" s="137"/>
      <c r="V57" s="137"/>
      <c r="W57" s="136"/>
    </row>
    <row r="58" spans="1:70" hidden="1" x14ac:dyDescent="0.3">
      <c r="F58" s="137"/>
      <c r="G58" s="137"/>
      <c r="H58" s="178" t="s">
        <v>7531</v>
      </c>
      <c r="I58" s="180"/>
      <c r="J58" s="137">
        <v>1</v>
      </c>
      <c r="K58" s="137">
        <v>1</v>
      </c>
      <c r="L58" s="137">
        <v>1</v>
      </c>
      <c r="M58" s="137">
        <v>1</v>
      </c>
      <c r="N58" s="137">
        <v>1</v>
      </c>
      <c r="O58" s="137">
        <v>1</v>
      </c>
      <c r="P58" s="137">
        <v>1</v>
      </c>
      <c r="Q58" s="137">
        <v>1</v>
      </c>
      <c r="R58" s="137">
        <v>1</v>
      </c>
      <c r="S58" s="137">
        <v>1</v>
      </c>
      <c r="T58" s="137">
        <v>1</v>
      </c>
      <c r="U58" s="137"/>
      <c r="V58" s="137"/>
      <c r="W58" s="136"/>
    </row>
    <row r="59" spans="1:70" x14ac:dyDescent="0.3">
      <c r="F59" s="149"/>
      <c r="G59" s="149"/>
      <c r="H59" s="192" t="s">
        <v>159</v>
      </c>
      <c r="I59" s="154"/>
      <c r="J59" s="193">
        <v>29890</v>
      </c>
      <c r="K59" s="193">
        <v>18030</v>
      </c>
      <c r="L59" s="193">
        <v>60971</v>
      </c>
      <c r="M59" s="193">
        <v>102618</v>
      </c>
      <c r="N59" s="193">
        <v>53898</v>
      </c>
      <c r="O59" s="193">
        <v>75549</v>
      </c>
      <c r="P59" s="193">
        <v>65285</v>
      </c>
      <c r="Q59" s="193">
        <v>64071</v>
      </c>
      <c r="R59" s="193">
        <v>41905</v>
      </c>
      <c r="S59" s="193">
        <v>52296</v>
      </c>
      <c r="T59" s="193">
        <v>564513</v>
      </c>
      <c r="U59" s="194" t="s">
        <v>163</v>
      </c>
      <c r="V59" s="194"/>
      <c r="W59" s="195"/>
      <c r="X59" s="147"/>
      <c r="Y59" s="147"/>
    </row>
    <row r="60" spans="1:70" x14ac:dyDescent="0.3">
      <c r="F60" s="150"/>
      <c r="G60" s="150"/>
      <c r="H60" s="192" t="s">
        <v>171</v>
      </c>
      <c r="I60" s="154"/>
      <c r="J60" s="193">
        <f>16401.7113249295*(+K!Fak_Einheit)</f>
        <v>164.01711324929499</v>
      </c>
      <c r="K60" s="193">
        <f>12645.6279957806*(+K!Fak_Einheit)</f>
        <v>126.456279957806</v>
      </c>
      <c r="L60" s="193">
        <f>28291.9438612262*(+K!Fak_Einheit)</f>
        <v>282.91943861226201</v>
      </c>
      <c r="M60" s="193">
        <f>8495.4202299821*(+K!Fak_Einheit)</f>
        <v>84.954202299821006</v>
      </c>
      <c r="N60" s="193">
        <f>44982.4759014101*(+K!Fak_Einheit)</f>
        <v>449.82475901410101</v>
      </c>
      <c r="O60" s="193">
        <f>34648.9642319923*(+K!Fak_Einheit)</f>
        <v>346.48964231992301</v>
      </c>
      <c r="P60" s="193">
        <f>27053.4724478697*(+K!Fak_Einheit)</f>
        <v>270.534724478697</v>
      </c>
      <c r="Q60" s="193">
        <f>5816.3282661596*(+K!Fak_Einheit)</f>
        <v>58.163282661596007</v>
      </c>
      <c r="R60" s="193">
        <f>32561.871519415*(+K!Fak_Einheit)</f>
        <v>325.61871519415001</v>
      </c>
      <c r="S60" s="193">
        <f>34626.7444558571*(+K!Fak_Einheit)</f>
        <v>346.26744455857101</v>
      </c>
      <c r="T60" s="193">
        <v>245524.56023462216</v>
      </c>
      <c r="U60" s="194" t="str">
        <f t="shared" ref="U60" si="17">Einheit</f>
        <v>km²</v>
      </c>
      <c r="V60" s="194"/>
      <c r="W60" s="195"/>
      <c r="X60" s="147"/>
      <c r="Y60" s="147"/>
    </row>
    <row r="61" spans="1:70" x14ac:dyDescent="0.3">
      <c r="F61" s="150"/>
      <c r="G61" s="150"/>
      <c r="H61" s="192"/>
      <c r="I61" s="154"/>
      <c r="J61" s="193"/>
      <c r="K61" s="193"/>
      <c r="L61" s="193"/>
      <c r="M61" s="193"/>
      <c r="N61" s="193"/>
      <c r="O61" s="193"/>
      <c r="P61" s="193"/>
      <c r="Q61" s="193"/>
      <c r="R61" s="193"/>
      <c r="S61" s="193"/>
      <c r="T61" s="193"/>
      <c r="U61" s="194"/>
      <c r="V61" s="194"/>
      <c r="W61" s="195"/>
      <c r="X61" s="147"/>
      <c r="Y61" s="147"/>
    </row>
    <row r="62" spans="1:70" s="144" customFormat="1" ht="112.5" customHeight="1" x14ac:dyDescent="0.4">
      <c r="B62" s="227"/>
      <c r="C62" s="228"/>
      <c r="D62" s="229"/>
      <c r="E62" s="131"/>
      <c r="F62" s="210"/>
      <c r="G62" s="196"/>
      <c r="H62" s="210"/>
      <c r="I62" s="148"/>
      <c r="J62" s="278" t="str">
        <f t="shared" ref="J62:T62" si="18">+J24</f>
        <v>Feldkirchen</v>
      </c>
      <c r="K62" s="278" t="str">
        <f t="shared" si="18"/>
        <v>Hermagor</v>
      </c>
      <c r="L62" s="278" t="str">
        <f t="shared" si="18"/>
        <v>Klagenfurt Land</v>
      </c>
      <c r="M62" s="278" t="str">
        <f t="shared" si="18"/>
        <v>Klagenfurt Stadt</v>
      </c>
      <c r="N62" s="278" t="str">
        <f t="shared" si="18"/>
        <v>Sankt Veit an der Glan</v>
      </c>
      <c r="O62" s="278" t="str">
        <f t="shared" si="18"/>
        <v>Spittal an der Drau</v>
      </c>
      <c r="P62" s="278" t="str">
        <f t="shared" si="18"/>
        <v>Villach Land</v>
      </c>
      <c r="Q62" s="278" t="str">
        <f t="shared" si="18"/>
        <v>Villach Stadt</v>
      </c>
      <c r="R62" s="278" t="str">
        <f t="shared" si="18"/>
        <v>Völkermarkt</v>
      </c>
      <c r="S62" s="278" t="str">
        <f t="shared" si="18"/>
        <v>Wolfsberg</v>
      </c>
      <c r="T62" s="279" t="str">
        <f t="shared" si="18"/>
        <v>K</v>
      </c>
      <c r="U62" s="211"/>
      <c r="V62" s="210"/>
      <c r="W62" s="210"/>
      <c r="X62" s="210"/>
      <c r="Y62" s="210"/>
    </row>
    <row r="63" spans="1:70" s="144" customFormat="1" ht="24" customHeight="1" x14ac:dyDescent="0.25">
      <c r="B63" s="227"/>
      <c r="C63" s="228"/>
      <c r="D63" s="229"/>
      <c r="E63" s="131"/>
      <c r="F63" s="198" t="s">
        <v>25</v>
      </c>
      <c r="G63" s="196">
        <v>101</v>
      </c>
      <c r="H63" s="148" t="str">
        <f>+VLOOKUP($G63,Konstanten!$A$2:$B$15,2,FALSE)</f>
        <v>Autobahn u. Schnellstraße</v>
      </c>
      <c r="I63" s="148"/>
      <c r="J63" s="267">
        <f>Fak_3*0</f>
        <v>0</v>
      </c>
      <c r="K63" s="267">
        <f>Fak_3*0</f>
        <v>0</v>
      </c>
      <c r="L63" s="267">
        <f>Fak_3*133.23724006175</f>
        <v>1.3323724006175</v>
      </c>
      <c r="M63" s="267">
        <f>Fak_3*68.5526590654156</f>
        <v>0.685526590654156</v>
      </c>
      <c r="N63" s="267">
        <f>Fak_3*31.993493778972</f>
        <v>0.31993493778971999</v>
      </c>
      <c r="O63" s="267">
        <f>Fak_3*174.288533877128</f>
        <v>1.7428853387712802</v>
      </c>
      <c r="P63" s="267">
        <f>Fak_3*311.858332272732</f>
        <v>3.1185833227273201</v>
      </c>
      <c r="Q63" s="267">
        <f>Fak_3*155.157747980193</f>
        <v>1.5515774798019299</v>
      </c>
      <c r="R63" s="267">
        <f>Fak_3*105.572339763388</f>
        <v>1.05572339763388</v>
      </c>
      <c r="S63" s="267">
        <f>Fak_3*147.416190638465</f>
        <v>1.4741619063846501</v>
      </c>
      <c r="T63" s="267">
        <f>Fak_3*1128.07653743804</f>
        <v>11.280765374380401</v>
      </c>
      <c r="U63" s="213"/>
      <c r="V63" s="220">
        <f t="shared" ref="V63:V76" si="19">+BE63/BD63</f>
        <v>0.62529156358129656</v>
      </c>
      <c r="W63" s="367" t="s">
        <v>7527</v>
      </c>
      <c r="Y63" s="210"/>
      <c r="BD63" s="144">
        <v>110.40250823890199</v>
      </c>
      <c r="BE63" s="144">
        <v>69.033756999999994</v>
      </c>
      <c r="BF63" s="144">
        <f>+BD63-BE63</f>
        <v>41.368751238901993</v>
      </c>
      <c r="BQ63" s="214"/>
      <c r="BR63" s="214"/>
    </row>
    <row r="64" spans="1:70" s="144" customFormat="1" ht="24" customHeight="1" x14ac:dyDescent="0.25">
      <c r="B64" s="227"/>
      <c r="C64" s="228"/>
      <c r="D64" s="229"/>
      <c r="E64" s="131"/>
      <c r="F64" s="198"/>
      <c r="G64" s="196">
        <v>102</v>
      </c>
      <c r="H64" s="148" t="str">
        <f>+VLOOKUP($G64,Konstanten!$A$2:$B$15,2,FALSE)</f>
        <v>Landesstraße B + L</v>
      </c>
      <c r="I64" s="148"/>
      <c r="J64" s="267">
        <f>Fak_3*309.731988474818</f>
        <v>3.0973198847481802</v>
      </c>
      <c r="K64" s="267">
        <f>Fak_3*298.399247082281</f>
        <v>2.9839924708228103</v>
      </c>
      <c r="L64" s="267">
        <f>Fak_3*473.200304750701</f>
        <v>4.7320030475070096</v>
      </c>
      <c r="M64" s="267">
        <f>Fak_3*157.565475515605</f>
        <v>1.5756547551560498</v>
      </c>
      <c r="N64" s="267">
        <f>Fak_3*595.6539703281</f>
        <v>5.9565397032809999</v>
      </c>
      <c r="O64" s="267">
        <f>Fak_3*563.161808215429</f>
        <v>5.6316180821542901</v>
      </c>
      <c r="P64" s="267">
        <f>Fak_3*551.276368673145</f>
        <v>5.5127636867314509</v>
      </c>
      <c r="Q64" s="267">
        <f>Fak_3*152.405676903247</f>
        <v>1.5240567690324702</v>
      </c>
      <c r="R64" s="267">
        <f>Fak_3*496.328848163198</f>
        <v>4.96328848163198</v>
      </c>
      <c r="S64" s="267">
        <f>Fak_3*369.593163134063</f>
        <v>3.6959316313406299</v>
      </c>
      <c r="T64" s="267">
        <f>Fak_3*3967.31685124059</f>
        <v>39.673168512405901</v>
      </c>
      <c r="U64" s="213"/>
      <c r="V64" s="220">
        <f t="shared" si="19"/>
        <v>0.74842676287368548</v>
      </c>
      <c r="W64" s="367"/>
      <c r="Y64" s="210"/>
      <c r="BD64" s="144">
        <v>429.83434045676199</v>
      </c>
      <c r="BE64" s="144">
        <v>321.699524</v>
      </c>
      <c r="BF64" s="144">
        <f t="shared" ref="BF64:BF76" si="20">+BD64-BE64</f>
        <v>108.134816456762</v>
      </c>
      <c r="BQ64" s="214"/>
      <c r="BR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Fak_3*585.343575687647</f>
        <v>5.8534357568764701</v>
      </c>
      <c r="K65" s="267">
        <f>Fak_3*417.568270885376</f>
        <v>4.1756827088537607</v>
      </c>
      <c r="L65" s="267">
        <f>Fak_3*1025.4415465862</f>
        <v>10.254415465862001</v>
      </c>
      <c r="M65" s="267">
        <f>Fak_3*604.447011665552</f>
        <v>6.0444701166555204</v>
      </c>
      <c r="N65" s="267">
        <f>Fak_3*1384.15267322155</f>
        <v>13.841526732215501</v>
      </c>
      <c r="O65" s="267">
        <f>Fak_3*1408.28442375489</f>
        <v>14.082844237548899</v>
      </c>
      <c r="P65" s="267">
        <f>Fak_3*1110.65410605746</f>
        <v>11.1065410605746</v>
      </c>
      <c r="Q65" s="267">
        <f>Fak_3*399.082356284358</f>
        <v>3.9908235628435804</v>
      </c>
      <c r="R65" s="267">
        <f>Fak_3*1062.03466309461</f>
        <v>10.6203466309461</v>
      </c>
      <c r="S65" s="267">
        <f>Fak_3*1148.39834054207</f>
        <v>11.4839834054207</v>
      </c>
      <c r="T65" s="267">
        <f>Fak_3*9145.40696777972</f>
        <v>91.454069677797193</v>
      </c>
      <c r="U65" s="213"/>
      <c r="V65" s="220">
        <f t="shared" si="19"/>
        <v>0.77800703868448506</v>
      </c>
      <c r="W65" s="367"/>
      <c r="Y65" s="210"/>
      <c r="BD65" s="144">
        <v>1051.88642686803</v>
      </c>
      <c r="BE65" s="144">
        <v>818.37504400000012</v>
      </c>
      <c r="BF65" s="144">
        <f t="shared" si="20"/>
        <v>233.51138286802984</v>
      </c>
      <c r="BQ65" s="214"/>
      <c r="BR65" s="214"/>
    </row>
    <row r="66" spans="2:128" s="144" customFormat="1" ht="24" customHeight="1" x14ac:dyDescent="0.25">
      <c r="B66" s="227"/>
      <c r="C66" s="228"/>
      <c r="D66" s="229"/>
      <c r="E66" s="131"/>
      <c r="F66" s="198"/>
      <c r="G66" s="196">
        <v>104</v>
      </c>
      <c r="H66" s="148" t="str">
        <f>+VLOOKUP($G66,Konstanten!$A$2:$B$15,2,FALSE)</f>
        <v>Schiene</v>
      </c>
      <c r="I66" s="148"/>
      <c r="J66" s="267">
        <f>Fak_3*47.4245916422156</f>
        <v>0.47424591642215602</v>
      </c>
      <c r="K66" s="267">
        <f>Fak_3*22.8440299955188</f>
        <v>0.228440299955188</v>
      </c>
      <c r="L66" s="267">
        <f>Fak_3*121.280964693514</f>
        <v>1.2128096469351399</v>
      </c>
      <c r="M66" s="267">
        <f>Fak_3*58.9134297081971</f>
        <v>0.58913429708197096</v>
      </c>
      <c r="N66" s="267">
        <f>Fak_3*158.020118820912</f>
        <v>1.58020118820912</v>
      </c>
      <c r="O66" s="267">
        <f>Fak_3*217.314965132089</f>
        <v>2.1731496513208901</v>
      </c>
      <c r="P66" s="267">
        <f>Fak_3*265.443605037112</f>
        <v>2.6544360503711197</v>
      </c>
      <c r="Q66" s="267">
        <f>Fak_3*88.5561448785187</f>
        <v>0.88556144878518694</v>
      </c>
      <c r="R66" s="267">
        <f>Fak_3*88.3530058801866</f>
        <v>0.88353005880186597</v>
      </c>
      <c r="S66" s="267">
        <f>Fak_3*78.3138500440556</f>
        <v>0.783138500440556</v>
      </c>
      <c r="T66" s="267">
        <f>Fak_3*1146.46470583232</f>
        <v>11.464647058323202</v>
      </c>
      <c r="U66" s="213"/>
      <c r="V66" s="220">
        <f t="shared" si="19"/>
        <v>0.50588581842325953</v>
      </c>
      <c r="W66" s="367"/>
      <c r="Y66" s="210"/>
      <c r="BD66" s="144">
        <v>127.56757285891301</v>
      </c>
      <c r="BE66" s="144">
        <v>64.534626000000003</v>
      </c>
      <c r="BF66" s="144">
        <f t="shared" si="20"/>
        <v>63.032946858913007</v>
      </c>
      <c r="BQ66" s="214"/>
      <c r="BR66" s="214"/>
    </row>
    <row r="67" spans="2:128" s="144" customFormat="1" ht="24" customHeight="1" x14ac:dyDescent="0.25">
      <c r="B67" s="227"/>
      <c r="C67" s="228"/>
      <c r="D67" s="229"/>
      <c r="E67" s="131"/>
      <c r="F67" s="200"/>
      <c r="G67" s="215"/>
      <c r="H67" s="216"/>
      <c r="I67" s="217" t="s">
        <v>7535</v>
      </c>
      <c r="J67" s="268">
        <f>Fak_3*942.500155804681</f>
        <v>9.4250015580468105</v>
      </c>
      <c r="K67" s="268">
        <f>Fak_3*738.811547963176</f>
        <v>7.388115479631761</v>
      </c>
      <c r="L67" s="268">
        <f>Fak_3*1753.16005609217</f>
        <v>17.531600560921699</v>
      </c>
      <c r="M67" s="268">
        <f>Fak_3*889.47857595477</f>
        <v>8.8947857595477</v>
      </c>
      <c r="N67" s="268">
        <f>Fak_3*2169.82025614954</f>
        <v>21.6982025614954</v>
      </c>
      <c r="O67" s="268">
        <f>Fak_3*2363.04973097953</f>
        <v>23.630497309795302</v>
      </c>
      <c r="P67" s="268">
        <f>Fak_3*2239.23241204045</f>
        <v>22.392324120404503</v>
      </c>
      <c r="Q67" s="268">
        <f>Fak_3*795.201926046316</f>
        <v>7.9520192604631603</v>
      </c>
      <c r="R67" s="268">
        <f>Fak_3*1752.28885690138</f>
        <v>17.522888569013801</v>
      </c>
      <c r="S67" s="268">
        <f>Fak_3*1743.72154435866</f>
        <v>17.437215443586599</v>
      </c>
      <c r="T67" s="268">
        <f>Fak_3*15387.2650622907</f>
        <v>153.872650622907</v>
      </c>
      <c r="U67" s="213"/>
      <c r="V67" s="220">
        <f t="shared" si="19"/>
        <v>0.7406232068794526</v>
      </c>
      <c r="W67" s="367"/>
      <c r="Y67" s="210"/>
      <c r="BD67" s="144">
        <v>1719.6908484226101</v>
      </c>
      <c r="BE67" s="144">
        <v>1273.642951</v>
      </c>
      <c r="BF67" s="144">
        <f t="shared" si="20"/>
        <v>446.04789742261005</v>
      </c>
      <c r="BQ67" s="214"/>
      <c r="BR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Fak_3*1319.5378295403</f>
        <v>13.195378295403</v>
      </c>
      <c r="K68" s="267">
        <f>Fak_3*905.874088923832</f>
        <v>9.0587408892383205</v>
      </c>
      <c r="L68" s="267">
        <f>Fak_3*2902.76734850592</f>
        <v>29.0276734850592</v>
      </c>
      <c r="M68" s="267">
        <f>Fak_3*1614.23217145637</f>
        <v>16.1423217145637</v>
      </c>
      <c r="N68" s="267">
        <f>Fak_3*1600.53514390866</f>
        <v>16.005351439086603</v>
      </c>
      <c r="O68" s="267">
        <f>Fak_3*2675.75717969361</f>
        <v>26.757571796936102</v>
      </c>
      <c r="P68" s="267">
        <f>Fak_3*3269.73619794578</f>
        <v>32.697361979457803</v>
      </c>
      <c r="Q68" s="267">
        <f>Fak_3*1363.67290112146</f>
        <v>13.6367290112146</v>
      </c>
      <c r="R68" s="267">
        <f>Fak_3*2327.06308037952</f>
        <v>23.270630803795203</v>
      </c>
      <c r="S68" s="267">
        <f>Fak_3*1897.72861271829</f>
        <v>18.9772861271829</v>
      </c>
      <c r="T68" s="267">
        <f>Fak_3*19876.9045541937</f>
        <v>198.769045541937</v>
      </c>
      <c r="U68" s="213"/>
      <c r="V68" s="220">
        <f t="shared" si="19"/>
        <v>0.39295521959753704</v>
      </c>
      <c r="W68" s="367"/>
      <c r="Y68" s="210"/>
      <c r="BD68" s="144">
        <v>1112.6431516746302</v>
      </c>
      <c r="BE68" s="144">
        <v>437.21893399999999</v>
      </c>
      <c r="BF68" s="144">
        <f t="shared" si="20"/>
        <v>675.4242176746302</v>
      </c>
      <c r="BQ68" s="214"/>
      <c r="BR68" s="214"/>
    </row>
    <row r="69" spans="2:128" s="144" customFormat="1" ht="24" customHeight="1" x14ac:dyDescent="0.25">
      <c r="B69" s="227"/>
      <c r="C69" s="228"/>
      <c r="D69" s="229"/>
      <c r="E69" s="131"/>
      <c r="F69" s="198"/>
      <c r="G69" s="197">
        <v>212</v>
      </c>
      <c r="H69" s="148" t="str">
        <f>+VLOOKUP($G69,Konstanten!$A$2:$B$15,2,FALSE)</f>
        <v>gemischte bauliche Nutzung</v>
      </c>
      <c r="I69" s="148"/>
      <c r="J69" s="267">
        <f>Fak_3*22.2664838165327</f>
        <v>0.22266483816532698</v>
      </c>
      <c r="K69" s="267">
        <f>Fak_3*13.2421933805472</f>
        <v>0.13242193380547199</v>
      </c>
      <c r="L69" s="267">
        <f>Fak_3*34.2154052562849</f>
        <v>0.34215405256284903</v>
      </c>
      <c r="M69" s="267">
        <f>Fak_3*261.641797279059</f>
        <v>2.6164179727905901</v>
      </c>
      <c r="N69" s="267">
        <f>Fak_3*53.8493052325738</f>
        <v>0.53849305232573796</v>
      </c>
      <c r="O69" s="267">
        <f>Fak_3*51.1943128667916</f>
        <v>0.51194312866791603</v>
      </c>
      <c r="P69" s="267">
        <f>Fak_3*49.8309253787823</f>
        <v>0.49830925378782298</v>
      </c>
      <c r="Q69" s="267">
        <f>Fak_3*17.5232728038303</f>
        <v>0.175232728038303</v>
      </c>
      <c r="R69" s="267">
        <f>Fak_3*25.8999024629444</f>
        <v>0.25899902462944402</v>
      </c>
      <c r="S69" s="267">
        <f>Fak_3*83.3851031553289</f>
        <v>0.8338510315532891</v>
      </c>
      <c r="T69" s="267">
        <f>Fak_3*613.048701632676</f>
        <v>6.1304870163267609</v>
      </c>
      <c r="U69" s="213"/>
      <c r="V69" s="220">
        <f t="shared" si="19"/>
        <v>0.47014924161630484</v>
      </c>
      <c r="W69" s="367"/>
      <c r="Y69" s="210"/>
      <c r="BD69" s="144">
        <v>1091.9388516614299</v>
      </c>
      <c r="BE69" s="144">
        <v>513.37422300000003</v>
      </c>
      <c r="BF69" s="144">
        <f t="shared" si="20"/>
        <v>578.56462866142988</v>
      </c>
      <c r="BQ69" s="214"/>
      <c r="BR69" s="214"/>
    </row>
    <row r="70" spans="2:128" s="144" customFormat="1" ht="24" customHeight="1" x14ac:dyDescent="0.25">
      <c r="B70" s="227"/>
      <c r="C70" s="228"/>
      <c r="D70" s="229"/>
      <c r="E70" s="131"/>
      <c r="F70" s="198"/>
      <c r="G70" s="197">
        <v>213</v>
      </c>
      <c r="H70" s="148" t="str">
        <f>+VLOOKUP($G70,Konstanten!$A$2:$B$15,2,FALSE)</f>
        <v>betriebliche Nutzung</v>
      </c>
      <c r="I70" s="148"/>
      <c r="J70" s="267">
        <f>Fak_3*201.302933605712</f>
        <v>2.0130293360571203</v>
      </c>
      <c r="K70" s="267">
        <f>Fak_3*119.316188071826</f>
        <v>1.19316188071826</v>
      </c>
      <c r="L70" s="267">
        <f>Fak_3*287.918444817734</f>
        <v>2.8791844481773401</v>
      </c>
      <c r="M70" s="267">
        <f>Fak_3*757.836047569385</f>
        <v>7.5783604756938496</v>
      </c>
      <c r="N70" s="267">
        <f>Fak_3*533.681162546031</f>
        <v>5.3368116254603102</v>
      </c>
      <c r="O70" s="267">
        <f>Fak_3*447.298208774055</f>
        <v>4.47298208774055</v>
      </c>
      <c r="P70" s="267">
        <f>Fak_3*434.713053324687</f>
        <v>4.3471305332468697</v>
      </c>
      <c r="Q70" s="267">
        <f>Fak_3*473.114879186087</f>
        <v>4.7311487918608703</v>
      </c>
      <c r="R70" s="267">
        <f>Fak_3*446.112205855054</f>
        <v>4.46112205855054</v>
      </c>
      <c r="S70" s="267">
        <f>Fak_3*458.448139915146</f>
        <v>4.5844813991514597</v>
      </c>
      <c r="T70" s="267">
        <f>Fak_3*4159.74126366572</f>
        <v>41.597412636657204</v>
      </c>
      <c r="U70" s="213"/>
      <c r="V70" s="220">
        <f t="shared" si="19"/>
        <v>0.67934740484148592</v>
      </c>
      <c r="W70" s="367"/>
      <c r="Y70" s="210"/>
      <c r="BD70" s="144">
        <v>435.91739350075102</v>
      </c>
      <c r="BE70" s="144">
        <v>296.13935000000004</v>
      </c>
      <c r="BF70" s="144">
        <f t="shared" si="20"/>
        <v>139.77804350075098</v>
      </c>
      <c r="BQ70" s="214"/>
      <c r="BR70" s="214"/>
    </row>
    <row r="71" spans="2:128" s="144" customFormat="1" ht="24" customHeight="1" x14ac:dyDescent="0.25">
      <c r="B71" s="227"/>
      <c r="C71" s="228"/>
      <c r="D71" s="229"/>
      <c r="E71" s="131"/>
      <c r="F71" s="198"/>
      <c r="G71" s="197">
        <v>214</v>
      </c>
      <c r="H71" s="148" t="str">
        <f>+VLOOKUP($G71,Konstanten!$A$2:$B$15,2,FALSE)</f>
        <v>sonstige bauliche Nutzung</v>
      </c>
      <c r="I71" s="148"/>
      <c r="J71" s="267">
        <f>Fak_3*203.74031419574</f>
        <v>2.0374031419574004</v>
      </c>
      <c r="K71" s="267">
        <f>Fak_3*50.5612166239795</f>
        <v>0.50561216623979499</v>
      </c>
      <c r="L71" s="267">
        <f>Fak_3*197.980080371773</f>
        <v>1.9798008037177299</v>
      </c>
      <c r="M71" s="267">
        <f>Fak_3*27.416704343163</f>
        <v>0.27416704343163001</v>
      </c>
      <c r="N71" s="267">
        <f>Fak_3*562.751196099185</f>
        <v>5.6275119609918498</v>
      </c>
      <c r="O71" s="267">
        <f>Fak_3*283.043551422048</f>
        <v>2.83043551422048</v>
      </c>
      <c r="P71" s="267">
        <f>Fak_3*137.053236331996</f>
        <v>1.37053236331996</v>
      </c>
      <c r="Q71" s="267">
        <f>Fak_3*3.64630671590645</f>
        <v>3.6463067159064499E-2</v>
      </c>
      <c r="R71" s="267">
        <f>Fak_3*404.954850480785</f>
        <v>4.0495485048078503</v>
      </c>
      <c r="S71" s="267">
        <f>Fak_3*673.473959916137</f>
        <v>6.7347395991613705</v>
      </c>
      <c r="T71" s="267">
        <f>Fak_3*2544.62141650071</f>
        <v>25.446214165007099</v>
      </c>
      <c r="U71" s="213"/>
      <c r="V71" s="220">
        <f t="shared" si="19"/>
        <v>0.49709310254569294</v>
      </c>
      <c r="W71" s="367"/>
      <c r="Y71" s="210"/>
      <c r="BD71" s="144">
        <v>153.25834860683301</v>
      </c>
      <c r="BE71" s="144">
        <v>76.183667999999997</v>
      </c>
      <c r="BF71" s="144">
        <f t="shared" si="20"/>
        <v>77.074680606833013</v>
      </c>
      <c r="BQ71" s="214"/>
      <c r="BR71" s="214"/>
    </row>
    <row r="72" spans="2:128" s="144" customFormat="1" ht="24" customHeight="1" x14ac:dyDescent="0.25">
      <c r="B72" s="227"/>
      <c r="C72" s="228"/>
      <c r="D72" s="229"/>
      <c r="E72" s="131"/>
      <c r="F72" s="200"/>
      <c r="G72" s="215"/>
      <c r="H72" s="216"/>
      <c r="I72" s="217" t="s">
        <v>7536</v>
      </c>
      <c r="J72" s="268">
        <f>Fak_3*1746.84756115829</f>
        <v>17.4684756115829</v>
      </c>
      <c r="K72" s="268">
        <f>Fak_3*1088.99368700018</f>
        <v>10.889936870001801</v>
      </c>
      <c r="L72" s="268">
        <f>Fak_3*3422.88127895171</f>
        <v>34.2288127895171</v>
      </c>
      <c r="M72" s="268">
        <f>Fak_3*2661.12672064798</f>
        <v>26.611267206479802</v>
      </c>
      <c r="N72" s="268">
        <f>Fak_3*2750.81680778645</f>
        <v>27.508168077864504</v>
      </c>
      <c r="O72" s="268">
        <f>Fak_3*3457.2932527565</f>
        <v>34.572932527565001</v>
      </c>
      <c r="P72" s="268">
        <f>Fak_3*3891.33341298124</f>
        <v>38.913334129812405</v>
      </c>
      <c r="Q72" s="268">
        <f>Fak_3*1857.95735982729</f>
        <v>18.579573598272901</v>
      </c>
      <c r="R72" s="268">
        <f>Fak_3*3204.03003917831</f>
        <v>32.040300391783099</v>
      </c>
      <c r="S72" s="268">
        <f>Fak_3*3113.0358157049</f>
        <v>31.130358157048999</v>
      </c>
      <c r="T72" s="268">
        <f>Fak_3*27194.3159359928</f>
        <v>271.94315935992802</v>
      </c>
      <c r="U72" s="213"/>
      <c r="V72" s="220">
        <f t="shared" si="19"/>
        <v>0.47352572969419021</v>
      </c>
      <c r="W72" s="367"/>
      <c r="Y72" s="210"/>
      <c r="BD72" s="144">
        <v>2793.75774544365</v>
      </c>
      <c r="BE72" s="144">
        <v>1322.9161750000001</v>
      </c>
      <c r="BF72" s="144">
        <f t="shared" si="20"/>
        <v>1470.84157044365</v>
      </c>
      <c r="BQ72" s="214"/>
      <c r="BR72" s="214"/>
    </row>
    <row r="73" spans="2:128" s="144" customFormat="1" ht="24" customHeight="1" x14ac:dyDescent="0.25">
      <c r="B73" s="227"/>
      <c r="C73" s="228"/>
      <c r="D73" s="229"/>
      <c r="E73" s="131"/>
      <c r="F73" s="200" t="s">
        <v>7409</v>
      </c>
      <c r="G73" s="215"/>
      <c r="H73" s="216"/>
      <c r="I73" s="217" t="s">
        <v>7537</v>
      </c>
      <c r="J73" s="268">
        <f>Fak_3*173.200948142041</f>
        <v>1.7320094814204101</v>
      </c>
      <c r="K73" s="268">
        <f>Fak_3*190.590603340473</f>
        <v>1.90590603340473</v>
      </c>
      <c r="L73" s="268">
        <f>Fak_3*596.773578735887</f>
        <v>5.9677357873588699</v>
      </c>
      <c r="M73" s="268">
        <f>Fak_3*147.166576434286</f>
        <v>1.4716657643428599</v>
      </c>
      <c r="N73" s="268">
        <f>Fak_3*548.405257504986</f>
        <v>5.4840525750498603</v>
      </c>
      <c r="O73" s="268">
        <f>Fak_3*833.590648083561</f>
        <v>8.3359064808356091</v>
      </c>
      <c r="P73" s="268">
        <f>Fak_3*513.663617781087</f>
        <v>5.1366361778108702</v>
      </c>
      <c r="Q73" s="268">
        <f>Fak_3*85.058871413649</f>
        <v>0.85058871413649006</v>
      </c>
      <c r="R73" s="268">
        <f>Fak_3*279.735134414516</f>
        <v>2.7973513441451598</v>
      </c>
      <c r="S73" s="268">
        <f>Fak_3*362.3230014929</f>
        <v>3.6232300149290002</v>
      </c>
      <c r="T73" s="268">
        <f>Fak_3*3730.50823734339</f>
        <v>37.305082373433905</v>
      </c>
      <c r="U73" s="213"/>
      <c r="V73" s="220">
        <f t="shared" si="19"/>
        <v>0.44779624681110691</v>
      </c>
      <c r="W73" s="367"/>
      <c r="Y73" s="210"/>
      <c r="BD73" s="144">
        <v>659.18180668565299</v>
      </c>
      <c r="BE73" s="144">
        <v>295.17913900000002</v>
      </c>
      <c r="BF73" s="144">
        <f t="shared" si="20"/>
        <v>364.00266768565297</v>
      </c>
      <c r="BQ73" s="214"/>
      <c r="BR73" s="214"/>
      <c r="DV73" s="330"/>
      <c r="DW73" s="330"/>
      <c r="DX73" s="330"/>
    </row>
    <row r="74" spans="2:128" s="144" customFormat="1" ht="24" customHeight="1" x14ac:dyDescent="0.25">
      <c r="B74" s="227"/>
      <c r="C74" s="228"/>
      <c r="D74" s="229"/>
      <c r="E74" s="131"/>
      <c r="F74" s="321" t="s">
        <v>7549</v>
      </c>
      <c r="G74" s="199"/>
      <c r="H74" s="200"/>
      <c r="I74" s="217" t="s">
        <v>7538</v>
      </c>
      <c r="J74" s="268">
        <f>Fak_3*187.092969109811</f>
        <v>1.8709296910981101</v>
      </c>
      <c r="K74" s="268">
        <f>Fak_3*171.224521310331</f>
        <v>1.7122452131033101</v>
      </c>
      <c r="L74" s="268">
        <f>Fak_3*412.900074197048</f>
        <v>4.1290007419704802</v>
      </c>
      <c r="M74" s="268">
        <f>Fak_3*397.159083809273</f>
        <v>3.9715908380927303</v>
      </c>
      <c r="N74" s="268">
        <f>Fak_3*317.935923631432</f>
        <v>3.1793592363143199</v>
      </c>
      <c r="O74" s="268">
        <f>Fak_3*434.95756573059</f>
        <v>4.3495756573059001</v>
      </c>
      <c r="P74" s="268">
        <f>Fak_3*487.206845872914</f>
        <v>4.8720684587291405</v>
      </c>
      <c r="Q74" s="268">
        <f>Fak_3*200.965795299736</f>
        <v>2.0096579529973599</v>
      </c>
      <c r="R74" s="268">
        <f>Fak_3*262.631028969757</f>
        <v>2.6263102896975701</v>
      </c>
      <c r="S74" s="268">
        <f>Fak_3*181.105279216496</f>
        <v>1.81105279216496</v>
      </c>
      <c r="T74" s="268">
        <f>Fak_3*3053.17908714739</f>
        <v>30.531790871473902</v>
      </c>
      <c r="U74" s="213"/>
      <c r="V74" s="220">
        <f t="shared" si="19"/>
        <v>0.16709269428718873</v>
      </c>
      <c r="W74" s="367"/>
      <c r="Y74" s="210"/>
      <c r="BD74" s="144">
        <v>330.24510877272303</v>
      </c>
      <c r="BE74" s="144">
        <v>55.181545</v>
      </c>
      <c r="BF74" s="144">
        <f t="shared" si="20"/>
        <v>275.063563772723</v>
      </c>
      <c r="BQ74" s="214"/>
      <c r="BR74" s="214"/>
      <c r="DV74" s="330"/>
      <c r="DW74" s="330"/>
      <c r="DX74" s="330"/>
    </row>
    <row r="75" spans="2:128" s="144" customFormat="1" ht="24" customHeight="1" x14ac:dyDescent="0.25">
      <c r="B75" s="227"/>
      <c r="C75" s="228"/>
      <c r="D75" s="229"/>
      <c r="E75" s="131"/>
      <c r="F75" s="322" t="s">
        <v>7519</v>
      </c>
      <c r="G75" s="199"/>
      <c r="H75" s="200"/>
      <c r="I75" s="217" t="s">
        <v>7539</v>
      </c>
      <c r="J75" s="268">
        <f>Fak_3*50.8586888379438</f>
        <v>0.508586888379438</v>
      </c>
      <c r="K75" s="268">
        <f>Fak_3*30.3060165647063</f>
        <v>0.30306016564706301</v>
      </c>
      <c r="L75" s="268">
        <f>Fak_3*106.994890519776</f>
        <v>1.0699489051977602</v>
      </c>
      <c r="M75" s="268">
        <f>Fak_3*31.1998059827338</f>
        <v>0.31199805982733803</v>
      </c>
      <c r="N75" s="268">
        <f>Fak_3*204.881453279063</f>
        <v>2.04881453279063</v>
      </c>
      <c r="O75" s="268">
        <f>Fak_3*120.43149513922</f>
        <v>1.2043149513922</v>
      </c>
      <c r="P75" s="268">
        <f>Fak_3*232.93181155169</f>
        <v>2.3293181155169003</v>
      </c>
      <c r="Q75" s="268">
        <f>Fak_3*46.4425124849006</f>
        <v>0.464425124849006</v>
      </c>
      <c r="R75" s="268">
        <f>Fak_3*178.673386941278</f>
        <v>1.7867338694127801</v>
      </c>
      <c r="S75" s="268">
        <f>Fak_3*126.124543994272</f>
        <v>1.26124543994272</v>
      </c>
      <c r="T75" s="268">
        <f>Fak_3*1128.84460529558</f>
        <v>11.288446052955802</v>
      </c>
      <c r="U75" s="213"/>
      <c r="V75" s="220">
        <f t="shared" si="19"/>
        <v>0.11640789345535361</v>
      </c>
      <c r="W75" s="367"/>
      <c r="Y75" s="210"/>
      <c r="BD75" s="144">
        <v>145.07992111786899</v>
      </c>
      <c r="BE75" s="144">
        <v>16.888448</v>
      </c>
      <c r="BF75" s="144">
        <f t="shared" si="20"/>
        <v>128.19147311786898</v>
      </c>
      <c r="BQ75" s="214"/>
      <c r="BR75" s="214"/>
      <c r="DV75" s="330"/>
      <c r="DW75" s="330"/>
      <c r="DX75" s="330"/>
    </row>
    <row r="76" spans="2:128" s="208" customFormat="1" ht="24" customHeight="1" x14ac:dyDescent="0.25">
      <c r="B76" s="240"/>
      <c r="C76" s="230"/>
      <c r="D76" s="241"/>
      <c r="E76" s="183"/>
      <c r="F76" s="202" t="s">
        <v>7416</v>
      </c>
      <c r="G76" s="203"/>
      <c r="H76" s="201"/>
      <c r="I76" s="204" t="s">
        <v>7533</v>
      </c>
      <c r="J76" s="269">
        <f t="shared" ref="J76:T76" si="21">+SUM(J75,J74,J73,J72,J67)</f>
        <v>31.00500323052767</v>
      </c>
      <c r="K76" s="269">
        <f t="shared" si="21"/>
        <v>22.199263761788664</v>
      </c>
      <c r="L76" s="269">
        <f t="shared" si="21"/>
        <v>62.927098784965906</v>
      </c>
      <c r="M76" s="269">
        <f t="shared" si="21"/>
        <v>41.261307628290432</v>
      </c>
      <c r="N76" s="269">
        <f t="shared" si="21"/>
        <v>59.918596983514711</v>
      </c>
      <c r="O76" s="269">
        <f t="shared" si="21"/>
        <v>72.093226926894005</v>
      </c>
      <c r="P76" s="269">
        <f t="shared" si="21"/>
        <v>73.643681002273809</v>
      </c>
      <c r="Q76" s="269">
        <f t="shared" si="21"/>
        <v>29.856264650718916</v>
      </c>
      <c r="R76" s="269">
        <f t="shared" si="21"/>
        <v>56.773584464052412</v>
      </c>
      <c r="S76" s="269">
        <f t="shared" si="21"/>
        <v>55.263101847672274</v>
      </c>
      <c r="T76" s="269">
        <f t="shared" si="21"/>
        <v>504.94112928069865</v>
      </c>
      <c r="U76" s="206"/>
      <c r="V76" s="220">
        <f t="shared" si="19"/>
        <v>0.52475772773011986</v>
      </c>
      <c r="W76" s="367"/>
      <c r="Y76" s="202"/>
      <c r="BD76" s="208">
        <v>5647.9554304425055</v>
      </c>
      <c r="BE76" s="208">
        <v>2963.808258</v>
      </c>
      <c r="BF76" s="144">
        <f t="shared" si="20"/>
        <v>2684.1471724425055</v>
      </c>
      <c r="BQ76" s="209"/>
      <c r="BR76" s="209"/>
    </row>
    <row r="77" spans="2:128" ht="66" customHeight="1" x14ac:dyDescent="0.4">
      <c r="F77" s="365"/>
      <c r="G77" s="365"/>
      <c r="H77" s="365"/>
      <c r="V77" s="138"/>
    </row>
    <row r="78" spans="2:128" ht="22.5" x14ac:dyDescent="0.3">
      <c r="I78" s="369" t="str">
        <f xml:space="preserve"> "Versiegelung " &amp; IF(Versatz = 1, "in "&amp;K!Einheit, IF(Versatz = 2, "in m² pro Einwohner:in", "in Prozent des Dauersiedlungsraums"))</f>
        <v>Versiegelung in km²</v>
      </c>
      <c r="J78" s="369"/>
      <c r="K78" s="369"/>
      <c r="L78" s="369"/>
      <c r="M78" s="369"/>
      <c r="N78" s="369"/>
      <c r="O78" s="369"/>
      <c r="P78" s="369"/>
      <c r="Q78" s="369"/>
      <c r="R78" s="369"/>
      <c r="S78" s="369"/>
      <c r="T78" s="369"/>
      <c r="U78" s="369"/>
      <c r="V78" s="369"/>
    </row>
    <row r="79" spans="2:128" ht="114" customHeight="1" x14ac:dyDescent="0.4">
      <c r="B79" s="247"/>
      <c r="C79" s="233"/>
      <c r="D79" s="248"/>
      <c r="E79" s="249"/>
      <c r="F79" s="147"/>
      <c r="G79" s="250"/>
      <c r="H79" s="147"/>
      <c r="I79" s="152"/>
      <c r="J79" s="278" t="str">
        <f t="shared" ref="J79:T79" si="22">+J24</f>
        <v>Feldkirchen</v>
      </c>
      <c r="K79" s="278" t="str">
        <f t="shared" si="22"/>
        <v>Hermagor</v>
      </c>
      <c r="L79" s="278" t="str">
        <f t="shared" si="22"/>
        <v>Klagenfurt Land</v>
      </c>
      <c r="M79" s="278" t="str">
        <f t="shared" si="22"/>
        <v>Klagenfurt Stadt</v>
      </c>
      <c r="N79" s="278" t="str">
        <f t="shared" si="22"/>
        <v>Sankt Veit an der Glan</v>
      </c>
      <c r="O79" s="278" t="str">
        <f t="shared" si="22"/>
        <v>Spittal an der Drau</v>
      </c>
      <c r="P79" s="278" t="str">
        <f t="shared" si="22"/>
        <v>Villach Land</v>
      </c>
      <c r="Q79" s="278" t="str">
        <f t="shared" si="22"/>
        <v>Villach Stadt</v>
      </c>
      <c r="R79" s="278" t="str">
        <f t="shared" si="22"/>
        <v>Völkermarkt</v>
      </c>
      <c r="S79" s="278" t="str">
        <f t="shared" si="22"/>
        <v>Wolfsberg</v>
      </c>
      <c r="T79" s="277" t="str">
        <f t="shared" si="22"/>
        <v>K</v>
      </c>
      <c r="U79" s="252"/>
      <c r="V79" s="151"/>
      <c r="W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Fak_3*0</f>
        <v>0</v>
      </c>
      <c r="K80" s="267">
        <f>Fak_3*0</f>
        <v>0</v>
      </c>
      <c r="L80" s="267">
        <f>Fak_3*86.7416</f>
        <v>0.86741600000000008</v>
      </c>
      <c r="M80" s="267">
        <f>Fak_3*41.9362</f>
        <v>0.41936200000000001</v>
      </c>
      <c r="N80" s="267">
        <f>Fak_3*18.0624</f>
        <v>0.18062400000000001</v>
      </c>
      <c r="O80" s="267">
        <f>Fak_3*112.8777</f>
        <v>1.1287770000000001</v>
      </c>
      <c r="P80" s="267">
        <f>Fak_3*209.2014</f>
        <v>2.0920140000000003</v>
      </c>
      <c r="Q80" s="267">
        <f>Fak_3*87.9068</f>
        <v>0.87906800000000007</v>
      </c>
      <c r="R80" s="267">
        <f>Fak_3*65.5143</f>
        <v>0.65514300000000003</v>
      </c>
      <c r="S80" s="267">
        <f>Fak_3*97.4613</f>
        <v>0.97461299999999995</v>
      </c>
      <c r="T80" s="267">
        <f>Fak_3*719.7017</f>
        <v>7.1970169999999998</v>
      </c>
      <c r="U80" s="213"/>
      <c r="V80" s="219"/>
      <c r="W80" s="210"/>
    </row>
    <row r="81" spans="2:23" s="144" customFormat="1" ht="24" customHeight="1" x14ac:dyDescent="0.25">
      <c r="B81" s="227"/>
      <c r="C81" s="228"/>
      <c r="D81" s="229"/>
      <c r="E81" s="131"/>
      <c r="F81" s="198"/>
      <c r="G81" s="196">
        <v>102</v>
      </c>
      <c r="H81" s="148" t="str">
        <f>+VLOOKUP($G81,Konstanten!$A$2:$B$15,2,FALSE)</f>
        <v>Landesstraße B + L</v>
      </c>
      <c r="I81" s="148"/>
      <c r="J81" s="267">
        <f>Fak_3*171.1637</f>
        <v>1.7116370000000001</v>
      </c>
      <c r="K81" s="267">
        <f>Fak_3*187.2054</f>
        <v>1.8720540000000001</v>
      </c>
      <c r="L81" s="267">
        <f>Fak_3*301.493</f>
        <v>3.0149300000000001</v>
      </c>
      <c r="M81" s="267">
        <f>Fak_3*114.6588</f>
        <v>1.1465879999999999</v>
      </c>
      <c r="N81" s="267">
        <f>Fak_3*353.3568</f>
        <v>3.5335680000000003</v>
      </c>
      <c r="O81" s="267">
        <f>Fak_3*377.3258</f>
        <v>3.7732580000000002</v>
      </c>
      <c r="P81" s="267">
        <f>Fak_3*356.5653</f>
        <v>3.5656529999999997</v>
      </c>
      <c r="Q81" s="267">
        <f>Fak_3*93.0329</f>
        <v>0.93032899999999996</v>
      </c>
      <c r="R81" s="267">
        <f>Fak_3*309.2196</f>
        <v>3.0921960000000004</v>
      </c>
      <c r="S81" s="267">
        <f>Fak_3*228.377</f>
        <v>2.2837700000000001</v>
      </c>
      <c r="T81" s="267">
        <f>Fak_3*2492.3983</f>
        <v>24.923983</v>
      </c>
      <c r="U81" s="213"/>
      <c r="V81" s="219"/>
      <c r="W81" s="210"/>
    </row>
    <row r="82" spans="2:23" s="144" customFormat="1" ht="24" customHeight="1" x14ac:dyDescent="0.25">
      <c r="B82" s="227"/>
      <c r="C82" s="228"/>
      <c r="D82" s="229"/>
      <c r="E82" s="131"/>
      <c r="F82" s="198"/>
      <c r="G82" s="196">
        <v>103</v>
      </c>
      <c r="H82" s="148" t="str">
        <f>+VLOOKUP($G82,Konstanten!$A$2:$B$15,2,FALSE)</f>
        <v>Gemeinde- und sonstige Straßen</v>
      </c>
      <c r="I82" s="148"/>
      <c r="J82" s="267">
        <f>Fak_3*464.2537</f>
        <v>4.6425369999999999</v>
      </c>
      <c r="K82" s="267">
        <f>Fak_3*346.0553</f>
        <v>3.460553</v>
      </c>
      <c r="L82" s="267">
        <f>Fak_3*827.0292</f>
        <v>8.2702919999999995</v>
      </c>
      <c r="M82" s="267">
        <f>Fak_3*482.5753</f>
        <v>4.8257530000000006</v>
      </c>
      <c r="N82" s="267">
        <f>Fak_3*1140.1931</f>
        <v>11.401930999999999</v>
      </c>
      <c r="O82" s="267">
        <f>Fak_3*1134.0838</f>
        <v>11.340838000000002</v>
      </c>
      <c r="P82" s="267">
        <f>Fak_3*882.5023</f>
        <v>8.8250229999999998</v>
      </c>
      <c r="Q82" s="267">
        <f>Fak_3*304.8517</f>
        <v>3.0485169999999999</v>
      </c>
      <c r="R82" s="267">
        <f>Fak_3*874.0184</f>
        <v>8.7401840000000011</v>
      </c>
      <c r="S82" s="267">
        <f>Fak_3*949.7565</f>
        <v>9.4975649999999998</v>
      </c>
      <c r="T82" s="267">
        <f>Fak_3*7405.3193</f>
        <v>74.053193000000007</v>
      </c>
      <c r="U82" s="213"/>
      <c r="V82" s="219"/>
      <c r="W82" s="210"/>
    </row>
    <row r="83" spans="2:23" s="144" customFormat="1" ht="24" customHeight="1" x14ac:dyDescent="0.25">
      <c r="B83" s="227"/>
      <c r="C83" s="228"/>
      <c r="D83" s="229"/>
      <c r="E83" s="131"/>
      <c r="F83" s="198"/>
      <c r="G83" s="196">
        <v>104</v>
      </c>
      <c r="H83" s="148" t="str">
        <f>+VLOOKUP($G83,Konstanten!$A$2:$B$15,2,FALSE)</f>
        <v>Schiene</v>
      </c>
      <c r="I83" s="148"/>
      <c r="J83" s="267">
        <f>Fak_3*19.9865</f>
        <v>0.19986499999999999</v>
      </c>
      <c r="K83" s="267">
        <f>Fak_3*9.0762</f>
        <v>9.0761999999999995E-2</v>
      </c>
      <c r="L83" s="267">
        <f>Fak_3*59.2498</f>
        <v>0.59249799999999997</v>
      </c>
      <c r="M83" s="267">
        <f>Fak_3*41.6924</f>
        <v>0.41692400000000002</v>
      </c>
      <c r="N83" s="267">
        <f>Fak_3*78.6951</f>
        <v>0.78695099999999996</v>
      </c>
      <c r="O83" s="267">
        <f>Fak_3*82.1889</f>
        <v>0.82188900000000009</v>
      </c>
      <c r="P83" s="267">
        <f>Fak_3*138.115</f>
        <v>1.3811500000000001</v>
      </c>
      <c r="Q83" s="267">
        <f>Fak_3*59.2226</f>
        <v>0.59222600000000003</v>
      </c>
      <c r="R83" s="267">
        <f>Fak_3*38.8657</f>
        <v>0.38865699999999997</v>
      </c>
      <c r="S83" s="267">
        <f>Fak_3*29.3392</f>
        <v>0.29339200000000004</v>
      </c>
      <c r="T83" s="267">
        <f>Fak_3*556.4314</f>
        <v>5.5643140000000004</v>
      </c>
      <c r="U83" s="213"/>
      <c r="V83" s="219"/>
      <c r="W83" s="210"/>
    </row>
    <row r="84" spans="2:23" s="144" customFormat="1" ht="24" customHeight="1" x14ac:dyDescent="0.25">
      <c r="B84" s="227"/>
      <c r="C84" s="228"/>
      <c r="D84" s="229"/>
      <c r="E84" s="131"/>
      <c r="F84" s="200"/>
      <c r="G84" s="215"/>
      <c r="H84" s="216"/>
      <c r="I84" s="217" t="s">
        <v>7535</v>
      </c>
      <c r="J84" s="268">
        <f>Fak_3*655.4039</f>
        <v>6.5540390000000004</v>
      </c>
      <c r="K84" s="268">
        <f>Fak_3*542.3369</f>
        <v>5.4233690000000001</v>
      </c>
      <c r="L84" s="268">
        <f>Fak_3*1274.5136</f>
        <v>12.745136</v>
      </c>
      <c r="M84" s="268">
        <f>Fak_3*680.8627</f>
        <v>6.8086270000000004</v>
      </c>
      <c r="N84" s="268">
        <f>Fak_3*1590.3074</f>
        <v>15.903074</v>
      </c>
      <c r="O84" s="268">
        <f>Fak_3*1706.4762</f>
        <v>17.064762000000002</v>
      </c>
      <c r="P84" s="268">
        <f>Fak_3*1586.384</f>
        <v>15.86384</v>
      </c>
      <c r="Q84" s="268">
        <f>Fak_3*545.014</f>
        <v>5.4501400000000002</v>
      </c>
      <c r="R84" s="268">
        <f>Fak_3*1287.618</f>
        <v>12.87618</v>
      </c>
      <c r="S84" s="268">
        <f>Fak_3*1304.934</f>
        <v>13.049340000000001</v>
      </c>
      <c r="T84" s="268">
        <f>Fak_3*11173.8507</f>
        <v>111.73850700000001</v>
      </c>
      <c r="U84" s="213"/>
      <c r="V84" s="219"/>
      <c r="W84" s="210"/>
    </row>
    <row r="85" spans="2:23" s="144" customFormat="1" ht="24" customHeight="1" x14ac:dyDescent="0.25">
      <c r="B85" s="227"/>
      <c r="C85" s="228"/>
      <c r="D85" s="229"/>
      <c r="E85" s="131"/>
      <c r="F85" s="198" t="s">
        <v>7410</v>
      </c>
      <c r="G85" s="197">
        <v>211</v>
      </c>
      <c r="H85" s="148" t="str">
        <f>+VLOOKUP($G85,Konstanten!$A$2:$B$15,2,FALSE)</f>
        <v>Wohnnutzung</v>
      </c>
      <c r="I85" s="148"/>
      <c r="J85" s="267">
        <f>Fak_3*429.9122</f>
        <v>4.2991219999999997</v>
      </c>
      <c r="K85" s="267">
        <f>Fak_3*354.1006</f>
        <v>3.5410059999999999</v>
      </c>
      <c r="L85" s="267">
        <f>Fak_3*949.5476</f>
        <v>9.495476</v>
      </c>
      <c r="M85" s="267">
        <f>Fak_3*737.4628</f>
        <v>7.3746280000000004</v>
      </c>
      <c r="N85" s="267">
        <f>Fak_3*586.4035</f>
        <v>5.8640350000000003</v>
      </c>
      <c r="O85" s="267">
        <f>Fak_3*1048.0669</f>
        <v>10.480669000000001</v>
      </c>
      <c r="P85" s="267">
        <f>Fak_3*1101.0274</f>
        <v>11.010273999999999</v>
      </c>
      <c r="Q85" s="267">
        <f>Fak_3*526.332</f>
        <v>5.2633200000000002</v>
      </c>
      <c r="R85" s="267">
        <f>Fak_3*800.5939</f>
        <v>8.0059389999999997</v>
      </c>
      <c r="S85" s="267">
        <f>Fak_3*641.7209</f>
        <v>6.4172090000000006</v>
      </c>
      <c r="T85" s="267">
        <f>Fak_3*7175.1678</f>
        <v>71.751677999999998</v>
      </c>
      <c r="U85" s="213"/>
      <c r="V85" s="219"/>
      <c r="W85" s="210"/>
    </row>
    <row r="86" spans="2:23" s="144" customFormat="1" ht="24" customHeight="1" x14ac:dyDescent="0.25">
      <c r="B86" s="227"/>
      <c r="C86" s="228"/>
      <c r="D86" s="229"/>
      <c r="E86" s="131"/>
      <c r="F86" s="198"/>
      <c r="G86" s="197">
        <v>212</v>
      </c>
      <c r="H86" s="148" t="str">
        <f>+VLOOKUP($G86,Konstanten!$A$2:$B$15,2,FALSE)</f>
        <v>gemischte bauliche Nutzung</v>
      </c>
      <c r="I86" s="148"/>
      <c r="J86" s="267">
        <f>Fak_3*11.6414</f>
        <v>0.11641400000000002</v>
      </c>
      <c r="K86" s="267">
        <f>Fak_3*8.6645</f>
        <v>8.6645E-2</v>
      </c>
      <c r="L86" s="267">
        <f>Fak_3*17.6019</f>
        <v>0.17601900000000001</v>
      </c>
      <c r="M86" s="267">
        <f>Fak_3*176.0014</f>
        <v>1.760014</v>
      </c>
      <c r="N86" s="267">
        <f>Fak_3*31.2124</f>
        <v>0.31212400000000001</v>
      </c>
      <c r="O86" s="267">
        <f>Fak_3*34.1853</f>
        <v>0.34185299999999996</v>
      </c>
      <c r="P86" s="267">
        <f>Fak_3*29.3796</f>
        <v>0.293796</v>
      </c>
      <c r="Q86" s="267">
        <f>Fak_3*11.3183</f>
        <v>0.11318300000000001</v>
      </c>
      <c r="R86" s="267">
        <f>Fak_3*14.7208</f>
        <v>0.14720800000000001</v>
      </c>
      <c r="S86" s="267">
        <f>Fak_3*47.3336</f>
        <v>0.47333599999999998</v>
      </c>
      <c r="T86" s="267">
        <f>Fak_3*382.0592</f>
        <v>3.820592</v>
      </c>
      <c r="U86" s="213"/>
      <c r="V86" s="219"/>
      <c r="W86" s="210"/>
    </row>
    <row r="87" spans="2:23" s="144" customFormat="1" ht="24" customHeight="1" x14ac:dyDescent="0.25">
      <c r="B87" s="227"/>
      <c r="C87" s="228"/>
      <c r="D87" s="229"/>
      <c r="E87" s="131"/>
      <c r="F87" s="198"/>
      <c r="G87" s="197">
        <v>213</v>
      </c>
      <c r="H87" s="148" t="str">
        <f>+VLOOKUP($G87,Konstanten!$A$2:$B$15,2,FALSE)</f>
        <v>betriebliche Nutzung</v>
      </c>
      <c r="I87" s="148"/>
      <c r="J87" s="267">
        <f>Fak_3*126.327</f>
        <v>1.2632700000000001</v>
      </c>
      <c r="K87" s="267">
        <f>Fak_3*78.7583</f>
        <v>0.78758300000000003</v>
      </c>
      <c r="L87" s="267">
        <f>Fak_3*166.1378</f>
        <v>1.661378</v>
      </c>
      <c r="M87" s="267">
        <f>Fak_3*517.322</f>
        <v>5.1732199999999997</v>
      </c>
      <c r="N87" s="267">
        <f>Fak_3*352.7056</f>
        <v>3.527056</v>
      </c>
      <c r="O87" s="267">
        <f>Fak_3*303.8354</f>
        <v>3.038354</v>
      </c>
      <c r="P87" s="267">
        <f>Fak_3*269.0243</f>
        <v>2.6902429999999997</v>
      </c>
      <c r="Q87" s="267">
        <f>Fak_3*354.5658</f>
        <v>3.5456580000000004</v>
      </c>
      <c r="R87" s="267">
        <f>Fak_3*275.535</f>
        <v>2.7553500000000004</v>
      </c>
      <c r="S87" s="267">
        <f>Fak_3*313.5473</f>
        <v>3.1354730000000002</v>
      </c>
      <c r="T87" s="267">
        <f>Fak_3*2757.7585</f>
        <v>27.577584999999999</v>
      </c>
      <c r="U87" s="213"/>
      <c r="V87" s="219"/>
      <c r="W87" s="210"/>
    </row>
    <row r="88" spans="2:23" s="144" customFormat="1" ht="24" customHeight="1" x14ac:dyDescent="0.25">
      <c r="B88" s="227"/>
      <c r="C88" s="228"/>
      <c r="D88" s="229"/>
      <c r="E88" s="131"/>
      <c r="F88" s="198"/>
      <c r="G88" s="197">
        <v>214</v>
      </c>
      <c r="H88" s="148" t="str">
        <f>+VLOOKUP($G88,Konstanten!$A$2:$B$15,2,FALSE)</f>
        <v>sonstige bauliche Nutzung</v>
      </c>
      <c r="I88" s="148"/>
      <c r="J88" s="267">
        <f>Fak_3*91.5694</f>
        <v>0.91569400000000001</v>
      </c>
      <c r="K88" s="267">
        <f>Fak_3*25.5034</f>
        <v>0.25503399999999998</v>
      </c>
      <c r="L88" s="267">
        <f>Fak_3*90.0624</f>
        <v>0.90062399999999998</v>
      </c>
      <c r="M88" s="267">
        <f>Fak_3*11.4758</f>
        <v>0.114758</v>
      </c>
      <c r="N88" s="267">
        <f>Fak_3*245.1698</f>
        <v>2.4516979999999999</v>
      </c>
      <c r="O88" s="267">
        <f>Fak_3*146.8496</f>
        <v>1.468496</v>
      </c>
      <c r="P88" s="267">
        <f>Fak_3*65.8619</f>
        <v>0.65861900000000007</v>
      </c>
      <c r="Q88" s="267">
        <f>Fak_3*1.4292</f>
        <v>1.4292000000000001E-2</v>
      </c>
      <c r="R88" s="267">
        <f>Fak_3*170.442</f>
        <v>1.70442</v>
      </c>
      <c r="S88" s="267">
        <f>Fak_3*304.5824</f>
        <v>3.0458240000000001</v>
      </c>
      <c r="T88" s="267">
        <f>Fak_3*1152.9459</f>
        <v>11.529458999999999</v>
      </c>
      <c r="U88" s="213"/>
      <c r="V88" s="219"/>
      <c r="W88" s="210"/>
    </row>
    <row r="89" spans="2:23" s="144" customFormat="1" ht="24" customHeight="1" x14ac:dyDescent="0.25">
      <c r="B89" s="227"/>
      <c r="C89" s="228"/>
      <c r="D89" s="229"/>
      <c r="E89" s="131"/>
      <c r="F89" s="200"/>
      <c r="G89" s="215"/>
      <c r="H89" s="216"/>
      <c r="I89" s="217" t="s">
        <v>7536</v>
      </c>
      <c r="J89" s="268">
        <f>Fak_3*659.45</f>
        <v>6.5945000000000009</v>
      </c>
      <c r="K89" s="268">
        <f>Fak_3*467.0268</f>
        <v>4.6702680000000001</v>
      </c>
      <c r="L89" s="268">
        <f>Fak_3*1223.3497</f>
        <v>12.233497</v>
      </c>
      <c r="M89" s="268">
        <f>Fak_3*1442.262</f>
        <v>14.42262</v>
      </c>
      <c r="N89" s="268">
        <f>Fak_3*1215.4913</f>
        <v>12.154912999999999</v>
      </c>
      <c r="O89" s="268">
        <f>Fak_3*1532.9372</f>
        <v>15.329372000000001</v>
      </c>
      <c r="P89" s="268">
        <f>Fak_3*1465.2932</f>
        <v>14.652932000000002</v>
      </c>
      <c r="Q89" s="268">
        <f>Fak_3*893.6453</f>
        <v>8.9364530000000002</v>
      </c>
      <c r="R89" s="268">
        <f>Fak_3*1261.2917</f>
        <v>12.612916999999999</v>
      </c>
      <c r="S89" s="268">
        <f>Fak_3*1307.1842</f>
        <v>13.071842</v>
      </c>
      <c r="T89" s="268">
        <f>Fak_3*11467.9314</f>
        <v>114.67931399999999</v>
      </c>
      <c r="U89" s="213"/>
      <c r="V89" s="219"/>
      <c r="W89" s="210"/>
    </row>
    <row r="90" spans="2:23" s="144" customFormat="1" ht="24" customHeight="1" x14ac:dyDescent="0.25">
      <c r="B90" s="227"/>
      <c r="C90" s="228"/>
      <c r="D90" s="229"/>
      <c r="E90" s="131"/>
      <c r="F90" s="200" t="s">
        <v>7409</v>
      </c>
      <c r="G90" s="215"/>
      <c r="H90" s="216"/>
      <c r="I90" s="217" t="s">
        <v>7537</v>
      </c>
      <c r="J90" s="268">
        <f>Fak_3*47.3123</f>
        <v>0.47312300000000002</v>
      </c>
      <c r="K90" s="268">
        <f>Fak_3*74.2861</f>
        <v>0.7428610000000001</v>
      </c>
      <c r="L90" s="268">
        <f>Fak_3*213.8281</f>
        <v>2.1382810000000001</v>
      </c>
      <c r="M90" s="268">
        <f>Fak_3*62.124</f>
        <v>0.62124000000000001</v>
      </c>
      <c r="N90" s="268">
        <f>Fak_3*187.324</f>
        <v>1.8732400000000002</v>
      </c>
      <c r="O90" s="268">
        <f>Fak_3*311.6715</f>
        <v>3.1167149999999997</v>
      </c>
      <c r="P90" s="268">
        <f>Fak_3*143.8309</f>
        <v>1.4383090000000001</v>
      </c>
      <c r="Q90" s="268">
        <f>Fak_3*33.3183</f>
        <v>0.33318300000000001</v>
      </c>
      <c r="R90" s="268">
        <f>Fak_3*80.679</f>
        <v>0.80679000000000001</v>
      </c>
      <c r="S90" s="268">
        <f>Fak_3*103.5485</f>
        <v>1.035485</v>
      </c>
      <c r="T90" s="268">
        <f>Fak_3*1257.9227</f>
        <v>12.579227000000001</v>
      </c>
      <c r="U90" s="213"/>
      <c r="V90" s="219"/>
      <c r="W90" s="210"/>
    </row>
    <row r="91" spans="2:23" s="144" customFormat="1" ht="24" customHeight="1" x14ac:dyDescent="0.25">
      <c r="B91" s="227"/>
      <c r="C91" s="228"/>
      <c r="D91" s="229"/>
      <c r="E91" s="131"/>
      <c r="F91" s="321" t="s">
        <v>7549</v>
      </c>
      <c r="G91" s="199"/>
      <c r="H91" s="200"/>
      <c r="I91" s="217" t="s">
        <v>7538</v>
      </c>
      <c r="J91" s="268">
        <f>Fak_3*26.5031</f>
        <v>0.26503100000000002</v>
      </c>
      <c r="K91" s="268">
        <f>Fak_3*22.1411</f>
        <v>0.22141100000000002</v>
      </c>
      <c r="L91" s="268">
        <f>Fak_3*55.0627</f>
        <v>0.55062699999999998</v>
      </c>
      <c r="M91" s="268">
        <f>Fak_3*77.4896</f>
        <v>0.77489600000000003</v>
      </c>
      <c r="N91" s="268">
        <f>Fak_3*42.0561</f>
        <v>0.42056100000000002</v>
      </c>
      <c r="O91" s="268">
        <f>Fak_3*69.392</f>
        <v>0.69391999999999998</v>
      </c>
      <c r="P91" s="268">
        <f>Fak_3*67.2912</f>
        <v>0.67291200000000007</v>
      </c>
      <c r="Q91" s="268">
        <f>Fak_3*33.7669</f>
        <v>0.337669</v>
      </c>
      <c r="R91" s="268">
        <f>Fak_3*49.9278</f>
        <v>0.499278</v>
      </c>
      <c r="S91" s="268">
        <f>Fak_3*33.0561</f>
        <v>0.33056099999999999</v>
      </c>
      <c r="T91" s="268">
        <f>Fak_3*476.6866</f>
        <v>4.7668660000000003</v>
      </c>
      <c r="U91" s="213"/>
      <c r="V91" s="219"/>
      <c r="W91" s="210"/>
    </row>
    <row r="92" spans="2:23" s="144" customFormat="1" ht="24" customHeight="1" x14ac:dyDescent="0.25">
      <c r="B92" s="227"/>
      <c r="C92" s="228"/>
      <c r="D92" s="229"/>
      <c r="E92" s="131"/>
      <c r="F92" s="322" t="s">
        <v>7519</v>
      </c>
      <c r="G92" s="199"/>
      <c r="H92" s="200"/>
      <c r="I92" s="217" t="s">
        <v>7539</v>
      </c>
      <c r="J92" s="268">
        <f>Fak_3*5.0314</f>
        <v>5.0313999999999998E-2</v>
      </c>
      <c r="K92" s="268">
        <f>Fak_3*6.7332</f>
        <v>6.7332000000000003E-2</v>
      </c>
      <c r="L92" s="268">
        <f>Fak_3*28.0578</f>
        <v>0.28057799999999999</v>
      </c>
      <c r="M92" s="268">
        <f>Fak_3*3.4163</f>
        <v>3.4162999999999999E-2</v>
      </c>
      <c r="N92" s="268">
        <f>Fak_3*18.6728</f>
        <v>0.18672800000000001</v>
      </c>
      <c r="O92" s="268">
        <f>Fak_3*19.4702</f>
        <v>0.19470199999999999</v>
      </c>
      <c r="P92" s="268">
        <f>Fak_3*23.2423</f>
        <v>0.23242300000000002</v>
      </c>
      <c r="Q92" s="268">
        <f>Fak_3*6.0108</f>
        <v>6.0108000000000002E-2</v>
      </c>
      <c r="R92" s="268">
        <f>Fak_3*29.249</f>
        <v>0.29248999999999997</v>
      </c>
      <c r="S92" s="268">
        <f>Fak_3*21.686</f>
        <v>0.21686</v>
      </c>
      <c r="T92" s="268">
        <f>Fak_3*161.5698</f>
        <v>1.6156979999999999</v>
      </c>
      <c r="U92" s="213"/>
      <c r="V92" s="219"/>
      <c r="W92" s="210"/>
    </row>
    <row r="93" spans="2:23" s="208" customFormat="1" ht="24" customHeight="1" x14ac:dyDescent="0.25">
      <c r="B93" s="240"/>
      <c r="C93" s="230"/>
      <c r="D93" s="241"/>
      <c r="E93" s="183"/>
      <c r="F93" s="202" t="s">
        <v>7597</v>
      </c>
      <c r="G93" s="203"/>
      <c r="H93" s="201"/>
      <c r="I93" s="204" t="s">
        <v>7533</v>
      </c>
      <c r="J93" s="269">
        <f t="shared" ref="J93:T93" si="23">+SUM(J84,J89,J90,J91,J92)</f>
        <v>13.937007000000001</v>
      </c>
      <c r="K93" s="269">
        <f t="shared" si="23"/>
        <v>11.125241000000001</v>
      </c>
      <c r="L93" s="269">
        <f t="shared" si="23"/>
        <v>27.948118999999998</v>
      </c>
      <c r="M93" s="269">
        <f t="shared" si="23"/>
        <v>22.661546000000001</v>
      </c>
      <c r="N93" s="269">
        <f t="shared" si="23"/>
        <v>30.538515999999994</v>
      </c>
      <c r="O93" s="269">
        <f t="shared" si="23"/>
        <v>36.399470999999998</v>
      </c>
      <c r="P93" s="269">
        <f t="shared" si="23"/>
        <v>32.860416000000001</v>
      </c>
      <c r="Q93" s="269">
        <f t="shared" si="23"/>
        <v>15.117553000000001</v>
      </c>
      <c r="R93" s="269">
        <f t="shared" si="23"/>
        <v>27.087655000000002</v>
      </c>
      <c r="S93" s="269">
        <f t="shared" si="23"/>
        <v>27.704088000000002</v>
      </c>
      <c r="T93" s="269">
        <f t="shared" si="23"/>
        <v>245.37961200000001</v>
      </c>
      <c r="U93" s="206"/>
      <c r="V93" s="207"/>
      <c r="W93" s="202"/>
    </row>
  </sheetData>
  <mergeCells count="22">
    <mergeCell ref="F77:H77"/>
    <mergeCell ref="I78:V78"/>
    <mergeCell ref="J19:T19"/>
    <mergeCell ref="U20:W20"/>
    <mergeCell ref="I21:V21"/>
    <mergeCell ref="J39:T39"/>
    <mergeCell ref="J41:T41"/>
    <mergeCell ref="J45:T45"/>
    <mergeCell ref="J49:T49"/>
    <mergeCell ref="J50:T50"/>
    <mergeCell ref="J42:T42"/>
    <mergeCell ref="J46:T46"/>
    <mergeCell ref="X25:X30"/>
    <mergeCell ref="I55:V55"/>
    <mergeCell ref="W63:W76"/>
    <mergeCell ref="B1:D1"/>
    <mergeCell ref="E1:S4"/>
    <mergeCell ref="I6:V6"/>
    <mergeCell ref="W8:W9"/>
    <mergeCell ref="X10:X15"/>
    <mergeCell ref="J17:T17"/>
    <mergeCell ref="I35:U35"/>
  </mergeCells>
  <conditionalFormatting sqref="A8:V8 A23:XFD23 J22:S22">
    <cfRule type="expression" dxfId="95" priority="12">
      <formula>$A$12=2</formula>
    </cfRule>
  </conditionalFormatting>
  <conditionalFormatting sqref="A8:V8 A23:XFD23">
    <cfRule type="expression" dxfId="94" priority="9">
      <formula>$A$12=1</formula>
    </cfRule>
  </conditionalFormatting>
  <conditionalFormatting sqref="J39">
    <cfRule type="expression" dxfId="93" priority="4">
      <formula>$C$8 = "relativ"</formula>
    </cfRule>
  </conditionalFormatting>
  <conditionalFormatting sqref="J41">
    <cfRule type="expression" dxfId="92" priority="3">
      <formula>$C$8 = "relativ"</formula>
    </cfRule>
  </conditionalFormatting>
  <conditionalFormatting sqref="J45">
    <cfRule type="expression" dxfId="91" priority="2">
      <formula>$C$8 = "relativ"</formula>
    </cfRule>
  </conditionalFormatting>
  <conditionalFormatting sqref="J49">
    <cfRule type="expression" dxfId="90" priority="1">
      <formula>$C$8 = "relativ"</formula>
    </cfRule>
  </conditionalFormatting>
  <conditionalFormatting sqref="J10:T15 J25:T30">
    <cfRule type="expression" dxfId="89" priority="10">
      <formula>$C$6 = "relativ"</formula>
    </cfRule>
  </conditionalFormatting>
  <conditionalFormatting sqref="J22:T22">
    <cfRule type="expression" dxfId="88" priority="8">
      <formula>$A$12=1</formula>
    </cfRule>
  </conditionalFormatting>
  <conditionalFormatting sqref="J31:T31">
    <cfRule type="expression" dxfId="87" priority="11">
      <formula>$A$12=2</formula>
    </cfRule>
  </conditionalFormatting>
  <conditionalFormatting sqref="T22">
    <cfRule type="expression" dxfId="86" priority="7">
      <formula>$A$12=2</formula>
    </cfRule>
  </conditionalFormatting>
  <conditionalFormatting sqref="V10:V15">
    <cfRule type="dataBar" priority="14">
      <dataBar showValue="0">
        <cfvo type="num" val="0"/>
        <cfvo type="num" val="1"/>
        <color theme="0" tint="-0.499984740745262"/>
      </dataBar>
      <extLst>
        <ext xmlns:x14="http://schemas.microsoft.com/office/spreadsheetml/2009/9/main" uri="{B025F937-C7B1-47D3-B67F-A62EFF666E3E}">
          <x14:id>{F83EC418-F913-49A6-B83D-B8D08C16ABE7}</x14:id>
        </ext>
      </extLst>
    </cfRule>
  </conditionalFormatting>
  <conditionalFormatting sqref="V25:V31">
    <cfRule type="dataBar" priority="13">
      <dataBar showValue="0">
        <cfvo type="num" val="0"/>
        <cfvo type="num" val="1"/>
        <color theme="0" tint="-0.499984740745262"/>
      </dataBar>
      <extLst>
        <ext xmlns:x14="http://schemas.microsoft.com/office/spreadsheetml/2009/9/main" uri="{B025F937-C7B1-47D3-B67F-A62EFF666E3E}">
          <x14:id>{3E117C93-B459-452C-8E6A-4FEA36C9580A}</x14:id>
        </ext>
      </extLst>
    </cfRule>
  </conditionalFormatting>
  <conditionalFormatting sqref="X8:XFD8">
    <cfRule type="expression" dxfId="85" priority="5">
      <formula>$A$12=2</formula>
    </cfRule>
    <cfRule type="expression" dxfId="84" priority="6">
      <formula>$A$12=1</formula>
    </cfRule>
  </conditionalFormatting>
  <dataValidations count="3">
    <dataValidation type="list" allowBlank="1" showInputMessage="1" showErrorMessage="1" sqref="C6:D6" xr:uid="{00000000-0002-0000-0700-000000000000}">
      <formula1>"absolut,relativ"</formula1>
    </dataValidation>
    <dataValidation type="list" allowBlank="1" showInputMessage="1" showErrorMessage="1" sqref="C55:E55" xr:uid="{00000000-0002-0000-0700-000001000000}">
      <formula1>"absolut, Bevölkerung, Dauersiedlungsraum"</formula1>
    </dataValidation>
    <dataValidation type="list" allowBlank="1" showInputMessage="1" showErrorMessage="1" sqref="C3 D5" xr:uid="{00000000-0002-0000-07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F83EC418-F913-49A6-B83D-B8D08C16ABE7}">
            <x14:dataBar minLength="0" maxLength="100" gradient="0">
              <x14:cfvo type="num">
                <xm:f>0</xm:f>
              </x14:cfvo>
              <x14:cfvo type="num">
                <xm:f>1</xm:f>
              </x14:cfvo>
              <x14:negativeFillColor rgb="FFFF0000"/>
              <x14:axisColor rgb="FF000000"/>
            </x14:dataBar>
          </x14:cfRule>
          <xm:sqref>V10:V15</xm:sqref>
        </x14:conditionalFormatting>
        <x14:conditionalFormatting xmlns:xm="http://schemas.microsoft.com/office/excel/2006/main">
          <x14:cfRule type="dataBar" id="{3E117C93-B459-452C-8E6A-4FEA36C9580A}">
            <x14:dataBar minLength="0" maxLength="100" gradient="0">
              <x14:cfvo type="num">
                <xm:f>0</xm:f>
              </x14:cfvo>
              <x14:cfvo type="num">
                <xm:f>1</xm:f>
              </x14:cfvo>
              <x14:negativeFillColor rgb="FFFF0000"/>
              <x14:axisColor rgb="FF000000"/>
            </x14:dataBar>
          </x14:cfRule>
          <xm:sqref>V25:V31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700-000010000000}">
          <x14:colorSeries theme="0" tint="-0.34998626667073579"/>
          <x14:colorNegative rgb="FFD00000"/>
          <x14:colorAxis rgb="FF000000"/>
          <x14:colorMarkers rgb="FFD00000"/>
          <x14:colorFirst rgb="FFD00000"/>
          <x14:colorLast rgb="FFD00000"/>
          <x14:colorHigh rgb="FFD00000"/>
          <x14:colorLow rgb="FFD00000"/>
          <x14:sparklines>
            <x14:sparkline>
              <xm:f>K!J18:T18</xm:f>
              <xm:sqref>J17</xm:sqref>
            </x14:sparkline>
          </x14:sparklines>
        </x14:sparklineGroup>
        <x14:sparklineGroup manualMin="0" type="column" displayEmptyCellsAs="gap" minAxisType="custom" xr2:uid="{00000000-0003-0000-0700-00000F000000}">
          <x14:colorSeries theme="0" tint="-0.34998626667073579"/>
          <x14:colorNegative rgb="FFD00000"/>
          <x14:colorAxis rgb="FF000000"/>
          <x14:colorMarkers rgb="FFD00000"/>
          <x14:colorFirst rgb="FFD00000"/>
          <x14:colorLast rgb="FFD00000"/>
          <x14:colorHigh rgb="FFD00000"/>
          <x14:colorLow rgb="FFD00000"/>
          <x14:sparklines>
            <x14:sparkline>
              <xm:f>K!J20:T20</xm:f>
              <xm:sqref>J19</xm:sqref>
            </x14:sparkline>
          </x14:sparklines>
        </x14:sparklineGroup>
        <x14:sparklineGroup type="column" displayEmptyCellsAs="gap" xr2:uid="{00000000-0003-0000-0700-00000E000000}">
          <x14:colorSeries rgb="FF376092"/>
          <x14:colorNegative rgb="FFD00000"/>
          <x14:colorAxis rgb="FF000000"/>
          <x14:colorMarkers rgb="FFD00000"/>
          <x14:colorFirst rgb="FFD00000"/>
          <x14:colorLast rgb="FFD00000"/>
          <x14:colorHigh rgb="FFD00000"/>
          <x14:colorLow rgb="FFD00000"/>
          <x14:sparklines>
            <x14:sparkline>
              <xm:f>K!J43:T43</xm:f>
              <xm:sqref>J42</xm:sqref>
            </x14:sparkline>
          </x14:sparklines>
        </x14:sparklineGroup>
        <x14:sparklineGroup type="column" displayEmptyCellsAs="gap" xr2:uid="{00000000-0003-0000-0700-00000D000000}">
          <x14:colorSeries rgb="FF376092"/>
          <x14:colorNegative rgb="FFD00000"/>
          <x14:colorAxis rgb="FF000000"/>
          <x14:colorMarkers rgb="FFD00000"/>
          <x14:colorFirst rgb="FFD00000"/>
          <x14:colorLast rgb="FFD00000"/>
          <x14:colorHigh rgb="FFD00000"/>
          <x14:colorLow rgb="FFD00000"/>
          <x14:sparklines>
            <x14:sparkline>
              <xm:f>K!J47:T47</xm:f>
              <xm:sqref>J46</xm:sqref>
            </x14:sparkline>
          </x14:sparklines>
        </x14:sparklineGroup>
        <x14:sparklineGroup type="column" displayEmptyCellsAs="gap" xr2:uid="{00000000-0003-0000-0700-00000C000000}">
          <x14:colorSeries rgb="FF376092"/>
          <x14:colorNegative rgb="FFD00000"/>
          <x14:colorAxis rgb="FF000000"/>
          <x14:colorMarkers rgb="FFD00000"/>
          <x14:colorFirst rgb="FFD00000"/>
          <x14:colorLast rgb="FFD00000"/>
          <x14:colorHigh rgb="FFD00000"/>
          <x14:colorLow rgb="FFD00000"/>
          <x14:sparklines>
            <x14:sparkline>
              <xm:f>K!J51:T51</xm:f>
              <xm:sqref>J50</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6">
    <tabColor rgb="FFFFFF00"/>
    <pageSetUpPr fitToPage="1"/>
  </sheetPr>
  <dimension ref="A1:DX93"/>
  <sheetViews>
    <sheetView zoomScale="90" zoomScaleNormal="90" workbookViewId="0">
      <pane xSplit="4" ySplit="4" topLeftCell="E5" activePane="bottomRight" state="frozen"/>
      <selection activeCell="F93" sqref="F93"/>
      <selection pane="topRight" activeCell="F93" sqref="F93"/>
      <selection pane="bottomLeft" activeCell="F93" sqref="F93"/>
      <selection pane="bottomRight" activeCell="E5" sqref="E5"/>
    </sheetView>
  </sheetViews>
  <sheetFormatPr baseColWidth="10" defaultColWidth="11.42578125" defaultRowHeight="21" x14ac:dyDescent="0.3"/>
  <cols>
    <col min="1" max="1" width="14.7109375" style="138" hidden="1" customWidth="1"/>
    <col min="2" max="2" width="20.5703125" style="227" customWidth="1"/>
    <col min="3" max="3" width="29.28515625" style="228" customWidth="1"/>
    <col min="4" max="4" width="3.28515625" style="229" customWidth="1"/>
    <col min="5" max="5" width="12.28515625" style="131" customWidth="1"/>
    <col min="6" max="6" width="43" style="138" customWidth="1"/>
    <col min="7" max="7" width="5.85546875" style="138" customWidth="1"/>
    <col min="8" max="8" width="30.85546875" style="177" customWidth="1"/>
    <col min="9" max="9" width="9.28515625" style="182" customWidth="1"/>
    <col min="10" max="34" width="15.42578125" style="138" customWidth="1"/>
    <col min="35" max="35" width="27.42578125" style="138" bestFit="1" customWidth="1"/>
    <col min="36" max="36" width="30" style="186" bestFit="1" customWidth="1"/>
    <col min="37" max="37" width="9.5703125" style="138" customWidth="1"/>
    <col min="38" max="38" width="15.5703125" style="138" customWidth="1"/>
    <col min="39" max="39" width="14.140625" style="138" customWidth="1"/>
    <col min="40" max="81" width="11.42578125" style="138" customWidth="1"/>
    <col min="82" max="82" width="12.28515625" style="138" bestFit="1" customWidth="1"/>
    <col min="83" max="83" width="13.140625" style="138" bestFit="1" customWidth="1"/>
    <col min="84" max="84" width="12.85546875" style="138" bestFit="1" customWidth="1"/>
    <col min="85" max="16384" width="11.42578125" style="138"/>
  </cols>
  <sheetData>
    <row r="1" spans="1:84" s="239" customFormat="1" ht="53.25" customHeight="1" x14ac:dyDescent="0.3">
      <c r="A1" s="133" t="s">
        <v>7355</v>
      </c>
      <c r="B1" s="366" t="s">
        <v>7540</v>
      </c>
      <c r="C1" s="366"/>
      <c r="D1" s="366"/>
      <c r="E1" s="381" t="str">
        <f xml:space="preserve"> VLOOKUP(BL,Konstanten!$E$38:$F$46,2,FALSE) &amp;"-Ergebnisse: Indikatoren zu Flächeninanspruchnahme und Versiegelung mit Stand 2022 (Baseline)"</f>
        <v>Niederösterreich-Ergebnisse: Indikatoren zu Flächeninanspruchnahme und Versiegelung mit Stand 2022 (Baseline)</v>
      </c>
      <c r="F1" s="381"/>
      <c r="G1" s="381"/>
      <c r="H1" s="381"/>
      <c r="I1" s="381"/>
      <c r="J1" s="381"/>
      <c r="K1" s="381"/>
      <c r="L1" s="381"/>
      <c r="M1" s="381"/>
      <c r="N1" s="381"/>
      <c r="O1" s="381"/>
      <c r="P1" s="381"/>
      <c r="Q1" s="381"/>
      <c r="R1" s="381"/>
      <c r="S1" s="380"/>
      <c r="T1" s="380"/>
      <c r="U1" s="380"/>
      <c r="V1" s="380"/>
      <c r="W1" s="380"/>
      <c r="X1" s="380"/>
      <c r="Y1" s="380"/>
      <c r="Z1" s="380"/>
      <c r="AA1" s="380"/>
      <c r="AB1" s="380"/>
      <c r="AC1" s="380"/>
      <c r="AD1" s="380"/>
      <c r="AE1" s="380"/>
      <c r="AF1" s="380"/>
      <c r="AG1" s="380"/>
      <c r="AH1" s="256"/>
      <c r="AI1" s="256"/>
      <c r="AJ1" s="257"/>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row>
    <row r="2" spans="1:84" s="239" customFormat="1" ht="15" customHeight="1" x14ac:dyDescent="0.3">
      <c r="A2" s="133"/>
      <c r="B2" s="243"/>
      <c r="C2" s="243"/>
      <c r="D2" s="243"/>
      <c r="E2" s="381"/>
      <c r="F2" s="381"/>
      <c r="G2" s="381"/>
      <c r="H2" s="381"/>
      <c r="I2" s="381"/>
      <c r="J2" s="381"/>
      <c r="K2" s="381"/>
      <c r="L2" s="381"/>
      <c r="M2" s="381"/>
      <c r="N2" s="381"/>
      <c r="O2" s="381"/>
      <c r="P2" s="381"/>
      <c r="Q2" s="381"/>
      <c r="R2" s="381"/>
      <c r="S2" s="380"/>
      <c r="T2" s="380"/>
      <c r="U2" s="380"/>
      <c r="V2" s="380"/>
      <c r="W2" s="380"/>
      <c r="X2" s="380"/>
      <c r="Y2" s="380"/>
      <c r="Z2" s="380"/>
      <c r="AA2" s="380"/>
      <c r="AB2" s="380"/>
      <c r="AC2" s="380"/>
      <c r="AD2" s="380"/>
      <c r="AE2" s="380"/>
      <c r="AF2" s="380"/>
      <c r="AG2" s="380"/>
      <c r="AH2" s="256"/>
      <c r="AI2" s="256"/>
      <c r="AJ2" s="257"/>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row>
    <row r="3" spans="1:84" s="239" customFormat="1" ht="27" x14ac:dyDescent="0.3">
      <c r="A3" s="133"/>
      <c r="B3" s="228" t="s">
        <v>7517</v>
      </c>
      <c r="C3" s="242" t="s">
        <v>153</v>
      </c>
      <c r="D3" s="229"/>
      <c r="E3" s="381"/>
      <c r="F3" s="381"/>
      <c r="G3" s="381"/>
      <c r="H3" s="381"/>
      <c r="I3" s="381"/>
      <c r="J3" s="381"/>
      <c r="K3" s="381"/>
      <c r="L3" s="381"/>
      <c r="M3" s="381"/>
      <c r="N3" s="381"/>
      <c r="O3" s="381"/>
      <c r="P3" s="381"/>
      <c r="Q3" s="381"/>
      <c r="R3" s="381"/>
      <c r="S3" s="380"/>
      <c r="T3" s="380"/>
      <c r="U3" s="380"/>
      <c r="V3" s="380"/>
      <c r="W3" s="380"/>
      <c r="X3" s="380"/>
      <c r="Y3" s="380"/>
      <c r="Z3" s="380"/>
      <c r="AA3" s="380"/>
      <c r="AB3" s="380"/>
      <c r="AC3" s="380"/>
      <c r="AD3" s="380"/>
      <c r="AE3" s="380"/>
      <c r="AF3" s="380"/>
      <c r="AG3" s="380"/>
      <c r="AH3" s="256"/>
      <c r="AI3" s="256"/>
      <c r="AJ3" s="257"/>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row>
    <row r="4" spans="1:84" s="239" customFormat="1" ht="22.5" customHeight="1" x14ac:dyDescent="0.3">
      <c r="A4" s="131"/>
      <c r="B4" s="227"/>
      <c r="C4" s="228"/>
      <c r="D4" s="229"/>
      <c r="E4" s="381"/>
      <c r="F4" s="381"/>
      <c r="G4" s="381"/>
      <c r="H4" s="381"/>
      <c r="I4" s="381"/>
      <c r="J4" s="381"/>
      <c r="K4" s="381"/>
      <c r="L4" s="381"/>
      <c r="M4" s="381"/>
      <c r="N4" s="381"/>
      <c r="O4" s="381"/>
      <c r="P4" s="381"/>
      <c r="Q4" s="381"/>
      <c r="R4" s="381"/>
      <c r="S4" s="380"/>
      <c r="T4" s="380"/>
      <c r="U4" s="380"/>
      <c r="V4" s="380"/>
      <c r="W4" s="380"/>
      <c r="X4" s="380"/>
      <c r="Y4" s="380"/>
      <c r="Z4" s="380"/>
      <c r="AA4" s="380"/>
      <c r="AB4" s="380"/>
      <c r="AC4" s="380"/>
      <c r="AD4" s="380"/>
      <c r="AE4" s="380"/>
      <c r="AF4" s="380"/>
      <c r="AG4" s="380"/>
      <c r="AJ4" s="261"/>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row>
    <row r="5" spans="1:84" ht="52.5" customHeight="1" x14ac:dyDescent="0.3">
      <c r="A5" s="133">
        <f>+IF(Einheit = "ha", 1, 0.01)</f>
        <v>0.01</v>
      </c>
      <c r="C5" s="227"/>
      <c r="D5" s="231"/>
      <c r="E5" s="226" t="s">
        <v>7530</v>
      </c>
      <c r="F5" s="140"/>
      <c r="G5" s="140"/>
      <c r="H5" s="140"/>
      <c r="I5" s="140"/>
      <c r="J5" s="1"/>
      <c r="K5" s="1"/>
      <c r="L5" s="1"/>
      <c r="M5" s="1"/>
      <c r="N5" s="1"/>
      <c r="O5" s="1"/>
      <c r="P5" s="1"/>
      <c r="Q5" s="1"/>
      <c r="R5" s="1"/>
      <c r="S5" s="1"/>
      <c r="T5" s="1"/>
      <c r="U5" s="1"/>
      <c r="V5" s="1"/>
      <c r="W5" s="1"/>
      <c r="X5" s="1"/>
      <c r="Y5" s="1"/>
      <c r="Z5" s="1"/>
      <c r="AA5" s="1"/>
      <c r="AB5" s="1"/>
      <c r="AC5" s="1"/>
      <c r="AD5" s="1"/>
      <c r="AE5" s="1"/>
      <c r="AF5" s="1"/>
      <c r="AG5" s="1"/>
      <c r="AH5" s="140"/>
      <c r="AI5" s="140"/>
      <c r="AJ5" s="140"/>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row>
    <row r="6" spans="1:84" s="144" customFormat="1" ht="42" customHeight="1" x14ac:dyDescent="0.3">
      <c r="A6" s="133"/>
      <c r="B6" s="228" t="s">
        <v>160</v>
      </c>
      <c r="C6" s="242" t="s">
        <v>161</v>
      </c>
      <c r="D6" s="231"/>
      <c r="E6" s="139"/>
      <c r="F6" s="141"/>
      <c r="G6" s="141"/>
      <c r="H6" s="141"/>
      <c r="I6" s="368" t="s">
        <v>7448</v>
      </c>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146"/>
      <c r="AL6" s="138"/>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row>
    <row r="7" spans="1:84" s="144" customFormat="1" ht="34.5" hidden="1" customHeight="1" x14ac:dyDescent="0.3">
      <c r="A7" s="133"/>
      <c r="B7" s="227"/>
      <c r="C7" s="230"/>
      <c r="D7" s="231"/>
      <c r="E7" s="139"/>
      <c r="F7" s="141"/>
      <c r="G7" s="141"/>
      <c r="H7" t="s">
        <v>7599</v>
      </c>
      <c r="I7" s="142"/>
      <c r="J7" s="131">
        <f>Fak_Einheit/IF(denom_1="absolut",1,Fak_Einheit*NÖ!FI_gesamt)</f>
        <v>0.01</v>
      </c>
      <c r="K7" s="131">
        <f>Fak_Einheit/IF(denom_1="absolut",1,Fak_Einheit*NÖ!FI_gesamt)</f>
        <v>0.01</v>
      </c>
      <c r="L7" s="131">
        <f>Fak_Einheit/IF(denom_1="absolut",1,Fak_Einheit*NÖ!FI_gesamt)</f>
        <v>0.01</v>
      </c>
      <c r="M7" s="131">
        <f>Fak_Einheit/IF(denom_1="absolut",1,Fak_Einheit*NÖ!FI_gesamt)</f>
        <v>0.01</v>
      </c>
      <c r="N7" s="131">
        <f>Fak_Einheit/IF(denom_1="absolut",1,Fak_Einheit*NÖ!FI_gesamt)</f>
        <v>0.01</v>
      </c>
      <c r="O7" s="131">
        <f>Fak_Einheit/IF(denom_1="absolut",1,Fak_Einheit*NÖ!FI_gesamt)</f>
        <v>0.01</v>
      </c>
      <c r="P7" s="131">
        <f>Fak_Einheit/IF(denom_1="absolut",1,Fak_Einheit*NÖ!FI_gesamt)</f>
        <v>0.01</v>
      </c>
      <c r="Q7" s="131">
        <f>Fak_Einheit/IF(denom_1="absolut",1,Fak_Einheit*NÖ!FI_gesamt)</f>
        <v>0.01</v>
      </c>
      <c r="R7" s="131">
        <f>Fak_Einheit/IF(denom_1="absolut",1,Fak_Einheit*NÖ!FI_gesamt)</f>
        <v>0.01</v>
      </c>
      <c r="S7" s="131">
        <f>Fak_Einheit/IF(denom_1="absolut",1,Fak_Einheit*NÖ!FI_gesamt)</f>
        <v>0.01</v>
      </c>
      <c r="T7" s="131">
        <f>Fak_Einheit/IF(denom_1="absolut",1,Fak_Einheit*NÖ!FI_gesamt)</f>
        <v>0.01</v>
      </c>
      <c r="U7" s="131">
        <f>Fak_Einheit/IF(denom_1="absolut",1,Fak_Einheit*NÖ!FI_gesamt)</f>
        <v>0.01</v>
      </c>
      <c r="V7" s="131">
        <f>Fak_Einheit/IF(denom_1="absolut",1,Fak_Einheit*NÖ!FI_gesamt)</f>
        <v>0.01</v>
      </c>
      <c r="W7" s="131">
        <f>Fak_Einheit/IF(denom_1="absolut",1,Fak_Einheit*NÖ!FI_gesamt)</f>
        <v>0.01</v>
      </c>
      <c r="X7" s="131">
        <f>Fak_Einheit/IF(denom_1="absolut",1,Fak_Einheit*NÖ!FI_gesamt)</f>
        <v>0.01</v>
      </c>
      <c r="Y7" s="131">
        <f>Fak_Einheit/IF(denom_1="absolut",1,Fak_Einheit*NÖ!FI_gesamt)</f>
        <v>0.01</v>
      </c>
      <c r="Z7" s="131">
        <f>Fak_Einheit/IF(denom_1="absolut",1,Fak_Einheit*NÖ!FI_gesamt)</f>
        <v>0.01</v>
      </c>
      <c r="AA7" s="131">
        <f>Fak_Einheit/IF(denom_1="absolut",1,Fak_Einheit*NÖ!FI_gesamt)</f>
        <v>0.01</v>
      </c>
      <c r="AB7" s="131">
        <f>Fak_Einheit/IF(denom_1="absolut",1,Fak_Einheit*NÖ!FI_gesamt)</f>
        <v>0.01</v>
      </c>
      <c r="AC7" s="131">
        <f>Fak_Einheit/IF(denom_1="absolut",1,Fak_Einheit*NÖ!FI_gesamt)</f>
        <v>0.01</v>
      </c>
      <c r="AD7" s="131">
        <f>Fak_Einheit/IF(denom_1="absolut",1,Fak_Einheit*NÖ!FI_gesamt)</f>
        <v>0.01</v>
      </c>
      <c r="AE7" s="131">
        <f>Fak_Einheit/IF(denom_1="absolut",1,Fak_Einheit*NÖ!FI_gesamt)</f>
        <v>0.01</v>
      </c>
      <c r="AF7" s="131">
        <f>Fak_Einheit/IF(denom_1="absolut",1,Fak_Einheit*NÖ!FI_gesamt)</f>
        <v>0.01</v>
      </c>
      <c r="AG7" s="131">
        <f>Fak_Einheit/IF(denom_1="absolut",1,Fak_Einheit*NÖ!FI_gesamt)</f>
        <v>0.01</v>
      </c>
      <c r="AH7" s="131">
        <f>Fak_Einheit/IF(denom_1="absolut",1,Fak_Einheit*NÖ!FI_gesamt)</f>
        <v>0.01</v>
      </c>
      <c r="AI7" s="143"/>
      <c r="AJ7" s="145"/>
      <c r="AK7" s="146"/>
      <c r="AL7" s="138"/>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row>
    <row r="8" spans="1:84" s="270" customFormat="1" ht="16.5" hidden="1" x14ac:dyDescent="0.25">
      <c r="B8" s="271"/>
      <c r="C8" s="272"/>
      <c r="D8" s="271"/>
      <c r="H8" t="s">
        <v>7523</v>
      </c>
      <c r="J8" s="270">
        <v>10359.238647681799</v>
      </c>
      <c r="K8" s="270">
        <v>9392.3114052323999</v>
      </c>
      <c r="L8" s="270">
        <v>9995.2669699252201</v>
      </c>
      <c r="M8" s="270">
        <v>5132.92264648949</v>
      </c>
      <c r="N8" s="270">
        <v>12188.8902515803</v>
      </c>
      <c r="O8" s="270">
        <v>7600.9966622830398</v>
      </c>
      <c r="P8" s="270">
        <v>5223.1043937015302</v>
      </c>
      <c r="Q8" s="270">
        <v>8208.0393402008194</v>
      </c>
      <c r="R8" s="270">
        <v>1278.3703395748801</v>
      </c>
      <c r="S8" s="270">
        <v>6361.00351316042</v>
      </c>
      <c r="T8" s="270">
        <v>2735.4791316452302</v>
      </c>
      <c r="U8" s="270">
        <v>8299.6788445816201</v>
      </c>
      <c r="V8" s="270">
        <v>10719.057351228101</v>
      </c>
      <c r="W8" s="270">
        <v>6300.1822114288298</v>
      </c>
      <c r="X8" s="270">
        <v>8063.2577050824702</v>
      </c>
      <c r="Y8" s="270">
        <v>11985.9689579278</v>
      </c>
      <c r="Z8" s="270">
        <v>3191.7849756249998</v>
      </c>
      <c r="AA8" s="270">
        <v>4142.1941131735603</v>
      </c>
      <c r="AB8" s="270">
        <v>9771.0346503376695</v>
      </c>
      <c r="AC8" s="270">
        <v>4182.9469677204497</v>
      </c>
      <c r="AD8" s="270">
        <v>794.705866677627</v>
      </c>
      <c r="AE8" s="270">
        <v>7858.6431200614397</v>
      </c>
      <c r="AF8" s="270">
        <v>2528.3375586939501</v>
      </c>
      <c r="AG8" s="270">
        <v>6697.2507513999199</v>
      </c>
      <c r="AH8" s="270">
        <v>163010.6663754136</v>
      </c>
      <c r="AK8" s="382"/>
    </row>
    <row r="9" spans="1:84" s="274" customFormat="1" ht="93" customHeight="1" x14ac:dyDescent="0.4">
      <c r="B9" s="272"/>
      <c r="C9" s="272"/>
      <c r="D9" s="272"/>
      <c r="F9" s="275"/>
      <c r="G9" s="275"/>
      <c r="H9" s="275"/>
      <c r="I9" s="275"/>
      <c r="J9" s="278" t="s">
        <v>54</v>
      </c>
      <c r="K9" s="278" t="s">
        <v>55</v>
      </c>
      <c r="L9" s="278" t="s">
        <v>56</v>
      </c>
      <c r="M9" s="278" t="s">
        <v>58</v>
      </c>
      <c r="N9" s="278" t="s">
        <v>57</v>
      </c>
      <c r="O9" s="278" t="s">
        <v>59</v>
      </c>
      <c r="P9" s="278" t="s">
        <v>60</v>
      </c>
      <c r="Q9" s="278" t="s">
        <v>61</v>
      </c>
      <c r="R9" s="278" t="s">
        <v>49</v>
      </c>
      <c r="S9" s="278" t="s">
        <v>62</v>
      </c>
      <c r="T9" s="278" t="s">
        <v>63</v>
      </c>
      <c r="U9" s="278" t="s">
        <v>64</v>
      </c>
      <c r="V9" s="278" t="s">
        <v>65</v>
      </c>
      <c r="W9" s="278" t="s">
        <v>66</v>
      </c>
      <c r="X9" s="278" t="s">
        <v>67</v>
      </c>
      <c r="Y9" s="278" t="s">
        <v>68</v>
      </c>
      <c r="Z9" s="278" t="s">
        <v>51</v>
      </c>
      <c r="AA9" s="278" t="s">
        <v>69</v>
      </c>
      <c r="AB9" s="278" t="s">
        <v>70</v>
      </c>
      <c r="AC9" s="278" t="s">
        <v>71</v>
      </c>
      <c r="AD9" s="278" t="s">
        <v>52</v>
      </c>
      <c r="AE9" s="278" t="s">
        <v>72</v>
      </c>
      <c r="AF9" s="278" t="s">
        <v>53</v>
      </c>
      <c r="AG9" s="278" t="s">
        <v>73</v>
      </c>
      <c r="AH9" s="279" t="str">
        <f>NÖ!BL</f>
        <v>NÖ</v>
      </c>
      <c r="AK9" s="382"/>
      <c r="AL9" s="276"/>
      <c r="AM9" s="276"/>
      <c r="CD9" s="274" t="s">
        <v>7524</v>
      </c>
      <c r="CE9" s="274" t="s">
        <v>7525</v>
      </c>
      <c r="CF9" s="274" t="s">
        <v>7526</v>
      </c>
    </row>
    <row r="10" spans="1:84" s="156" customFormat="1" ht="19.5" customHeight="1" thickBot="1" x14ac:dyDescent="0.45">
      <c r="B10" s="236"/>
      <c r="C10" s="237"/>
      <c r="D10" s="238"/>
      <c r="F10" s="265"/>
      <c r="G10" s="157"/>
      <c r="I10" s="192" t="s">
        <v>7515</v>
      </c>
      <c r="J10" s="286">
        <f>10359.2386476818*(+NÖ!Fak_1)</f>
        <v>103.59238647681799</v>
      </c>
      <c r="K10" s="286">
        <f>9392.3114052324*(+NÖ!Fak_1)</f>
        <v>93.923114052323996</v>
      </c>
      <c r="L10" s="286">
        <f>9995.26696992522*(+NÖ!Fak_1)</f>
        <v>99.952669699252198</v>
      </c>
      <c r="M10" s="286">
        <f>5132.92264648949*(+NÖ!Fak_1)</f>
        <v>51.329226464894901</v>
      </c>
      <c r="N10" s="286">
        <f>12188.8902515803*(+NÖ!Fak_1)</f>
        <v>121.88890251580301</v>
      </c>
      <c r="O10" s="286">
        <f>7600.99666228304*(+NÖ!Fak_1)</f>
        <v>76.009966622830405</v>
      </c>
      <c r="P10" s="286">
        <f>5223.10439370153*(+NÖ!Fak_1)</f>
        <v>52.231043937015301</v>
      </c>
      <c r="Q10" s="286">
        <f>8208.03934020082*(+NÖ!Fak_1)</f>
        <v>82.080393402008198</v>
      </c>
      <c r="R10" s="286">
        <f>1278.37033957488*(+NÖ!Fak_1)</f>
        <v>12.783703395748802</v>
      </c>
      <c r="S10" s="286">
        <f>6361.00351316042*(+NÖ!Fak_1)</f>
        <v>63.610035131604199</v>
      </c>
      <c r="T10" s="286">
        <f>2735.47913164523*(+NÖ!Fak_1)</f>
        <v>27.354791316452303</v>
      </c>
      <c r="U10" s="286">
        <f>8299.67884458162*(+NÖ!Fak_1)</f>
        <v>82.996788445816208</v>
      </c>
      <c r="V10" s="286">
        <f>10719.0573512281*(+NÖ!Fak_1)</f>
        <v>107.19057351228101</v>
      </c>
      <c r="W10" s="286">
        <f>6300.18221142883*(+NÖ!Fak_1)</f>
        <v>63.001822114288302</v>
      </c>
      <c r="X10" s="286">
        <f>8063.25770508247*(+NÖ!Fak_1)</f>
        <v>80.632577050824707</v>
      </c>
      <c r="Y10" s="286">
        <f>11985.9689579278*(+NÖ!Fak_1)</f>
        <v>119.859689579278</v>
      </c>
      <c r="Z10" s="286">
        <f>3191.784975625*(+NÖ!Fak_1)</f>
        <v>31.91784975625</v>
      </c>
      <c r="AA10" s="286">
        <f>4142.19411317356*(+NÖ!Fak_1)</f>
        <v>41.421941131735601</v>
      </c>
      <c r="AB10" s="286">
        <f>9771.03465033767*(+NÖ!Fak_1)</f>
        <v>97.710346503376698</v>
      </c>
      <c r="AC10" s="286">
        <f>4182.94696772045*(+NÖ!Fak_1)</f>
        <v>41.8294696772045</v>
      </c>
      <c r="AD10" s="286">
        <f>794.705866677627*(+NÖ!Fak_1)</f>
        <v>7.9470586667762699</v>
      </c>
      <c r="AE10" s="286">
        <f>7858.64312006144*(+NÖ!Fak_1)</f>
        <v>78.586431200614399</v>
      </c>
      <c r="AF10" s="286">
        <f>2528.33755869395*(+NÖ!Fak_1)</f>
        <v>25.283375586939503</v>
      </c>
      <c r="AG10" s="286">
        <f>6697.25075139992*(+NÖ!Fak_1)</f>
        <v>66.972507513999204</v>
      </c>
      <c r="AH10" s="287">
        <f>163010.666375414*(Fak_1)</f>
        <v>1630.1066637541401</v>
      </c>
      <c r="AI10" s="172" t="str">
        <f t="shared" ref="AI10:AI15" si="0">IF(denom_1="absolut",Einheit,"% FI gesamt")</f>
        <v>km²</v>
      </c>
      <c r="AJ10" s="160"/>
      <c r="AK10" s="161">
        <f>+CE10/CD10</f>
        <v>0.52416378755989856</v>
      </c>
      <c r="AL10" s="364" t="s">
        <v>7527</v>
      </c>
      <c r="AM10" s="163"/>
      <c r="AN10" s="159"/>
      <c r="CD10" s="164">
        <f>+AH10/$AH$7</f>
        <v>163010.666375414</v>
      </c>
      <c r="CE10" s="164">
        <f>+AH25/$AH$23</f>
        <v>85444.2883</v>
      </c>
      <c r="CF10" s="164">
        <f>+CD10-CE10</f>
        <v>77566.378075414003</v>
      </c>
    </row>
    <row r="11" spans="1:84" s="147" customFormat="1" ht="19.5" customHeight="1" thickTop="1" thickBot="1" x14ac:dyDescent="0.35">
      <c r="B11" s="227"/>
      <c r="C11" s="228"/>
      <c r="D11" s="235"/>
      <c r="E11" s="148"/>
      <c r="F11" s="265"/>
      <c r="I11" s="152" t="s">
        <v>25</v>
      </c>
      <c r="J11" s="288">
        <f>3313.7708583425*(+NÖ!Fak_1)</f>
        <v>33.137708583425002</v>
      </c>
      <c r="K11" s="288">
        <f>2409.58637068391*(+NÖ!Fak_1)</f>
        <v>24.095863706839101</v>
      </c>
      <c r="L11" s="288">
        <f>3746.64770719745*(+NÖ!Fak_1)</f>
        <v>37.466477071974502</v>
      </c>
      <c r="M11" s="288">
        <f>1612.42550966181*(+NÖ!Fak_1)</f>
        <v>16.1242550966181</v>
      </c>
      <c r="N11" s="288">
        <f>4273.15498149914*(+NÖ!Fak_1)</f>
        <v>42.731549814991403</v>
      </c>
      <c r="O11" s="288">
        <f>3227.96694629913*(+NÖ!Fak_1)</f>
        <v>32.279669462991301</v>
      </c>
      <c r="P11" s="288">
        <f>2328.09949718561*(+NÖ!Fak_1)</f>
        <v>23.280994971856099</v>
      </c>
      <c r="Q11" s="288">
        <f>2820.31119624996*(+NÖ!Fak_1)</f>
        <v>28.203111962499602</v>
      </c>
      <c r="R11" s="288">
        <f>340.074412548994*(+NÖ!Fak_1)</f>
        <v>3.4007441254899402</v>
      </c>
      <c r="S11" s="288">
        <f>2254.38856190664*(+NÖ!Fak_1)</f>
        <v>22.543885619066401</v>
      </c>
      <c r="T11" s="288">
        <f>892.157249196437*(+NÖ!Fak_1)</f>
        <v>8.9215724919643691</v>
      </c>
      <c r="U11" s="288">
        <f>3008.27471844547*(+NÖ!Fak_1)</f>
        <v>30.082747184454703</v>
      </c>
      <c r="V11" s="288">
        <f>4652.6414605818*(+NÖ!Fak_1)</f>
        <v>46.526414605817997</v>
      </c>
      <c r="W11" s="288">
        <f>1464.5866417085*(+NÖ!Fak_1)</f>
        <v>14.645866417085001</v>
      </c>
      <c r="X11" s="288">
        <f>2406.31475660023*(+NÖ!Fak_1)</f>
        <v>24.0631475660023</v>
      </c>
      <c r="Y11" s="288">
        <f>3825.91358114684*(+NÖ!Fak_1)</f>
        <v>38.259135811468404</v>
      </c>
      <c r="Z11" s="288">
        <f>964.264829014713*(+NÖ!Fak_1)</f>
        <v>9.6426482901471307</v>
      </c>
      <c r="AA11" s="288">
        <f>1401.31375695051*(+NÖ!Fak_1)</f>
        <v>14.013137569505099</v>
      </c>
      <c r="AB11" s="288">
        <f>3026.65984771605*(+NÖ!Fak_1)</f>
        <v>30.2665984771605</v>
      </c>
      <c r="AC11" s="288">
        <f>1788.64661480435*(+NÖ!Fak_1)</f>
        <v>17.8864661480435</v>
      </c>
      <c r="AD11" s="288">
        <f>266.642138144542*(+NÖ!Fak_1)</f>
        <v>2.6664213814454203</v>
      </c>
      <c r="AE11" s="288">
        <f>1980.7489334336*(+NÖ!Fak_1)</f>
        <v>19.807489334336001</v>
      </c>
      <c r="AF11" s="288">
        <f>874.768409066463*(+NÖ!Fak_1)</f>
        <v>8.7476840906646309</v>
      </c>
      <c r="AG11" s="288">
        <f>2737.44131005691*(+NÖ!Fak_1)</f>
        <v>27.3744131005691</v>
      </c>
      <c r="AH11" s="289">
        <f>55616.8002884415*(Fak_1)</f>
        <v>556.16800288441493</v>
      </c>
      <c r="AI11" s="172" t="str">
        <f t="shared" si="0"/>
        <v>km²</v>
      </c>
      <c r="AJ11" s="160"/>
      <c r="AK11" s="161">
        <f t="shared" ref="AK11:AK15" si="1">+CE11/CD11</f>
        <v>0.73069400953016961</v>
      </c>
      <c r="AL11" s="364"/>
      <c r="AM11" s="163"/>
      <c r="AN11" s="159"/>
      <c r="CD11" s="164">
        <f t="shared" ref="CD11:CD15" si="2">+AH11/$AH$7</f>
        <v>55616.800288441489</v>
      </c>
      <c r="CE11" s="164">
        <f t="shared" ref="CE11:CE15" si="3">+AH26/$AH$23</f>
        <v>40638.862800000003</v>
      </c>
      <c r="CF11" s="164">
        <f t="shared" ref="CF11:CF15" si="4">+CD11-CE11</f>
        <v>14977.937488441486</v>
      </c>
    </row>
    <row r="12" spans="1:84" s="147" customFormat="1" ht="19.5" customHeight="1" thickTop="1" thickBot="1" x14ac:dyDescent="0.35">
      <c r="A12" s="167"/>
      <c r="B12" s="227"/>
      <c r="C12" s="228"/>
      <c r="D12" s="235"/>
      <c r="E12" s="148"/>
      <c r="F12" s="265"/>
      <c r="I12" s="152" t="s">
        <v>7410</v>
      </c>
      <c r="J12" s="288">
        <f>4341.6368092404*(+NÖ!Fak_1)</f>
        <v>43.416368092403999</v>
      </c>
      <c r="K12" s="288">
        <f>5287.23408928004*(+NÖ!Fak_1)</f>
        <v>52.872340892800402</v>
      </c>
      <c r="L12" s="288">
        <f>4517.47340179473*(+NÖ!Fak_1)</f>
        <v>45.174734017947301</v>
      </c>
      <c r="M12" s="288">
        <f>2291.44751158445*(+NÖ!Fak_1)</f>
        <v>22.9144751158445</v>
      </c>
      <c r="N12" s="288">
        <f>5482.94145778988*(+NÖ!Fak_1)</f>
        <v>54.829414577898795</v>
      </c>
      <c r="O12" s="288">
        <f>3378.06039114661*(+NÖ!Fak_1)</f>
        <v>33.780603911466102</v>
      </c>
      <c r="P12" s="288">
        <f>2167.56553919534*(+NÖ!Fak_1)</f>
        <v>21.675655391953402</v>
      </c>
      <c r="Q12" s="288">
        <f>4132.21311528364*(+NÖ!Fak_1)</f>
        <v>41.322131152836398</v>
      </c>
      <c r="R12" s="288">
        <f>741.956978520206*(+NÖ!Fak_1)</f>
        <v>7.4195697852020599</v>
      </c>
      <c r="S12" s="288">
        <f>2848.99854924091*(+NÖ!Fak_1)</f>
        <v>28.489985492409101</v>
      </c>
      <c r="T12" s="288">
        <f>1019.85728285499*(+NÖ!Fak_1)</f>
        <v>10.198572828549899</v>
      </c>
      <c r="U12" s="288">
        <f>3442.05128664425*(+NÖ!Fak_1)</f>
        <v>34.4205128664425</v>
      </c>
      <c r="V12" s="288">
        <f>4642.07881911174*(+NÖ!Fak_1)</f>
        <v>46.420788191117403</v>
      </c>
      <c r="W12" s="288">
        <f>3851.00804779694*(+NÖ!Fak_1)</f>
        <v>38.510080477969403</v>
      </c>
      <c r="X12" s="288">
        <f>3926.59380671918*(+NÖ!Fak_1)</f>
        <v>39.265938067191804</v>
      </c>
      <c r="Y12" s="288">
        <f>6036.29212515886*(+NÖ!Fak_1)</f>
        <v>60.362921251588595</v>
      </c>
      <c r="Z12" s="288">
        <f>1839.72164251648*(+NÖ!Fak_1)</f>
        <v>18.3972164251648</v>
      </c>
      <c r="AA12" s="288">
        <f>1509.1886451462*(+NÖ!Fak_1)</f>
        <v>15.091886451462001</v>
      </c>
      <c r="AB12" s="288">
        <f>5057.43221846917*(+NÖ!Fak_1)</f>
        <v>50.574322184691702</v>
      </c>
      <c r="AC12" s="288">
        <f>1781.77553932983*(+NÖ!Fak_1)</f>
        <v>17.817755393298302</v>
      </c>
      <c r="AD12" s="288">
        <f>292.628128855481*(+NÖ!Fak_1)</f>
        <v>2.9262812885548102</v>
      </c>
      <c r="AE12" s="288">
        <f>4000.11965359806*(+NÖ!Fak_1)</f>
        <v>40.001196535980597</v>
      </c>
      <c r="AF12" s="288">
        <f>1235.81171011448*(+NÖ!Fak_1)</f>
        <v>12.358117101144801</v>
      </c>
      <c r="AG12" s="288">
        <f>2729.09140660889*(+NÖ!Fak_1)</f>
        <v>27.290914066088899</v>
      </c>
      <c r="AH12" s="289">
        <f>76553.1781560007*(Fak_1)</f>
        <v>765.53178156000695</v>
      </c>
      <c r="AI12" s="172" t="str">
        <f t="shared" si="0"/>
        <v>km²</v>
      </c>
      <c r="AJ12" s="160"/>
      <c r="AK12" s="161">
        <f t="shared" si="1"/>
        <v>0.47109662418598219</v>
      </c>
      <c r="AL12" s="364"/>
      <c r="AM12" s="163"/>
      <c r="AN12" s="159"/>
      <c r="CD12" s="164">
        <f t="shared" si="2"/>
        <v>76553.178156000693</v>
      </c>
      <c r="CE12" s="164">
        <f t="shared" si="3"/>
        <v>36063.943800000001</v>
      </c>
      <c r="CF12" s="164">
        <f t="shared" si="4"/>
        <v>40489.234356000692</v>
      </c>
    </row>
    <row r="13" spans="1:84" s="147" customFormat="1" ht="19.5" customHeight="1" thickTop="1" thickBot="1" x14ac:dyDescent="0.35">
      <c r="B13" s="227"/>
      <c r="C13" s="228"/>
      <c r="D13" s="235"/>
      <c r="E13" s="148"/>
      <c r="F13" s="265"/>
      <c r="I13" s="152" t="s">
        <v>7409</v>
      </c>
      <c r="J13" s="288">
        <f>2044.27997853524*(+NÖ!Fak_1)</f>
        <v>20.442799785352399</v>
      </c>
      <c r="K13" s="288">
        <f>637.564143439333*(+NÖ!Fak_1)</f>
        <v>6.3756414343933301</v>
      </c>
      <c r="L13" s="288">
        <f>525.680783421694*(+NÖ!Fak_1)</f>
        <v>5.2568078342169393</v>
      </c>
      <c r="M13" s="288">
        <f>672.501427220322*(+NÖ!Fak_1)</f>
        <v>6.7250142722032198</v>
      </c>
      <c r="N13" s="288">
        <f>694.579836979503*(+NÖ!Fak_1)</f>
        <v>6.945798369795031</v>
      </c>
      <c r="O13" s="288">
        <f>451.075321085723*(+NÖ!Fak_1)</f>
        <v>4.5107532108572297</v>
      </c>
      <c r="P13" s="288">
        <f>413.585867303737*(+NÖ!Fak_1)</f>
        <v>4.1358586730373705</v>
      </c>
      <c r="Q13" s="288">
        <f>423.073643079982*(+NÖ!Fak_1)</f>
        <v>4.2307364307998201</v>
      </c>
      <c r="R13" s="288">
        <f>57.5604089860688*(+NÖ!Fak_1)</f>
        <v>0.57560408986068801</v>
      </c>
      <c r="S13" s="288">
        <f>706.924289326635*(+NÖ!Fak_1)</f>
        <v>7.0692428932663498</v>
      </c>
      <c r="T13" s="288">
        <f>545.209056888347*(+NÖ!Fak_1)</f>
        <v>5.4520905688834702</v>
      </c>
      <c r="U13" s="288">
        <f>1321.66937380894*(+NÖ!Fak_1)</f>
        <v>13.216693738089401</v>
      </c>
      <c r="V13" s="288">
        <f>657.72159126946*(+NÖ!Fak_1)</f>
        <v>6.5772159126945997</v>
      </c>
      <c r="W13" s="288">
        <f>284.777350770886*(+NÖ!Fak_1)</f>
        <v>2.8477735077088604</v>
      </c>
      <c r="X13" s="288">
        <f>1136.3252765806*(+NÖ!Fak_1)</f>
        <v>11.363252765806001</v>
      </c>
      <c r="Y13" s="288">
        <f>1457.88757291899*(+NÖ!Fak_1)</f>
        <v>14.5788757291899</v>
      </c>
      <c r="Z13" s="288">
        <f>114.961589879557*(+NÖ!Fak_1)</f>
        <v>1.14961589879557</v>
      </c>
      <c r="AA13" s="288">
        <f>958.731948929708*(+NÖ!Fak_1)</f>
        <v>9.5873194892970801</v>
      </c>
      <c r="AB13" s="288">
        <f>838.921444069893*(+NÖ!Fak_1)</f>
        <v>8.3892144406989306</v>
      </c>
      <c r="AC13" s="288">
        <f>414.905938855166*(+NÖ!Fak_1)</f>
        <v>4.1490593885516605</v>
      </c>
      <c r="AD13" s="288">
        <f>181.578510230259*(+NÖ!Fak_1)</f>
        <v>1.8157851023025902</v>
      </c>
      <c r="AE13" s="288">
        <f>921.630085689286*(+NÖ!Fak_1)</f>
        <v>9.216300856892861</v>
      </c>
      <c r="AF13" s="288">
        <f>85.6492305227707*(+NÖ!Fak_1)</f>
        <v>0.85649230522770692</v>
      </c>
      <c r="AG13" s="288">
        <f>943.199816867482*(+NÖ!Fak_1)</f>
        <v>9.43199816867482</v>
      </c>
      <c r="AH13" s="289">
        <f>16489.9944866596*(Fak_1)</f>
        <v>164.89994486659603</v>
      </c>
      <c r="AI13" s="172" t="str">
        <f t="shared" si="0"/>
        <v>km²</v>
      </c>
      <c r="AJ13" s="160"/>
      <c r="AK13" s="161">
        <f t="shared" si="1"/>
        <v>0.4175923955323847</v>
      </c>
      <c r="AL13" s="364"/>
      <c r="AM13" s="163"/>
      <c r="AN13" s="159"/>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4">
        <f t="shared" si="2"/>
        <v>16489.994486659602</v>
      </c>
      <c r="CE13" s="164">
        <f t="shared" si="3"/>
        <v>6886.0962999999992</v>
      </c>
      <c r="CF13" s="164">
        <f t="shared" si="4"/>
        <v>9603.8981866596023</v>
      </c>
    </row>
    <row r="14" spans="1:84" s="147" customFormat="1" ht="19.5" customHeight="1" thickTop="1" x14ac:dyDescent="0.3">
      <c r="B14" s="227"/>
      <c r="C14" s="228"/>
      <c r="D14" s="235"/>
      <c r="E14" s="148"/>
      <c r="F14" s="265"/>
      <c r="I14" s="152" t="s">
        <v>7549</v>
      </c>
      <c r="J14" s="288">
        <f>384.597679036741*(+NÖ!Fak_1)</f>
        <v>3.84597679036741</v>
      </c>
      <c r="K14" s="288">
        <f>806.806453514652*(+NÖ!Fak_1)</f>
        <v>8.0680645351465206</v>
      </c>
      <c r="L14" s="288">
        <f>773.388800806881*(+NÖ!Fak_1)</f>
        <v>7.7338880080688108</v>
      </c>
      <c r="M14" s="288">
        <f>388.680068766482*(+NÖ!Fak_1)</f>
        <v>3.8868006876648202</v>
      </c>
      <c r="N14" s="288">
        <f>637.133224748539*(+NÖ!Fak_1)</f>
        <v>6.3713322474853902</v>
      </c>
      <c r="O14" s="288">
        <f>351.171580280205*(+NÖ!Fak_1)</f>
        <v>3.5117158028020499</v>
      </c>
      <c r="P14" s="288">
        <f>213.570290194609*(+NÖ!Fak_1)</f>
        <v>2.13570290194609</v>
      </c>
      <c r="Q14" s="288">
        <f>524.617969221208*(+NÖ!Fak_1)</f>
        <v>5.2461796922120802</v>
      </c>
      <c r="R14" s="288">
        <f>110.606637868692*(+NÖ!Fak_1)</f>
        <v>1.10606637868692</v>
      </c>
      <c r="S14" s="288">
        <f>415.64973930268*(+NÖ!Fak_1)</f>
        <v>4.1564973930268003</v>
      </c>
      <c r="T14" s="288">
        <f>201.728169500297*(+NÖ!Fak_1)</f>
        <v>2.0172816950029704</v>
      </c>
      <c r="U14" s="288">
        <f>336.540717761263*(+NÖ!Fak_1)</f>
        <v>3.3654071776126302</v>
      </c>
      <c r="V14" s="288">
        <f>489.13687893783*(+NÖ!Fak_1)</f>
        <v>4.8913687893782996</v>
      </c>
      <c r="W14" s="288">
        <f>546.132726669184*(+NÖ!Fak_1)</f>
        <v>5.46132726669184</v>
      </c>
      <c r="X14" s="288">
        <f>393.574699331394*(+NÖ!Fak_1)</f>
        <v>3.9357469933139404</v>
      </c>
      <c r="Y14" s="288">
        <f>447.607101425154*(+NÖ!Fak_1)</f>
        <v>4.4760710142515396</v>
      </c>
      <c r="Z14" s="288">
        <f>193.551800831829*(+NÖ!Fak_1)</f>
        <v>1.9355180083182901</v>
      </c>
      <c r="AA14" s="288">
        <f>189.310271987458*(+NÖ!Fak_1)</f>
        <v>1.8931027198745802</v>
      </c>
      <c r="AB14" s="288">
        <f>599.146341172669*(+NÖ!Fak_1)</f>
        <v>5.9914634117266905</v>
      </c>
      <c r="AC14" s="288">
        <f>143.223202363915*(+NÖ!Fak_1)</f>
        <v>1.4322320236391499</v>
      </c>
      <c r="AD14" s="288">
        <f>25.9880564607311*(+NÖ!Fak_1)</f>
        <v>0.25988056460731102</v>
      </c>
      <c r="AE14" s="288">
        <f>433.641079422638*(+NÖ!Fak_1)</f>
        <v>4.3364107942263797</v>
      </c>
      <c r="AF14" s="288">
        <f>150.95049815946*(+NÖ!Fak_1)</f>
        <v>1.5095049815946002</v>
      </c>
      <c r="AG14" s="288">
        <f>191.041199772486*(+NÖ!Fak_1)</f>
        <v>1.9104119977248601</v>
      </c>
      <c r="AH14" s="290">
        <f>8947.795187537*(Fak_1)</f>
        <v>89.477951875369996</v>
      </c>
      <c r="AI14" s="172" t="str">
        <f t="shared" si="0"/>
        <v>km²</v>
      </c>
      <c r="AJ14" s="160"/>
      <c r="AK14" s="161">
        <f t="shared" si="1"/>
        <v>0.14187641462426473</v>
      </c>
      <c r="AL14" s="364"/>
      <c r="AM14" s="163"/>
      <c r="AN14" s="159"/>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4">
        <f t="shared" si="2"/>
        <v>8947.7951875369999</v>
      </c>
      <c r="CE14" s="164">
        <f t="shared" si="3"/>
        <v>1269.4811</v>
      </c>
      <c r="CF14" s="164">
        <f t="shared" si="4"/>
        <v>7678.314087537</v>
      </c>
    </row>
    <row r="15" spans="1:84" s="147" customFormat="1" ht="19.5" customHeight="1" x14ac:dyDescent="0.3">
      <c r="B15" s="227"/>
      <c r="C15" s="228"/>
      <c r="D15" s="235"/>
      <c r="E15" s="148"/>
      <c r="F15" s="265"/>
      <c r="I15" s="152" t="s">
        <v>7519</v>
      </c>
      <c r="J15" s="288">
        <f>274.953322526928*(+NÖ!Fak_1)</f>
        <v>2.7495332252692801</v>
      </c>
      <c r="K15" s="288">
        <f>251.120348314466*(+NÖ!Fak_1)</f>
        <v>2.5112034831446604</v>
      </c>
      <c r="L15" s="288">
        <f>432.076276704457*(+NÖ!Fak_1)</f>
        <v>4.3207627670445694</v>
      </c>
      <c r="M15" s="288">
        <f>167.868129256426*(+NÖ!Fak_1)</f>
        <v>1.67868129256426</v>
      </c>
      <c r="N15" s="288">
        <f>1101.08075056327*(+NÖ!Fak_1)</f>
        <v>11.0108075056327</v>
      </c>
      <c r="O15" s="288">
        <f>192.722423471371*(+NÖ!Fak_1)</f>
        <v>1.9272242347137101</v>
      </c>
      <c r="P15" s="288">
        <f>100.283199822241*(+NÖ!Fak_1)</f>
        <v>1.0028319982224101</v>
      </c>
      <c r="Q15" s="288">
        <f>307.823416366042*(+NÖ!Fak_1)</f>
        <v>3.07823416366042</v>
      </c>
      <c r="R15" s="288">
        <f>28.1719016509207*(+NÖ!Fak_1)</f>
        <v>0.281719016509207</v>
      </c>
      <c r="S15" s="288">
        <f>135.042373383553*(+NÖ!Fak_1)</f>
        <v>1.35042373383553</v>
      </c>
      <c r="T15" s="288">
        <f>76.5273732051582*(+NÖ!Fak_1)</f>
        <v>0.765273732051582</v>
      </c>
      <c r="U15" s="288">
        <f>191.1427479217*(+NÖ!Fak_1)</f>
        <v>1.9114274792170001</v>
      </c>
      <c r="V15" s="288">
        <f>277.478601327297*(+NÖ!Fak_1)</f>
        <v>2.77478601327297</v>
      </c>
      <c r="W15" s="288">
        <f>153.677444483325*(+NÖ!Fak_1)</f>
        <v>1.5367744448332499</v>
      </c>
      <c r="X15" s="288">
        <f>200.449165851059*(+NÖ!Fak_1)</f>
        <v>2.0044916585105903</v>
      </c>
      <c r="Y15" s="288">
        <f>218.268577277959*(+NÖ!Fak_1)</f>
        <v>2.1826857727795899</v>
      </c>
      <c r="Z15" s="288">
        <f>79.2851133824237*(+NÖ!Fak_1)</f>
        <v>0.792851133824237</v>
      </c>
      <c r="AA15" s="288">
        <f>83.6494901596868*(+NÖ!Fak_1)</f>
        <v>0.83649490159686812</v>
      </c>
      <c r="AB15" s="288">
        <f>248.874798909884*(+NÖ!Fak_1)</f>
        <v>2.4887479890988398</v>
      </c>
      <c r="AC15" s="288">
        <f>54.3956723671817*(+NÖ!Fak_1)</f>
        <v>0.54395672367181702</v>
      </c>
      <c r="AD15" s="288">
        <f>27.8690329866135*(+NÖ!Fak_1)</f>
        <v>0.27869032986613501</v>
      </c>
      <c r="AE15" s="288">
        <f>522.503367917866*(+NÖ!Fak_1)</f>
        <v>5.2250336791786598</v>
      </c>
      <c r="AF15" s="288">
        <f>181.157710830775*(+NÖ!Fak_1)</f>
        <v>1.8115771083077499</v>
      </c>
      <c r="AG15" s="288">
        <f>96.4770180941533*(+NÖ!Fak_1)</f>
        <v>0.964770180941533</v>
      </c>
      <c r="AH15" s="290">
        <f>5402.89825677476*(Fak_1)</f>
        <v>54.028982567747597</v>
      </c>
      <c r="AI15" s="172" t="str">
        <f t="shared" si="0"/>
        <v>km²</v>
      </c>
      <c r="AJ15" s="160"/>
      <c r="AK15" s="161">
        <f t="shared" si="1"/>
        <v>0.10844259361451559</v>
      </c>
      <c r="AL15" s="364"/>
      <c r="AM15" s="163"/>
      <c r="AN15" s="159"/>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4">
        <f t="shared" si="2"/>
        <v>5402.8982567747598</v>
      </c>
      <c r="CE15" s="164">
        <f t="shared" si="3"/>
        <v>585.90430000000003</v>
      </c>
      <c r="CF15" s="164">
        <f t="shared" si="4"/>
        <v>4816.9939567747597</v>
      </c>
    </row>
    <row r="16" spans="1:84" s="147" customFormat="1" ht="21" customHeight="1" x14ac:dyDescent="0.3">
      <c r="B16" s="227"/>
      <c r="C16" s="228"/>
      <c r="D16" s="235"/>
      <c r="E16" s="148"/>
      <c r="F16" s="265"/>
      <c r="I16" s="152"/>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70"/>
      <c r="AI16" s="172"/>
      <c r="AJ16" s="168"/>
    </row>
    <row r="17" spans="2:38" s="147" customFormat="1" ht="42.75" customHeight="1" x14ac:dyDescent="0.3">
      <c r="B17" s="227"/>
      <c r="C17" s="228"/>
      <c r="D17" s="235"/>
      <c r="E17" s="148"/>
      <c r="F17" s="265"/>
      <c r="I17" s="152" t="s">
        <v>7520</v>
      </c>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172"/>
      <c r="AJ17" s="168"/>
    </row>
    <row r="18" spans="2:38" s="147" customFormat="1" ht="42.75" customHeight="1" x14ac:dyDescent="0.3">
      <c r="B18" s="227"/>
      <c r="C18" s="228"/>
      <c r="D18" s="235"/>
      <c r="E18" s="148"/>
      <c r="F18" s="265"/>
      <c r="J18" s="173">
        <f t="shared" ref="J18:AH18" si="5">FI_gesamt/EW*10000</f>
        <v>885.52611021009693</v>
      </c>
      <c r="K18" s="173">
        <f t="shared" si="5"/>
        <v>635.25947955579306</v>
      </c>
      <c r="L18" s="173">
        <f t="shared" si="5"/>
        <v>937.3257595863704</v>
      </c>
      <c r="M18" s="173">
        <f t="shared" si="5"/>
        <v>1422.4532760120519</v>
      </c>
      <c r="N18" s="173">
        <f t="shared" si="5"/>
        <v>1140.7905070456825</v>
      </c>
      <c r="O18" s="173">
        <f t="shared" si="5"/>
        <v>1471.7493440504668</v>
      </c>
      <c r="P18" s="173">
        <f t="shared" si="5"/>
        <v>1696.3638823324229</v>
      </c>
      <c r="Q18" s="173">
        <f t="shared" si="5"/>
        <v>892.35277991355042</v>
      </c>
      <c r="R18" s="173">
        <f t="shared" si="5"/>
        <v>512.96911824360177</v>
      </c>
      <c r="S18" s="173">
        <f t="shared" si="5"/>
        <v>1123.6139887586414</v>
      </c>
      <c r="T18" s="173">
        <f t="shared" si="5"/>
        <v>1076.8754947032635</v>
      </c>
      <c r="U18" s="173">
        <f t="shared" si="5"/>
        <v>1057.2165906097216</v>
      </c>
      <c r="V18" s="173">
        <f t="shared" si="5"/>
        <v>1409.0488545512994</v>
      </c>
      <c r="W18" s="173">
        <f t="shared" si="5"/>
        <v>526.65219485808632</v>
      </c>
      <c r="X18" s="173">
        <f t="shared" si="5"/>
        <v>932.17929745805964</v>
      </c>
      <c r="Y18" s="173">
        <f t="shared" si="5"/>
        <v>903.88514444612201</v>
      </c>
      <c r="Z18" s="173">
        <f t="shared" si="5"/>
        <v>566.32096799591909</v>
      </c>
      <c r="AA18" s="173">
        <f t="shared" si="5"/>
        <v>996.12680979572428</v>
      </c>
      <c r="AB18" s="173">
        <f t="shared" si="5"/>
        <v>914.65965068172557</v>
      </c>
      <c r="AC18" s="173">
        <f t="shared" si="5"/>
        <v>1639.6640538279369</v>
      </c>
      <c r="AD18" s="173">
        <f t="shared" si="5"/>
        <v>716.46760428924176</v>
      </c>
      <c r="AE18" s="173">
        <f t="shared" si="5"/>
        <v>988.22266766362441</v>
      </c>
      <c r="AF18" s="173">
        <f t="shared" si="5"/>
        <v>536.73365573259241</v>
      </c>
      <c r="AG18" s="173">
        <f t="shared" si="5"/>
        <v>1604.8622729864899</v>
      </c>
      <c r="AH18" s="173">
        <f t="shared" si="5"/>
        <v>959.56587121357472</v>
      </c>
      <c r="AI18" s="171" t="s">
        <v>7413</v>
      </c>
    </row>
    <row r="19" spans="2:38" s="147" customFormat="1" ht="42.75" customHeight="1" x14ac:dyDescent="0.3">
      <c r="B19" s="227"/>
      <c r="C19" s="228"/>
      <c r="D19" s="235"/>
      <c r="E19" s="148"/>
      <c r="F19" s="265"/>
      <c r="I19" s="152" t="s">
        <v>7550</v>
      </c>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171"/>
      <c r="AJ19" s="168"/>
    </row>
    <row r="20" spans="2:38" s="147" customFormat="1" ht="66.75" customHeight="1" x14ac:dyDescent="0.3">
      <c r="B20" s="227"/>
      <c r="C20" s="228"/>
      <c r="D20" s="235"/>
      <c r="E20" s="148"/>
      <c r="F20" s="265"/>
      <c r="I20" s="245"/>
      <c r="J20" s="174">
        <f t="shared" ref="J20:AH20" si="6">100*Fak_Einheit*FI_gesamt/DSR</f>
        <v>13.106162365167343</v>
      </c>
      <c r="K20" s="174">
        <f t="shared" si="6"/>
        <v>23.829796461128559</v>
      </c>
      <c r="L20" s="174">
        <f t="shared" si="6"/>
        <v>17.782016252839707</v>
      </c>
      <c r="M20" s="174">
        <f t="shared" si="6"/>
        <v>13.257052860687855</v>
      </c>
      <c r="N20" s="174">
        <f t="shared" si="6"/>
        <v>11.039730641520007</v>
      </c>
      <c r="O20" s="174">
        <f t="shared" si="6"/>
        <v>9.4065470700291236</v>
      </c>
      <c r="P20" s="174">
        <f t="shared" si="6"/>
        <v>9.2337812370481149</v>
      </c>
      <c r="Q20" s="174">
        <f t="shared" si="6"/>
        <v>15.216231803048558</v>
      </c>
      <c r="R20" s="174">
        <f t="shared" si="6"/>
        <v>40.486441328959238</v>
      </c>
      <c r="S20" s="174">
        <f t="shared" si="6"/>
        <v>13.298786145232821</v>
      </c>
      <c r="T20" s="174">
        <f t="shared" si="6"/>
        <v>15.235597712946964</v>
      </c>
      <c r="U20" s="174">
        <f t="shared" si="6"/>
        <v>13.782665299029784</v>
      </c>
      <c r="V20" s="174">
        <f t="shared" si="6"/>
        <v>9.6614661210715838</v>
      </c>
      <c r="W20" s="174">
        <f t="shared" si="6"/>
        <v>36.214007617032593</v>
      </c>
      <c r="X20" s="174">
        <f t="shared" si="6"/>
        <v>21.466015024839045</v>
      </c>
      <c r="Y20" s="174">
        <f t="shared" si="6"/>
        <v>15.595637493312719</v>
      </c>
      <c r="Z20" s="174">
        <f t="shared" si="6"/>
        <v>34.181245087768623</v>
      </c>
      <c r="AA20" s="174">
        <f t="shared" si="6"/>
        <v>11.342923522085391</v>
      </c>
      <c r="AB20" s="174">
        <f t="shared" si="6"/>
        <v>18.801689838742078</v>
      </c>
      <c r="AC20" s="174">
        <f t="shared" si="6"/>
        <v>8.8132919443687303</v>
      </c>
      <c r="AD20" s="174">
        <f t="shared" si="6"/>
        <v>10.947702512041337</v>
      </c>
      <c r="AE20" s="174">
        <f t="shared" si="6"/>
        <v>19.441611259491825</v>
      </c>
      <c r="AF20" s="174">
        <f t="shared" si="6"/>
        <v>56.714885447487809</v>
      </c>
      <c r="AG20" s="174">
        <f t="shared" si="6"/>
        <v>8.6856212066696123</v>
      </c>
      <c r="AH20" s="174">
        <f t="shared" si="6"/>
        <v>0.14033752415484038</v>
      </c>
      <c r="AI20" s="373" t="s">
        <v>7418</v>
      </c>
      <c r="AJ20" s="373"/>
      <c r="AK20" s="373"/>
      <c r="AL20" s="266"/>
    </row>
    <row r="21" spans="2:38" ht="51" customHeight="1" x14ac:dyDescent="0.3">
      <c r="G21" s="176"/>
      <c r="H21" s="176"/>
      <c r="I21" s="369" t="s">
        <v>7474</v>
      </c>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175"/>
    </row>
    <row r="22" spans="2:38" ht="49.5" hidden="1" customHeight="1" x14ac:dyDescent="0.3">
      <c r="H22" s="177" t="s">
        <v>7522</v>
      </c>
      <c r="I22" s="138"/>
      <c r="J22" s="138">
        <v>6037.4032999999999</v>
      </c>
      <c r="K22" s="138">
        <v>4530.0259999999998</v>
      </c>
      <c r="L22" s="138">
        <v>4964.0072</v>
      </c>
      <c r="M22" s="138">
        <v>2614.6133</v>
      </c>
      <c r="N22" s="138">
        <v>6090.5460999999996</v>
      </c>
      <c r="O22" s="138">
        <v>4192.6998000000003</v>
      </c>
      <c r="P22" s="138">
        <v>2801.5545000000002</v>
      </c>
      <c r="Q22" s="138">
        <v>4486.2329</v>
      </c>
      <c r="R22" s="138">
        <v>759.7885</v>
      </c>
      <c r="S22" s="138">
        <v>3518.1817000000001</v>
      </c>
      <c r="T22" s="138">
        <v>1420.8994</v>
      </c>
      <c r="U22" s="138">
        <v>4695.5272999999997</v>
      </c>
      <c r="V22" s="138">
        <v>5898.866</v>
      </c>
      <c r="W22" s="138">
        <v>3215.2474000000002</v>
      </c>
      <c r="X22" s="138">
        <v>3776.9430000000002</v>
      </c>
      <c r="Y22" s="138">
        <v>5963.0666000000001</v>
      </c>
      <c r="Z22" s="138">
        <v>1734.2648999999999</v>
      </c>
      <c r="AA22" s="138">
        <v>2357.6930000000002</v>
      </c>
      <c r="AB22" s="138">
        <v>4852.0369000000001</v>
      </c>
      <c r="AC22" s="138">
        <v>2423.1731</v>
      </c>
      <c r="AD22" s="138">
        <v>457.50479999999999</v>
      </c>
      <c r="AE22" s="138">
        <v>3569.98</v>
      </c>
      <c r="AF22" s="138">
        <v>1210.8776</v>
      </c>
      <c r="AG22" s="138">
        <v>3873.1550000000002</v>
      </c>
      <c r="AH22" s="138">
        <v>85444.288300000015</v>
      </c>
      <c r="AJ22" s="138"/>
    </row>
    <row r="23" spans="2:38" ht="18" hidden="1" x14ac:dyDescent="0.35">
      <c r="B23" s="232"/>
      <c r="C23" s="233"/>
      <c r="D23" s="239"/>
      <c r="E23" s="138"/>
      <c r="H23" s="177" t="s">
        <v>7521</v>
      </c>
      <c r="I23" s="138"/>
      <c r="J23" s="138">
        <f>Fak_Einheit/IF(denom_1="absolut",1,Fak_Einheit*NÖ!VS_gesamt)</f>
        <v>0.01</v>
      </c>
      <c r="K23" s="138">
        <f>Fak_Einheit/IF(denom_1="absolut",1,Fak_Einheit*NÖ!VS_gesamt)</f>
        <v>0.01</v>
      </c>
      <c r="L23" s="138">
        <f>Fak_Einheit/IF(denom_1="absolut",1,Fak_Einheit*NÖ!VS_gesamt)</f>
        <v>0.01</v>
      </c>
      <c r="M23" s="138">
        <f>Fak_Einheit/IF(denom_1="absolut",1,Fak_Einheit*NÖ!VS_gesamt)</f>
        <v>0.01</v>
      </c>
      <c r="N23" s="138">
        <f>Fak_Einheit/IF(denom_1="absolut",1,Fak_Einheit*NÖ!VS_gesamt)</f>
        <v>0.01</v>
      </c>
      <c r="O23" s="138">
        <f>Fak_Einheit/IF(denom_1="absolut",1,Fak_Einheit*NÖ!VS_gesamt)</f>
        <v>0.01</v>
      </c>
      <c r="P23" s="138">
        <f>Fak_Einheit/IF(denom_1="absolut",1,Fak_Einheit*NÖ!VS_gesamt)</f>
        <v>0.01</v>
      </c>
      <c r="Q23" s="138">
        <f>Fak_Einheit/IF(denom_1="absolut",1,Fak_Einheit*NÖ!VS_gesamt)</f>
        <v>0.01</v>
      </c>
      <c r="R23" s="138">
        <f>Fak_Einheit/IF(denom_1="absolut",1,Fak_Einheit*NÖ!VS_gesamt)</f>
        <v>0.01</v>
      </c>
      <c r="S23" s="138">
        <f>Fak_Einheit/IF(denom_1="absolut",1,Fak_Einheit*NÖ!VS_gesamt)</f>
        <v>0.01</v>
      </c>
      <c r="T23" s="138">
        <f>Fak_Einheit/IF(denom_1="absolut",1,Fak_Einheit*NÖ!VS_gesamt)</f>
        <v>0.01</v>
      </c>
      <c r="U23" s="138">
        <f>Fak_Einheit/IF(denom_1="absolut",1,Fak_Einheit*NÖ!VS_gesamt)</f>
        <v>0.01</v>
      </c>
      <c r="V23" s="138">
        <f>Fak_Einheit/IF(denom_1="absolut",1,Fak_Einheit*NÖ!VS_gesamt)</f>
        <v>0.01</v>
      </c>
      <c r="W23" s="138">
        <f>Fak_Einheit/IF(denom_1="absolut",1,Fak_Einheit*NÖ!VS_gesamt)</f>
        <v>0.01</v>
      </c>
      <c r="X23" s="138">
        <f>Fak_Einheit/IF(denom_1="absolut",1,Fak_Einheit*NÖ!VS_gesamt)</f>
        <v>0.01</v>
      </c>
      <c r="Y23" s="138">
        <f>Fak_Einheit/IF(denom_1="absolut",1,Fak_Einheit*NÖ!VS_gesamt)</f>
        <v>0.01</v>
      </c>
      <c r="Z23" s="138">
        <f>Fak_Einheit/IF(denom_1="absolut",1,Fak_Einheit*NÖ!VS_gesamt)</f>
        <v>0.01</v>
      </c>
      <c r="AA23" s="138">
        <f>Fak_Einheit/IF(denom_1="absolut",1,Fak_Einheit*NÖ!VS_gesamt)</f>
        <v>0.01</v>
      </c>
      <c r="AB23" s="138">
        <f>Fak_Einheit/IF(denom_1="absolut",1,Fak_Einheit*NÖ!VS_gesamt)</f>
        <v>0.01</v>
      </c>
      <c r="AC23" s="138">
        <f>Fak_Einheit/IF(denom_1="absolut",1,Fak_Einheit*NÖ!VS_gesamt)</f>
        <v>0.01</v>
      </c>
      <c r="AD23" s="138">
        <f>Fak_Einheit/IF(denom_1="absolut",1,Fak_Einheit*NÖ!VS_gesamt)</f>
        <v>0.01</v>
      </c>
      <c r="AE23" s="138">
        <f>Fak_Einheit/IF(denom_1="absolut",1,Fak_Einheit*NÖ!VS_gesamt)</f>
        <v>0.01</v>
      </c>
      <c r="AF23" s="138">
        <f>Fak_Einheit/IF(denom_1="absolut",1,Fak_Einheit*NÖ!VS_gesamt)</f>
        <v>0.01</v>
      </c>
      <c r="AG23" s="138">
        <f>Fak_Einheit/IF(denom_1="absolut",1,Fak_Einheit*NÖ!VS_gesamt)</f>
        <v>0.01</v>
      </c>
      <c r="AH23" s="138">
        <f>Fak_Einheit/IF(denom_1="absolut",1,Fak_Einheit*NÖ!VS_gesamt)</f>
        <v>0.01</v>
      </c>
      <c r="AJ23" s="138"/>
    </row>
    <row r="24" spans="2:38" ht="86.25" customHeight="1" x14ac:dyDescent="0.4">
      <c r="G24" s="144"/>
      <c r="H24" s="210"/>
      <c r="I24" s="210"/>
      <c r="J24" s="278" t="str">
        <f t="shared" ref="J24:AG24" si="7">+J9</f>
        <v>Amstetten</v>
      </c>
      <c r="K24" s="278" t="str">
        <f t="shared" si="7"/>
        <v>Baden</v>
      </c>
      <c r="L24" s="278" t="str">
        <f t="shared" si="7"/>
        <v>Bruck an der Leitha</v>
      </c>
      <c r="M24" s="278" t="str">
        <f t="shared" si="7"/>
        <v>Gmünd</v>
      </c>
      <c r="N24" s="278" t="str">
        <f t="shared" si="7"/>
        <v>Gänserndorf</v>
      </c>
      <c r="O24" s="278" t="str">
        <f t="shared" si="7"/>
        <v>Hollabrunn</v>
      </c>
      <c r="P24" s="278" t="str">
        <f t="shared" si="7"/>
        <v>Horn</v>
      </c>
      <c r="Q24" s="278" t="str">
        <f t="shared" si="7"/>
        <v>Korneuburg</v>
      </c>
      <c r="R24" s="278" t="str">
        <f t="shared" si="7"/>
        <v>Krems an der Donau(Stadt)</v>
      </c>
      <c r="S24" s="278" t="str">
        <f t="shared" si="7"/>
        <v>Krems(Land)</v>
      </c>
      <c r="T24" s="278" t="str">
        <f t="shared" si="7"/>
        <v>Lilienfeld</v>
      </c>
      <c r="U24" s="278" t="str">
        <f t="shared" si="7"/>
        <v>Melk</v>
      </c>
      <c r="V24" s="278" t="str">
        <f t="shared" si="7"/>
        <v>Mistelbach</v>
      </c>
      <c r="W24" s="278" t="str">
        <f t="shared" si="7"/>
        <v>Mödling</v>
      </c>
      <c r="X24" s="278" t="str">
        <f t="shared" si="7"/>
        <v>Neunkirchen</v>
      </c>
      <c r="Y24" s="278" t="str">
        <f t="shared" si="7"/>
        <v>Sankt Pölten(Land)</v>
      </c>
      <c r="Z24" s="278" t="str">
        <f t="shared" si="7"/>
        <v>Sankt Pölten(Stadt)</v>
      </c>
      <c r="AA24" s="278" t="str">
        <f t="shared" si="7"/>
        <v>Scheibbs</v>
      </c>
      <c r="AB24" s="278" t="str">
        <f t="shared" si="7"/>
        <v>Tulln</v>
      </c>
      <c r="AC24" s="278" t="str">
        <f t="shared" si="7"/>
        <v>Waidhofen an der Thaya</v>
      </c>
      <c r="AD24" s="278" t="str">
        <f t="shared" si="7"/>
        <v>Waidhofen an der Ybbs(Stadt)</v>
      </c>
      <c r="AE24" s="278" t="str">
        <f t="shared" si="7"/>
        <v>Wiener Neustadt(Land)</v>
      </c>
      <c r="AF24" s="278" t="str">
        <f t="shared" si="7"/>
        <v>Wiener Neustadt(Stadt)</v>
      </c>
      <c r="AG24" s="278" t="str">
        <f t="shared" si="7"/>
        <v>Zwettl</v>
      </c>
      <c r="AH24" s="279" t="str">
        <f>NÖ!BL</f>
        <v>NÖ</v>
      </c>
      <c r="AI24" s="210"/>
      <c r="AJ24" s="147"/>
      <c r="AK24" s="147"/>
      <c r="AL24" s="147"/>
    </row>
    <row r="25" spans="2:38" ht="19.5" customHeight="1" thickBot="1" x14ac:dyDescent="0.35">
      <c r="G25" s="146"/>
      <c r="I25" s="158" t="s">
        <v>7516</v>
      </c>
      <c r="J25" s="280">
        <f>6037.4033*(+NÖ!Fak_2)</f>
        <v>60.374032999999997</v>
      </c>
      <c r="K25" s="280">
        <f>4530.026*(+NÖ!Fak_2)</f>
        <v>45.300260000000002</v>
      </c>
      <c r="L25" s="280">
        <f>4964.0072*(+NÖ!Fak_2)</f>
        <v>49.640072000000004</v>
      </c>
      <c r="M25" s="280">
        <f>2614.6133*(+NÖ!Fak_2)</f>
        <v>26.146132999999999</v>
      </c>
      <c r="N25" s="280">
        <f>6090.5461*(+NÖ!Fak_2)</f>
        <v>60.905460999999995</v>
      </c>
      <c r="O25" s="280">
        <f>4192.6998*(+NÖ!Fak_2)</f>
        <v>41.926998000000005</v>
      </c>
      <c r="P25" s="280">
        <f>2801.5545*(+NÖ!Fak_2)</f>
        <v>28.015545000000003</v>
      </c>
      <c r="Q25" s="280">
        <f>4486.2329*(+NÖ!Fak_2)</f>
        <v>44.862329000000003</v>
      </c>
      <c r="R25" s="280">
        <f>759.7885*(+NÖ!Fak_2)</f>
        <v>7.5978849999999998</v>
      </c>
      <c r="S25" s="280">
        <f>3518.1817*(+NÖ!Fak_2)</f>
        <v>35.181817000000002</v>
      </c>
      <c r="T25" s="280">
        <f>1420.8994*(+NÖ!Fak_2)</f>
        <v>14.208994000000001</v>
      </c>
      <c r="U25" s="280">
        <f>4695.5273*(+NÖ!Fak_2)</f>
        <v>46.955272999999998</v>
      </c>
      <c r="V25" s="280">
        <f>5898.866*(+NÖ!Fak_2)</f>
        <v>58.988660000000003</v>
      </c>
      <c r="W25" s="280">
        <f>3215.2474*(+NÖ!Fak_2)</f>
        <v>32.152474000000005</v>
      </c>
      <c r="X25" s="280">
        <f>3776.943*(+NÖ!Fak_2)</f>
        <v>37.76943</v>
      </c>
      <c r="Y25" s="280">
        <f>5963.0666*(+NÖ!Fak_2)</f>
        <v>59.630666000000005</v>
      </c>
      <c r="Z25" s="280">
        <f>1734.2649*(+NÖ!Fak_2)</f>
        <v>17.342648999999998</v>
      </c>
      <c r="AA25" s="280">
        <f>2357.693*(+NÖ!Fak_2)</f>
        <v>23.576930000000001</v>
      </c>
      <c r="AB25" s="280">
        <f>4852.0369*(+NÖ!Fak_2)</f>
        <v>48.520369000000002</v>
      </c>
      <c r="AC25" s="280">
        <f>2423.1731*(+NÖ!Fak_2)</f>
        <v>24.231731</v>
      </c>
      <c r="AD25" s="280">
        <f>457.5048*(+NÖ!Fak_2)</f>
        <v>4.5750479999999998</v>
      </c>
      <c r="AE25" s="280">
        <f>3569.98*(+NÖ!Fak_2)</f>
        <v>35.699800000000003</v>
      </c>
      <c r="AF25" s="280">
        <f>1210.8776*(+NÖ!Fak_2)</f>
        <v>12.108776000000001</v>
      </c>
      <c r="AG25" s="280">
        <f>3873.155*(+NÖ!Fak_2)</f>
        <v>38.731550000000006</v>
      </c>
      <c r="AH25" s="281">
        <f>85444.2883*(NÖ!Fak_2)</f>
        <v>854.44288300000005</v>
      </c>
      <c r="AI25" s="159" t="str">
        <f t="shared" ref="AI25:AI30" si="8">IF(denom_1="absolut",Einheit,"% VS gesamt")</f>
        <v>km²</v>
      </c>
      <c r="AJ25" s="160"/>
      <c r="AK25" s="161">
        <f>CE10/CD10</f>
        <v>0.52416378755989856</v>
      </c>
      <c r="AL25" s="364" t="s">
        <v>7528</v>
      </c>
    </row>
    <row r="26" spans="2:38" ht="19.5" customHeight="1" thickTop="1" thickBot="1" x14ac:dyDescent="0.35">
      <c r="F26" s="138" t="s">
        <v>7411</v>
      </c>
      <c r="G26" s="144"/>
      <c r="I26" s="148" t="s">
        <v>25</v>
      </c>
      <c r="J26" s="282">
        <f>2650.0821*(+NÖ!Fak_2)</f>
        <v>26.500821000000002</v>
      </c>
      <c r="K26" s="282">
        <f>1778.6016*(+NÖ!Fak_2)</f>
        <v>17.786016</v>
      </c>
      <c r="L26" s="282">
        <f>2360.2828*(+NÖ!Fak_2)</f>
        <v>23.602827999999999</v>
      </c>
      <c r="M26" s="282">
        <f>1250.178*(+NÖ!Fak_2)</f>
        <v>12.501780000000002</v>
      </c>
      <c r="N26" s="282">
        <f>3035.8876*(+NÖ!Fak_2)</f>
        <v>30.358876000000002</v>
      </c>
      <c r="O26" s="282">
        <f>2287.545*(+NÖ!Fak_2)</f>
        <v>22.875450000000001</v>
      </c>
      <c r="P26" s="282">
        <f>1593.7868*(+NÖ!Fak_2)</f>
        <v>15.937868000000002</v>
      </c>
      <c r="Q26" s="282">
        <f>2063.8554*(+NÖ!Fak_2)</f>
        <v>20.638553999999999</v>
      </c>
      <c r="R26" s="282">
        <f>258.19*(+NÖ!Fak_2)</f>
        <v>2.5819000000000001</v>
      </c>
      <c r="S26" s="282">
        <f>1769.0677*(+NÖ!Fak_2)</f>
        <v>17.690677000000001</v>
      </c>
      <c r="T26" s="282">
        <f>687.4752*(+NÖ!Fak_2)</f>
        <v>6.874752</v>
      </c>
      <c r="U26" s="282">
        <f>2319.8586*(+NÖ!Fak_2)</f>
        <v>23.198586000000002</v>
      </c>
      <c r="V26" s="282">
        <f>3292.2971*(+NÖ!Fak_2)</f>
        <v>32.922970999999997</v>
      </c>
      <c r="W26" s="282">
        <f>1110.4031*(+NÖ!Fak_2)</f>
        <v>11.104031000000001</v>
      </c>
      <c r="X26" s="282">
        <f>1758.8121*(+NÖ!Fak_2)</f>
        <v>17.588121000000001</v>
      </c>
      <c r="Y26" s="282">
        <f>2832.1397*(+NÖ!Fak_2)</f>
        <v>28.321397000000001</v>
      </c>
      <c r="Z26" s="282">
        <f>692.3404*(+NÖ!Fak_2)</f>
        <v>6.9234040000000006</v>
      </c>
      <c r="AA26" s="282">
        <f>1094.0711*(+NÖ!Fak_2)</f>
        <v>10.940710999999999</v>
      </c>
      <c r="AB26" s="282">
        <f>2216.3402*(+NÖ!Fak_2)</f>
        <v>22.163402000000001</v>
      </c>
      <c r="AC26" s="282">
        <f>1305.0268*(+NÖ!Fak_2)</f>
        <v>13.050268000000001</v>
      </c>
      <c r="AD26" s="282">
        <f>204.9412*(+NÖ!Fak_2)</f>
        <v>2.0494120000000002</v>
      </c>
      <c r="AE26" s="282">
        <f>1501.6483*(+NÖ!Fak_2)</f>
        <v>15.016483000000001</v>
      </c>
      <c r="AF26" s="282">
        <f>482.8666*(+NÖ!Fak_2)</f>
        <v>4.8286660000000001</v>
      </c>
      <c r="AG26" s="282">
        <f>2093.1654*(+NÖ!Fak_2)</f>
        <v>20.931653999999998</v>
      </c>
      <c r="AH26" s="283">
        <f>40638.8628*(NÖ!Fak_2)</f>
        <v>406.38862800000004</v>
      </c>
      <c r="AI26" s="159" t="str">
        <f t="shared" si="8"/>
        <v>km²</v>
      </c>
      <c r="AJ26" s="160"/>
      <c r="AK26" s="161">
        <f t="shared" ref="AK26:AK30" si="9">CE11/CD11</f>
        <v>0.73069400953016961</v>
      </c>
      <c r="AL26" s="364"/>
    </row>
    <row r="27" spans="2:38" ht="19.5" customHeight="1" thickTop="1" thickBot="1" x14ac:dyDescent="0.35">
      <c r="G27" s="222"/>
      <c r="I27" s="148" t="s">
        <v>7410</v>
      </c>
      <c r="J27" s="282">
        <f>2060.1623*(+NÖ!Fak_2)</f>
        <v>20.601623</v>
      </c>
      <c r="K27" s="282">
        <f>2450.5015*(+NÖ!Fak_2)</f>
        <v>24.505015</v>
      </c>
      <c r="L27" s="282">
        <f>2316.8622*(+NÖ!Fak_2)</f>
        <v>23.168621999999999</v>
      </c>
      <c r="M27" s="282">
        <f>1074.8357*(+NÖ!Fak_2)</f>
        <v>10.748357</v>
      </c>
      <c r="N27" s="282">
        <f>2666.9278*(+NÖ!Fak_2)</f>
        <v>26.669277999999998</v>
      </c>
      <c r="O27" s="282">
        <f>1675.0715*(+NÖ!Fak_2)</f>
        <v>16.750715</v>
      </c>
      <c r="P27" s="282">
        <f>1037.0247*(+NÖ!Fak_2)</f>
        <v>10.370246999999999</v>
      </c>
      <c r="Q27" s="282">
        <f>2122.9659*(+NÖ!Fak_2)</f>
        <v>21.229659000000002</v>
      </c>
      <c r="R27" s="282">
        <f>439.5883*(+NÖ!Fak_2)</f>
        <v>4.3958830000000004</v>
      </c>
      <c r="S27" s="282">
        <f>1419.2436*(+NÖ!Fak_2)</f>
        <v>14.192436000000001</v>
      </c>
      <c r="T27" s="282">
        <f>443.7143*(+NÖ!Fak_2)</f>
        <v>4.4371429999999998</v>
      </c>
      <c r="U27" s="282">
        <f>1600.0223*(+NÖ!Fak_2)</f>
        <v>16.000223000000002</v>
      </c>
      <c r="V27" s="282">
        <f>2298.8835*(+NÖ!Fak_2)</f>
        <v>22.988834999999998</v>
      </c>
      <c r="W27" s="282">
        <f>1920.2785*(+NÖ!Fak_2)</f>
        <v>19.202784999999999</v>
      </c>
      <c r="X27" s="282">
        <f>1566.0189*(+NÖ!Fak_2)</f>
        <v>15.660189000000001</v>
      </c>
      <c r="Y27" s="282">
        <f>2379.3801*(+NÖ!Fak_2)</f>
        <v>23.793800999999998</v>
      </c>
      <c r="Z27" s="282">
        <f>947.994*(+NÖ!Fak_2)</f>
        <v>9.4799400000000009</v>
      </c>
      <c r="AA27" s="282">
        <f>683.5331*(+NÖ!Fak_2)</f>
        <v>6.835331</v>
      </c>
      <c r="AB27" s="282">
        <f>2266.687*(+NÖ!Fak_2)</f>
        <v>22.666869999999999</v>
      </c>
      <c r="AC27" s="282">
        <f>912.6329*(+NÖ!Fak_2)</f>
        <v>9.1263290000000001</v>
      </c>
      <c r="AD27" s="282">
        <f>138.2558*(+NÖ!Fak_2)</f>
        <v>1.382558</v>
      </c>
      <c r="AE27" s="282">
        <f>1667.1688*(+NÖ!Fak_2)</f>
        <v>16.671688</v>
      </c>
      <c r="AF27" s="282">
        <f>665.3779*(+NÖ!Fak_2)</f>
        <v>6.6537790000000001</v>
      </c>
      <c r="AG27" s="282">
        <f>1310.8132*(+NÖ!Fak_2)</f>
        <v>13.108132000000001</v>
      </c>
      <c r="AH27" s="283">
        <f>36063.9438*(NÖ!Fak_2)</f>
        <v>360.63943800000004</v>
      </c>
      <c r="AI27" s="159" t="str">
        <f t="shared" si="8"/>
        <v>km²</v>
      </c>
      <c r="AJ27" s="160"/>
      <c r="AK27" s="161">
        <f t="shared" si="9"/>
        <v>0.47109662418598219</v>
      </c>
      <c r="AL27" s="364"/>
    </row>
    <row r="28" spans="2:38" ht="19.5" customHeight="1" thickTop="1" thickBot="1" x14ac:dyDescent="0.35">
      <c r="G28" s="222"/>
      <c r="I28" s="148" t="s">
        <v>7409</v>
      </c>
      <c r="J28" s="282">
        <f>1203.8775*(+NÖ!Fak_2)</f>
        <v>12.038775000000001</v>
      </c>
      <c r="K28" s="282">
        <f>183.1272*(+NÖ!Fak_2)</f>
        <v>1.831272</v>
      </c>
      <c r="L28" s="282">
        <f>160.0033*(+NÖ!Fak_2)</f>
        <v>1.600033</v>
      </c>
      <c r="M28" s="282">
        <f>241.7102*(+NÖ!Fak_2)</f>
        <v>2.4171019999999999</v>
      </c>
      <c r="N28" s="282">
        <f>249.1224*(+NÖ!Fak_2)</f>
        <v>2.4912239999999999</v>
      </c>
      <c r="O28" s="282">
        <f>161.9366*(+NÖ!Fak_2)</f>
        <v>1.6193660000000001</v>
      </c>
      <c r="P28" s="282">
        <f>127.7306*(+NÖ!Fak_2)</f>
        <v>1.2773060000000001</v>
      </c>
      <c r="Q28" s="282">
        <f>160.3273*(+NÖ!Fak_2)</f>
        <v>1.6032730000000002</v>
      </c>
      <c r="R28" s="282">
        <f>24.5728*(+NÖ!Fak_2)</f>
        <v>0.245728</v>
      </c>
      <c r="S28" s="282">
        <f>262.5626*(+NÖ!Fak_2)</f>
        <v>2.625626</v>
      </c>
      <c r="T28" s="282">
        <f>247.4038*(+NÖ!Fak_2)</f>
        <v>2.4740379999999997</v>
      </c>
      <c r="U28" s="282">
        <f>675.5599*(+NÖ!Fak_2)</f>
        <v>6.7555990000000001</v>
      </c>
      <c r="V28" s="282">
        <f>214.0672*(+NÖ!Fak_2)</f>
        <v>2.1406720000000004</v>
      </c>
      <c r="W28" s="282">
        <f>92.1247*(+NÖ!Fak_2)</f>
        <v>0.92124700000000004</v>
      </c>
      <c r="X28" s="282">
        <f>382.7392*(+NÖ!Fak_2)</f>
        <v>3.8273919999999997</v>
      </c>
      <c r="Y28" s="282">
        <f>645.7431*(+NÖ!Fak_2)</f>
        <v>6.4574310000000006</v>
      </c>
      <c r="Z28" s="282">
        <f>45.4534*(+NÖ!Fak_2)</f>
        <v>0.45453400000000005</v>
      </c>
      <c r="AA28" s="282">
        <f>534.2459*(+NÖ!Fak_2)</f>
        <v>5.3424589999999998</v>
      </c>
      <c r="AB28" s="282">
        <f>239.0552*(+NÖ!Fak_2)</f>
        <v>2.390552</v>
      </c>
      <c r="AC28" s="282">
        <f>171.0714*(+NÖ!Fak_2)</f>
        <v>1.7107140000000001</v>
      </c>
      <c r="AD28" s="282">
        <f>105.0632*(+NÖ!Fak_2)</f>
        <v>1.050632</v>
      </c>
      <c r="AE28" s="282">
        <f>318.8654*(+NÖ!Fak_2)</f>
        <v>3.1886540000000001</v>
      </c>
      <c r="AF28" s="282">
        <f>20.3385*(+NÖ!Fak_2)</f>
        <v>0.20338500000000001</v>
      </c>
      <c r="AG28" s="282">
        <f>419.3949*(+NÖ!Fak_2)</f>
        <v>4.1939489999999999</v>
      </c>
      <c r="AH28" s="283">
        <f>6886.0963*(NÖ!Fak_2)</f>
        <v>68.860962999999998</v>
      </c>
      <c r="AI28" s="159" t="str">
        <f t="shared" si="8"/>
        <v>km²</v>
      </c>
      <c r="AJ28" s="160"/>
      <c r="AK28" s="161">
        <f t="shared" si="9"/>
        <v>0.4175923955323847</v>
      </c>
      <c r="AL28" s="364"/>
    </row>
    <row r="29" spans="2:38" ht="19.5" customHeight="1" thickTop="1" x14ac:dyDescent="0.3">
      <c r="G29" s="222"/>
      <c r="I29" s="148" t="s">
        <v>7549</v>
      </c>
      <c r="J29" s="282">
        <f>75.6341*(+NÖ!Fak_2)</f>
        <v>0.75634100000000004</v>
      </c>
      <c r="K29" s="282">
        <f>96.7579*(+NÖ!Fak_2)</f>
        <v>0.96757900000000008</v>
      </c>
      <c r="L29" s="282">
        <f>85.7918*(+NÖ!Fak_2)</f>
        <v>0.85791799999999996</v>
      </c>
      <c r="M29" s="282">
        <f>35.2597*(+NÖ!Fak_2)</f>
        <v>0.35259700000000005</v>
      </c>
      <c r="N29" s="282">
        <f>85.4048*(+NÖ!Fak_2)</f>
        <v>0.85404799999999992</v>
      </c>
      <c r="O29" s="282">
        <f>39.9885*(+NÖ!Fak_2)</f>
        <v>0.39988500000000005</v>
      </c>
      <c r="P29" s="282">
        <f>30.1241*(+NÖ!Fak_2)</f>
        <v>0.30124099999999998</v>
      </c>
      <c r="Q29" s="282">
        <f>85.7463*(+NÖ!Fak_2)</f>
        <v>0.85746300000000009</v>
      </c>
      <c r="R29" s="282">
        <f>21.7181*(+NÖ!Fak_2)</f>
        <v>0.21718100000000001</v>
      </c>
      <c r="S29" s="282">
        <f>49.566*(+NÖ!Fak_2)</f>
        <v>0.49566000000000004</v>
      </c>
      <c r="T29" s="282">
        <f>31.2623*(+NÖ!Fak_2)</f>
        <v>0.31262299999999998</v>
      </c>
      <c r="U29" s="282">
        <f>66.3156*(+NÖ!Fak_2)</f>
        <v>0.66315600000000008</v>
      </c>
      <c r="V29" s="282">
        <f>61.3783*(+NÖ!Fak_2)</f>
        <v>0.61378300000000008</v>
      </c>
      <c r="W29" s="282">
        <f>72.8039*(+NÖ!Fak_2)</f>
        <v>0.72803899999999999</v>
      </c>
      <c r="X29" s="282">
        <f>52.8484*(+NÖ!Fak_2)</f>
        <v>0.52848399999999995</v>
      </c>
      <c r="Y29" s="282">
        <f>73.6246*(+NÖ!Fak_2)</f>
        <v>0.73624600000000007</v>
      </c>
      <c r="Z29" s="282">
        <f>35.4861*(+NÖ!Fak_2)</f>
        <v>0.35486100000000004</v>
      </c>
      <c r="AA29" s="282">
        <f>26.6167*(+NÖ!Fak_2)</f>
        <v>0.26616700000000004</v>
      </c>
      <c r="AB29" s="282">
        <f>103.0942*(+NÖ!Fak_2)</f>
        <v>1.030942</v>
      </c>
      <c r="AC29" s="282">
        <f>19.6543*(+NÖ!Fak_2)</f>
        <v>0.196543</v>
      </c>
      <c r="AD29" s="282">
        <f>7.5334*(+NÖ!Fak_2)</f>
        <v>7.5333999999999998E-2</v>
      </c>
      <c r="AE29" s="282">
        <f>56.0423*(+NÖ!Fak_2)</f>
        <v>0.560423</v>
      </c>
      <c r="AF29" s="282">
        <f>26.5167*(+NÖ!Fak_2)</f>
        <v>0.26516699999999999</v>
      </c>
      <c r="AG29" s="282">
        <f>30.313*(+NÖ!Fak_2)</f>
        <v>0.30313000000000001</v>
      </c>
      <c r="AH29" s="204">
        <f>1269.4811*(NÖ!Fak_2)</f>
        <v>12.694811</v>
      </c>
      <c r="AI29" s="159" t="str">
        <f t="shared" si="8"/>
        <v>km²</v>
      </c>
      <c r="AJ29" s="160"/>
      <c r="AK29" s="161">
        <f t="shared" si="9"/>
        <v>0.14187641462426473</v>
      </c>
      <c r="AL29" s="364"/>
    </row>
    <row r="30" spans="2:38" ht="19.5" customHeight="1" x14ac:dyDescent="0.3">
      <c r="G30" s="222"/>
      <c r="I30" s="148" t="s">
        <v>7519</v>
      </c>
      <c r="J30" s="282">
        <f>47.6473*(+NÖ!Fak_2)</f>
        <v>0.47647300000000004</v>
      </c>
      <c r="K30" s="282">
        <f>21.0378*(+NÖ!Fak_2)</f>
        <v>0.21037800000000001</v>
      </c>
      <c r="L30" s="282">
        <f>41.0671*(+NÖ!Fak_2)</f>
        <v>0.41067100000000006</v>
      </c>
      <c r="M30" s="282">
        <f>12.6297*(+NÖ!Fak_2)</f>
        <v>0.12629699999999999</v>
      </c>
      <c r="N30" s="282">
        <f>53.2035*(+NÖ!Fak_2)</f>
        <v>0.53203500000000004</v>
      </c>
      <c r="O30" s="282">
        <f>28.1582*(+NÖ!Fak_2)</f>
        <v>0.281582</v>
      </c>
      <c r="P30" s="282">
        <f>12.8883*(+NÖ!Fak_2)</f>
        <v>0.128883</v>
      </c>
      <c r="Q30" s="282">
        <f>53.338*(+NÖ!Fak_2)</f>
        <v>0.53337999999999997</v>
      </c>
      <c r="R30" s="282">
        <f>15.7193*(+NÖ!Fak_2)</f>
        <v>0.157193</v>
      </c>
      <c r="S30" s="282">
        <f>17.7418*(+NÖ!Fak_2)</f>
        <v>0.17741800000000002</v>
      </c>
      <c r="T30" s="282">
        <f>11.0438*(+NÖ!Fak_2)</f>
        <v>0.11043799999999999</v>
      </c>
      <c r="U30" s="282">
        <f>33.7709*(+NÖ!Fak_2)</f>
        <v>0.33770899999999998</v>
      </c>
      <c r="V30" s="282">
        <f>32.2399*(+NÖ!Fak_2)</f>
        <v>0.32239899999999999</v>
      </c>
      <c r="W30" s="282">
        <f>19.6372*(+NÖ!Fak_2)</f>
        <v>0.19637199999999999</v>
      </c>
      <c r="X30" s="282">
        <f>16.5244*(+NÖ!Fak_2)</f>
        <v>0.165244</v>
      </c>
      <c r="Y30" s="282">
        <f>32.1791*(+NÖ!Fak_2)</f>
        <v>0.32179099999999999</v>
      </c>
      <c r="Z30" s="282">
        <f>12.991*(+NÖ!Fak_2)</f>
        <v>0.12991</v>
      </c>
      <c r="AA30" s="282">
        <f>19.2262*(+NÖ!Fak_2)</f>
        <v>0.19226199999999999</v>
      </c>
      <c r="AB30" s="282">
        <f>26.8603*(+NÖ!Fak_2)</f>
        <v>0.26860299999999998</v>
      </c>
      <c r="AC30" s="282">
        <f>14.7877*(+NÖ!Fak_2)</f>
        <v>0.14787700000000001</v>
      </c>
      <c r="AD30" s="282">
        <f>1.7112*(+NÖ!Fak_2)</f>
        <v>1.7112000000000002E-2</v>
      </c>
      <c r="AE30" s="282">
        <f>26.2552*(+NÖ!Fak_2)</f>
        <v>0.26255200000000001</v>
      </c>
      <c r="AF30" s="282">
        <f>15.7779*(+NÖ!Fak_2)</f>
        <v>0.157779</v>
      </c>
      <c r="AG30" s="282">
        <f>19.4685*(+NÖ!Fak_2)</f>
        <v>0.194685</v>
      </c>
      <c r="AH30" s="204">
        <f>585.9043*(NÖ!Fak_2)</f>
        <v>5.8590430000000007</v>
      </c>
      <c r="AI30" s="159" t="str">
        <f t="shared" si="8"/>
        <v>km²</v>
      </c>
      <c r="AJ30" s="160"/>
      <c r="AK30" s="161">
        <f t="shared" si="9"/>
        <v>0.10844259361451559</v>
      </c>
      <c r="AL30" s="364"/>
    </row>
    <row r="31" spans="2:38" ht="19.5" customHeight="1" x14ac:dyDescent="0.3">
      <c r="G31" s="222"/>
      <c r="I31" s="148"/>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159"/>
      <c r="AJ31" s="160"/>
      <c r="AK31" s="189"/>
      <c r="AL31" s="147"/>
    </row>
    <row r="32" spans="2:38" ht="19.5" customHeight="1" x14ac:dyDescent="0.3">
      <c r="G32" s="144"/>
      <c r="I32" s="148" t="s">
        <v>7514</v>
      </c>
      <c r="J32" s="282">
        <f t="shared" ref="J32:AH32" si="10">+VS_gesamt*10000/EW</f>
        <v>516.08795219859121</v>
      </c>
      <c r="K32" s="282">
        <f t="shared" si="10"/>
        <v>306.3933716604667</v>
      </c>
      <c r="L32" s="282">
        <f t="shared" si="10"/>
        <v>465.50950898383286</v>
      </c>
      <c r="M32" s="282">
        <f t="shared" si="10"/>
        <v>724.5706803380906</v>
      </c>
      <c r="N32" s="282">
        <f t="shared" si="10"/>
        <v>570.03033337700981</v>
      </c>
      <c r="O32" s="282">
        <f t="shared" si="10"/>
        <v>811.81500987491768</v>
      </c>
      <c r="P32" s="282">
        <f t="shared" si="10"/>
        <v>909.89103605066589</v>
      </c>
      <c r="Q32" s="282">
        <f t="shared" si="10"/>
        <v>487.72943619403799</v>
      </c>
      <c r="R32" s="282">
        <f t="shared" si="10"/>
        <v>304.87881706191564</v>
      </c>
      <c r="S32" s="282">
        <f t="shared" si="10"/>
        <v>621.45511552321068</v>
      </c>
      <c r="T32" s="282">
        <f t="shared" si="10"/>
        <v>559.36516809700026</v>
      </c>
      <c r="U32" s="282">
        <f t="shared" si="10"/>
        <v>598.11824724539838</v>
      </c>
      <c r="V32" s="282">
        <f t="shared" si="10"/>
        <v>775.42176593535157</v>
      </c>
      <c r="W32" s="282">
        <f t="shared" si="10"/>
        <v>268.77271853344149</v>
      </c>
      <c r="X32" s="282">
        <f t="shared" si="10"/>
        <v>436.6458571775396</v>
      </c>
      <c r="Y32" s="282">
        <f t="shared" si="10"/>
        <v>449.68640699822782</v>
      </c>
      <c r="Z32" s="282">
        <f t="shared" si="10"/>
        <v>307.71201206529452</v>
      </c>
      <c r="AA32" s="282">
        <f t="shared" si="10"/>
        <v>566.98482552966368</v>
      </c>
      <c r="AB32" s="282">
        <f t="shared" si="10"/>
        <v>454.19574639370194</v>
      </c>
      <c r="AC32" s="282">
        <f t="shared" si="10"/>
        <v>949.85421974834389</v>
      </c>
      <c r="AD32" s="282">
        <f t="shared" si="10"/>
        <v>412.46375766318067</v>
      </c>
      <c r="AE32" s="282">
        <f t="shared" si="10"/>
        <v>448.92421060573673</v>
      </c>
      <c r="AF32" s="282">
        <f t="shared" si="10"/>
        <v>257.05379357194414</v>
      </c>
      <c r="AG32" s="282">
        <f t="shared" si="10"/>
        <v>928.12417627183629</v>
      </c>
      <c r="AH32" s="282">
        <f t="shared" si="10"/>
        <v>502.96968146852248</v>
      </c>
      <c r="AI32" s="224" t="s">
        <v>7513</v>
      </c>
      <c r="AJ32" s="147"/>
      <c r="AK32" s="147"/>
      <c r="AL32" s="147"/>
    </row>
    <row r="33" spans="7:38" ht="19.5" customHeight="1" x14ac:dyDescent="0.3">
      <c r="G33" s="144"/>
      <c r="I33" s="148" t="s">
        <v>7472</v>
      </c>
      <c r="J33" s="285">
        <f>100*Fak_Einheit*VS_gesamt/NÖ!DSR</f>
        <v>7.6383207883239841</v>
      </c>
      <c r="K33" s="285">
        <f>100*Fak_Einheit*VS_gesamt/NÖ!DSR</f>
        <v>11.493400600355127</v>
      </c>
      <c r="L33" s="285">
        <f>100*Fak_Einheit*VS_gesamt/NÖ!DSR</f>
        <v>8.8311854976169517</v>
      </c>
      <c r="M33" s="285">
        <f>100*Fak_Einheit*VS_gesamt/NÖ!DSR</f>
        <v>6.7528909191849218</v>
      </c>
      <c r="N33" s="285">
        <f>100*Fak_Einheit*VS_gesamt/NÖ!DSR</f>
        <v>5.5163338922542771</v>
      </c>
      <c r="O33" s="285">
        <f>100*Fak_Einheit*VS_gesamt/NÖ!DSR</f>
        <v>5.1886390392593364</v>
      </c>
      <c r="P33" s="285">
        <f>100*Fak_Einheit*VS_gesamt/NÖ!DSR</f>
        <v>4.9527904148082342</v>
      </c>
      <c r="Q33" s="285">
        <f>100*Fak_Einheit*VS_gesamt/NÖ!DSR</f>
        <v>8.3166706322331798</v>
      </c>
      <c r="R33" s="285">
        <f>100*Fak_Einheit*VS_gesamt/NÖ!DSR</f>
        <v>24.06277083829832</v>
      </c>
      <c r="S33" s="285">
        <f>100*Fak_Einheit*VS_gesamt/NÖ!DSR</f>
        <v>7.3553718295504584</v>
      </c>
      <c r="T33" s="285">
        <f>100*Fak_Einheit*VS_gesamt/NÖ!DSR</f>
        <v>7.9138792902973316</v>
      </c>
      <c r="U33" s="285">
        <f>100*Fak_Einheit*VS_gesamt/NÖ!DSR</f>
        <v>7.7975163124061018</v>
      </c>
      <c r="V33" s="285">
        <f>100*Fak_Einheit*VS_gesamt/NÖ!DSR</f>
        <v>5.3168568974221806</v>
      </c>
      <c r="W33" s="285">
        <f>100*Fak_Einheit*VS_gesamt/NÖ!DSR</f>
        <v>18.481527982321211</v>
      </c>
      <c r="X33" s="285">
        <f>100*Fak_Einheit*VS_gesamt/NÖ!DSR</f>
        <v>10.054982508478739</v>
      </c>
      <c r="Y33" s="285">
        <f>100*Fak_Einheit*VS_gesamt/NÖ!DSR</f>
        <v>7.758890863852093</v>
      </c>
      <c r="Z33" s="285">
        <f>100*Fak_Einheit*VS_gesamt/NÖ!DSR</f>
        <v>18.572470904750325</v>
      </c>
      <c r="AA33" s="285">
        <f>100*Fak_Einheit*VS_gesamt/NÖ!DSR</f>
        <v>6.4562718831799764</v>
      </c>
      <c r="AB33" s="285">
        <f>100*Fak_Einheit*VS_gesamt/NÖ!DSR</f>
        <v>9.336420977360774</v>
      </c>
      <c r="AC33" s="285">
        <f>100*Fak_Einheit*VS_gesamt/NÖ!DSR</f>
        <v>5.1055230025254899</v>
      </c>
      <c r="AD33" s="285">
        <f>100*Fak_Einheit*VS_gesamt/NÖ!DSR</f>
        <v>6.3024908437761944</v>
      </c>
      <c r="AE33" s="285">
        <f>100*Fak_Einheit*VS_gesamt/NÖ!DSR</f>
        <v>8.8318253296146629</v>
      </c>
      <c r="AF33" s="285">
        <f>100*Fak_Einheit*VS_gesamt/NÖ!DSR</f>
        <v>27.162031485385967</v>
      </c>
      <c r="AG33" s="285">
        <f>100*Fak_Einheit*VS_gesamt/NÖ!DSR</f>
        <v>5.0230696823896803</v>
      </c>
      <c r="AH33" s="285">
        <f>100*Fak_Einheit*VS_gesamt/NÖ!DSR</f>
        <v>7.3559848197780081E-2</v>
      </c>
      <c r="AI33" s="210" t="s">
        <v>7418</v>
      </c>
      <c r="AJ33" s="147"/>
      <c r="AK33" s="147"/>
      <c r="AL33" s="147"/>
    </row>
    <row r="34" spans="7:38" ht="19.5" customHeight="1" x14ac:dyDescent="0.3">
      <c r="G34" s="144"/>
      <c r="I34" s="148"/>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10"/>
      <c r="AJ34" s="147"/>
      <c r="AK34" s="147"/>
      <c r="AL34" s="147"/>
    </row>
    <row r="35" spans="7:38" ht="19.5" customHeight="1" x14ac:dyDescent="0.3">
      <c r="G35" s="144"/>
      <c r="I35" s="369" t="s">
        <v>7415</v>
      </c>
      <c r="J35" s="369"/>
      <c r="K35" s="369"/>
      <c r="L35" s="369"/>
      <c r="M35" s="369"/>
      <c r="N35" s="369"/>
      <c r="O35" s="369"/>
      <c r="P35" s="369"/>
      <c r="Q35" s="369"/>
      <c r="R35" s="369"/>
      <c r="S35" s="369"/>
      <c r="T35" s="369"/>
      <c r="U35" s="369"/>
      <c r="V35" s="285"/>
      <c r="W35" s="285"/>
      <c r="X35" s="285"/>
      <c r="Y35" s="285"/>
      <c r="Z35" s="285"/>
      <c r="AA35" s="285"/>
      <c r="AB35" s="285"/>
      <c r="AC35" s="285"/>
      <c r="AD35" s="285"/>
      <c r="AE35" s="285"/>
      <c r="AF35" s="285"/>
      <c r="AG35" s="285"/>
      <c r="AH35" s="285"/>
      <c r="AI35" s="210"/>
      <c r="AJ35" s="147"/>
      <c r="AK35" s="147"/>
      <c r="AL35" s="147"/>
    </row>
    <row r="36" spans="7:38" ht="19.5" customHeight="1" x14ac:dyDescent="0.3">
      <c r="G36" s="144"/>
      <c r="I36" s="148"/>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10"/>
      <c r="AJ36" s="147"/>
      <c r="AK36" s="147"/>
      <c r="AL36" s="147"/>
    </row>
    <row r="37" spans="7:38" ht="19.5" customHeight="1" x14ac:dyDescent="0.3">
      <c r="G37" s="144"/>
      <c r="I37" s="148"/>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10"/>
      <c r="AJ37" s="147"/>
      <c r="AK37" s="147"/>
      <c r="AL37" s="147"/>
    </row>
    <row r="38" spans="7:38" ht="90.75" customHeight="1" x14ac:dyDescent="0.4">
      <c r="G38" s="144"/>
      <c r="I38" s="148"/>
      <c r="J38" s="337" t="str">
        <f>J24</f>
        <v>Amstetten</v>
      </c>
      <c r="K38" s="337" t="str">
        <f t="shared" ref="K38:AG38" si="11">K24</f>
        <v>Baden</v>
      </c>
      <c r="L38" s="337" t="str">
        <f t="shared" si="11"/>
        <v>Bruck an der Leitha</v>
      </c>
      <c r="M38" s="337" t="str">
        <f t="shared" si="11"/>
        <v>Gmünd</v>
      </c>
      <c r="N38" s="337" t="str">
        <f t="shared" si="11"/>
        <v>Gänserndorf</v>
      </c>
      <c r="O38" s="337" t="str">
        <f t="shared" si="11"/>
        <v>Hollabrunn</v>
      </c>
      <c r="P38" s="337" t="str">
        <f t="shared" si="11"/>
        <v>Horn</v>
      </c>
      <c r="Q38" s="337" t="str">
        <f t="shared" si="11"/>
        <v>Korneuburg</v>
      </c>
      <c r="R38" s="337" t="str">
        <f t="shared" si="11"/>
        <v>Krems an der Donau(Stadt)</v>
      </c>
      <c r="S38" s="337" t="str">
        <f t="shared" si="11"/>
        <v>Krems(Land)</v>
      </c>
      <c r="T38" s="337" t="str">
        <f t="shared" si="11"/>
        <v>Lilienfeld</v>
      </c>
      <c r="U38" s="337" t="str">
        <f t="shared" si="11"/>
        <v>Melk</v>
      </c>
      <c r="V38" s="337" t="str">
        <f t="shared" si="11"/>
        <v>Mistelbach</v>
      </c>
      <c r="W38" s="337" t="str">
        <f t="shared" si="11"/>
        <v>Mödling</v>
      </c>
      <c r="X38" s="337" t="str">
        <f t="shared" si="11"/>
        <v>Neunkirchen</v>
      </c>
      <c r="Y38" s="337" t="str">
        <f t="shared" si="11"/>
        <v>Sankt Pölten(Land)</v>
      </c>
      <c r="Z38" s="337" t="str">
        <f t="shared" si="11"/>
        <v>Sankt Pölten(Stadt)</v>
      </c>
      <c r="AA38" s="337" t="str">
        <f t="shared" si="11"/>
        <v>Scheibbs</v>
      </c>
      <c r="AB38" s="337" t="str">
        <f t="shared" si="11"/>
        <v>Tulln</v>
      </c>
      <c r="AC38" s="337" t="str">
        <f t="shared" si="11"/>
        <v>Waidhofen an der Thaya</v>
      </c>
      <c r="AD38" s="337" t="str">
        <f t="shared" si="11"/>
        <v>Waidhofen an der Ybbs(Stadt)</v>
      </c>
      <c r="AE38" s="337" t="str">
        <f t="shared" si="11"/>
        <v>Wiener Neustadt(Land)</v>
      </c>
      <c r="AF38" s="337" t="str">
        <f t="shared" si="11"/>
        <v>Wiener Neustadt(Stadt)</v>
      </c>
      <c r="AG38" s="337" t="str">
        <f t="shared" si="11"/>
        <v>Zwettl</v>
      </c>
      <c r="AH38" s="277" t="str">
        <f>NÖ!BL</f>
        <v>NÖ</v>
      </c>
      <c r="AI38" s="210"/>
      <c r="AJ38" s="147"/>
      <c r="AK38" s="147"/>
      <c r="AL38" s="147"/>
    </row>
    <row r="39" spans="7:38" ht="19.5" customHeight="1" x14ac:dyDescent="0.3">
      <c r="G39" s="144"/>
      <c r="I39" s="148"/>
      <c r="J39" s="383" t="str">
        <f>"Baulandwidmung (ohne Verkehrsflächen) in " &amp; Einheit</f>
        <v>Baulandwidmung (ohne Verkehrsflächen) in km²</v>
      </c>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210"/>
      <c r="AJ39" s="147"/>
      <c r="AK39" s="147"/>
      <c r="AL39" s="147"/>
    </row>
    <row r="40" spans="7:38" ht="19.5" customHeight="1" x14ac:dyDescent="0.3">
      <c r="G40" s="144"/>
      <c r="I40" s="148"/>
      <c r="J40" s="191">
        <f>Fak_1*5209.445257</f>
        <v>52.094452570000001</v>
      </c>
      <c r="K40" s="191">
        <f>Fak_1*5820.373698</f>
        <v>58.203736980000002</v>
      </c>
      <c r="L40" s="191">
        <f>Fak_1*5068.210241</f>
        <v>50.682102409999999</v>
      </c>
      <c r="M40" s="191">
        <f>Fak_1*2675.127724</f>
        <v>26.75127724</v>
      </c>
      <c r="N40" s="191">
        <f>Fak_1*6103.000878</f>
        <v>61.030008780000003</v>
      </c>
      <c r="O40" s="191">
        <f>Fak_1*3794.16041</f>
        <v>37.941604099999999</v>
      </c>
      <c r="P40" s="191">
        <f>Fak_1*2432.977118</f>
        <v>24.329771179999998</v>
      </c>
      <c r="Q40" s="191">
        <f>Fak_1*4668.470633</f>
        <v>46.684706329999997</v>
      </c>
      <c r="R40" s="191">
        <f>Fak_1*810.375508</f>
        <v>8.1037550799999991</v>
      </c>
      <c r="S40" s="191">
        <f>Fak_1*3192.582683</f>
        <v>31.925826830000002</v>
      </c>
      <c r="T40" s="191">
        <f>Fak_1*1173.819094</f>
        <v>11.738190939999999</v>
      </c>
      <c r="U40" s="191">
        <f>Fak_1*4090.483569</f>
        <v>40.904835689999999</v>
      </c>
      <c r="V40" s="191">
        <f>Fak_1*5167.279779</f>
        <v>51.672797790000004</v>
      </c>
      <c r="W40" s="191">
        <f>Fak_1*4186.923242</f>
        <v>41.869232419999996</v>
      </c>
      <c r="X40" s="191">
        <f>Fak_1*4510.423241</f>
        <v>45.104232410000002</v>
      </c>
      <c r="Y40" s="191">
        <f>Fak_1*6852.54045</f>
        <v>68.525404500000008</v>
      </c>
      <c r="Z40" s="191">
        <f>Fak_1*2170.341188</f>
        <v>21.703411880000001</v>
      </c>
      <c r="AA40" s="191">
        <f>Fak_1*1755.664985</f>
        <v>17.556649849999999</v>
      </c>
      <c r="AB40" s="191">
        <f>Fak_1*5535.984669</f>
        <v>55.359846690000005</v>
      </c>
      <c r="AC40" s="191">
        <f>Fak_1*2012.155996</f>
        <v>20.121559959999999</v>
      </c>
      <c r="AD40" s="191">
        <f>Fak_1*327.806475</f>
        <v>3.27806475</v>
      </c>
      <c r="AE40" s="191">
        <f>Fak_1*4522.358451</f>
        <v>45.223584510000002</v>
      </c>
      <c r="AF40" s="191">
        <f>Fak_1*1319.36421</f>
        <v>13.1936421</v>
      </c>
      <c r="AG40" s="191">
        <f>Fak_1*3258.758924</f>
        <v>32.58758924</v>
      </c>
      <c r="AH40" s="191">
        <f>Fak_1*86658.62842</f>
        <v>866.58628419999991</v>
      </c>
      <c r="AI40" s="210"/>
      <c r="AJ40" s="147"/>
      <c r="AK40" s="147"/>
      <c r="AL40" s="147"/>
    </row>
    <row r="41" spans="7:38" ht="19.5" customHeight="1" x14ac:dyDescent="0.3">
      <c r="G41" s="144"/>
      <c r="I41" s="148"/>
      <c r="J41" s="378" t="s">
        <v>7548</v>
      </c>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210"/>
      <c r="AJ41" s="147"/>
      <c r="AK41" s="147"/>
      <c r="AL41" s="147"/>
    </row>
    <row r="42" spans="7:38" ht="19.5" customHeight="1" x14ac:dyDescent="0.3">
      <c r="G42" s="144"/>
      <c r="I42" s="307"/>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210"/>
      <c r="AJ42" s="147"/>
      <c r="AK42" s="147"/>
      <c r="AL42" s="147"/>
    </row>
    <row r="43" spans="7:38" ht="19.5" customHeight="1" x14ac:dyDescent="0.3">
      <c r="G43" s="144"/>
      <c r="I43" s="307" t="s">
        <v>7546</v>
      </c>
      <c r="J43" s="191">
        <f t="shared" ref="J43:AH43" si="12">100*J44/Baulandwidmung</f>
        <v>24.017402185362862</v>
      </c>
      <c r="K43" s="191">
        <f t="shared" si="12"/>
        <v>19.095494613720589</v>
      </c>
      <c r="L43" s="191">
        <f t="shared" si="12"/>
        <v>22.322459708711204</v>
      </c>
      <c r="M43" s="191">
        <f t="shared" si="12"/>
        <v>22.786420309253241</v>
      </c>
      <c r="N43" s="191">
        <f t="shared" si="12"/>
        <v>24.085111036092496</v>
      </c>
      <c r="O43" s="191">
        <f t="shared" si="12"/>
        <v>25.069437061571154</v>
      </c>
      <c r="P43" s="191">
        <f t="shared" si="12"/>
        <v>22.967269312394745</v>
      </c>
      <c r="Q43" s="191">
        <f t="shared" si="12"/>
        <v>23.009967255801307</v>
      </c>
      <c r="R43" s="191">
        <f t="shared" si="12"/>
        <v>21.56369994834543</v>
      </c>
      <c r="S43" s="191">
        <f t="shared" si="12"/>
        <v>20.526196971795077</v>
      </c>
      <c r="T43" s="191">
        <f t="shared" si="12"/>
        <v>21.909582005828234</v>
      </c>
      <c r="U43" s="191">
        <f t="shared" si="12"/>
        <v>24.42260914017621</v>
      </c>
      <c r="V43" s="191">
        <f t="shared" si="12"/>
        <v>22.463376624530937</v>
      </c>
      <c r="W43" s="191">
        <f t="shared" si="12"/>
        <v>17.175758723880616</v>
      </c>
      <c r="X43" s="191">
        <f t="shared" si="12"/>
        <v>23.219052271640244</v>
      </c>
      <c r="Y43" s="191">
        <f t="shared" si="12"/>
        <v>22.415512264506074</v>
      </c>
      <c r="Z43" s="191">
        <f t="shared" si="12"/>
        <v>23.143250921891457</v>
      </c>
      <c r="AA43" s="191">
        <f t="shared" si="12"/>
        <v>20.498526089816618</v>
      </c>
      <c r="AB43" s="191">
        <f t="shared" si="12"/>
        <v>20.774836199243815</v>
      </c>
      <c r="AC43" s="191">
        <f t="shared" si="12"/>
        <v>18.52810416991149</v>
      </c>
      <c r="AD43" s="191">
        <f t="shared" si="12"/>
        <v>19.981803288052806</v>
      </c>
      <c r="AE43" s="191">
        <f t="shared" si="12"/>
        <v>23.446792630193478</v>
      </c>
      <c r="AF43" s="191">
        <f t="shared" si="12"/>
        <v>17.396974031908901</v>
      </c>
      <c r="AG43" s="191">
        <f t="shared" si="12"/>
        <v>19.748447614838046</v>
      </c>
      <c r="AH43" s="191">
        <f t="shared" si="12"/>
        <v>22.030185481904031</v>
      </c>
      <c r="AI43" s="210"/>
      <c r="AJ43" s="147"/>
      <c r="AK43" s="147"/>
      <c r="AL43" s="147"/>
    </row>
    <row r="44" spans="7:38" ht="19.5" customHeight="1" x14ac:dyDescent="0.3">
      <c r="G44" s="144"/>
      <c r="I44" s="152" t="str">
        <f>"in " &amp; Einheit</f>
        <v>in km²</v>
      </c>
      <c r="J44" s="191">
        <f>Fak_1*1251.173419</f>
        <v>12.51173419</v>
      </c>
      <c r="K44" s="191">
        <f>Fak_1*1111.429146</f>
        <v>11.11429146</v>
      </c>
      <c r="L44" s="191">
        <f>Fak_1*1131.349189</f>
        <v>11.31349189</v>
      </c>
      <c r="M44" s="191">
        <f>Fak_1*609.565847</f>
        <v>6.0956584700000001</v>
      </c>
      <c r="N44" s="191">
        <f>Fak_1*1469.914538</f>
        <v>14.699145380000001</v>
      </c>
      <c r="O44" s="191">
        <f>Fak_1*951.174656</f>
        <v>9.5117465600000006</v>
      </c>
      <c r="P44" s="191">
        <f>Fak_1*558.788407</f>
        <v>5.5878840700000003</v>
      </c>
      <c r="Q44" s="191">
        <f>Fak_1*1074.213564</f>
        <v>10.742135639999999</v>
      </c>
      <c r="R44" s="191">
        <f>Fak_1*174.746943</f>
        <v>1.74746943</v>
      </c>
      <c r="S44" s="191">
        <f>Fak_1*655.31581</f>
        <v>6.553158100000001</v>
      </c>
      <c r="T44" s="191">
        <f>Fak_1*257.178857</f>
        <v>2.5717885699999998</v>
      </c>
      <c r="U44" s="191">
        <f>Fak_1*999.002814</f>
        <v>9.9900281399999997</v>
      </c>
      <c r="V44" s="191">
        <f>Fak_1*1160.745518</f>
        <v>11.607455180000001</v>
      </c>
      <c r="W44" s="191">
        <f>Fak_1*719.135834</f>
        <v>7.1913583400000007</v>
      </c>
      <c r="X44" s="191">
        <f>Fak_1*1047.27753</f>
        <v>10.4727753</v>
      </c>
      <c r="Y44" s="191">
        <f>Fak_1*1536.03204499999</f>
        <v>15.3603204499999</v>
      </c>
      <c r="Z44" s="191">
        <f>Fak_1*502.287507</f>
        <v>5.0228750700000004</v>
      </c>
      <c r="AA44" s="191">
        <f>Fak_1*359.885445</f>
        <v>3.5988544500000001</v>
      </c>
      <c r="AB44" s="191">
        <f>Fak_1*1150.091747</f>
        <v>11.500917469999999</v>
      </c>
      <c r="AC44" s="191">
        <f>Fak_1*372.814359</f>
        <v>3.7281435900000002</v>
      </c>
      <c r="AD44" s="191">
        <f>Fak_1*65.501645</f>
        <v>0.65501644999999997</v>
      </c>
      <c r="AE44" s="191">
        <f>Fak_1*1060.348008</f>
        <v>10.603480079999999</v>
      </c>
      <c r="AF44" s="191">
        <f>Fak_1*229.529449</f>
        <v>2.2952944899999999</v>
      </c>
      <c r="AG44" s="191">
        <f>Fak_1*643.554299</f>
        <v>6.4355429900000001</v>
      </c>
      <c r="AH44" s="191">
        <f>Fak_1*19091.056577</f>
        <v>190.91056577000001</v>
      </c>
      <c r="AI44" s="210"/>
      <c r="AJ44" s="147"/>
      <c r="AK44" s="147"/>
      <c r="AL44" s="147"/>
    </row>
    <row r="45" spans="7:38" ht="19.5" customHeight="1" x14ac:dyDescent="0.3">
      <c r="G45" s="144"/>
      <c r="I45" s="148"/>
      <c r="J45" s="378" t="s">
        <v>7476</v>
      </c>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210"/>
      <c r="AJ45" s="147"/>
      <c r="AK45" s="147"/>
      <c r="AL45" s="147"/>
    </row>
    <row r="46" spans="7:38" ht="19.5" customHeight="1" x14ac:dyDescent="0.3">
      <c r="G46" s="144"/>
      <c r="I46" s="148"/>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210"/>
      <c r="AJ46" s="147"/>
      <c r="AK46" s="147"/>
      <c r="AL46" s="147"/>
    </row>
    <row r="47" spans="7:38" ht="19.5" customHeight="1" x14ac:dyDescent="0.3">
      <c r="G47" s="144"/>
      <c r="I47" s="307" t="s">
        <v>7546</v>
      </c>
      <c r="J47" s="191">
        <f t="shared" ref="J47:AH47" si="13">100*J48/Baulandwidmung</f>
        <v>16.656640164018143</v>
      </c>
      <c r="K47" s="191">
        <f t="shared" si="13"/>
        <v>9.1586843673486751</v>
      </c>
      <c r="L47" s="191">
        <f t="shared" si="13"/>
        <v>10.863451885756135</v>
      </c>
      <c r="M47" s="191">
        <f t="shared" si="13"/>
        <v>14.34250067979184</v>
      </c>
      <c r="N47" s="191">
        <f t="shared" si="13"/>
        <v>10.152297671027798</v>
      </c>
      <c r="O47" s="191">
        <f t="shared" si="13"/>
        <v>10.964732721988421</v>
      </c>
      <c r="P47" s="191">
        <f t="shared" si="13"/>
        <v>10.908922119998337</v>
      </c>
      <c r="Q47" s="191">
        <f t="shared" si="13"/>
        <v>11.482319481905586</v>
      </c>
      <c r="R47" s="191">
        <f t="shared" si="13"/>
        <v>8.4428179682844036</v>
      </c>
      <c r="S47" s="191">
        <f t="shared" si="13"/>
        <v>10.761949434529335</v>
      </c>
      <c r="T47" s="191">
        <f t="shared" si="13"/>
        <v>13.116315093780543</v>
      </c>
      <c r="U47" s="191">
        <f t="shared" si="13"/>
        <v>15.851037953405356</v>
      </c>
      <c r="V47" s="191">
        <f t="shared" si="13"/>
        <v>10.161620997065814</v>
      </c>
      <c r="W47" s="191">
        <f t="shared" si="13"/>
        <v>8.022960407545968</v>
      </c>
      <c r="X47" s="191">
        <f t="shared" si="13"/>
        <v>12.942525142509126</v>
      </c>
      <c r="Y47" s="191">
        <f t="shared" si="13"/>
        <v>11.911616296989536</v>
      </c>
      <c r="Z47" s="191">
        <f t="shared" si="13"/>
        <v>15.233528572743467</v>
      </c>
      <c r="AA47" s="191">
        <f t="shared" si="13"/>
        <v>14.038916371052419</v>
      </c>
      <c r="AB47" s="191">
        <f t="shared" si="13"/>
        <v>8.6433126825554059</v>
      </c>
      <c r="AC47" s="191">
        <f t="shared" si="13"/>
        <v>11.449433168103136</v>
      </c>
      <c r="AD47" s="191">
        <f t="shared" si="13"/>
        <v>10.731437199341471</v>
      </c>
      <c r="AE47" s="191">
        <f t="shared" si="13"/>
        <v>11.540134282911579</v>
      </c>
      <c r="AF47" s="191">
        <f t="shared" si="13"/>
        <v>6.3327850919951816</v>
      </c>
      <c r="AG47" s="191">
        <f t="shared" si="13"/>
        <v>16.253657584153345</v>
      </c>
      <c r="AH47" s="191">
        <f t="shared" si="13"/>
        <v>11.659235082779308</v>
      </c>
      <c r="AI47" s="210"/>
      <c r="AJ47" s="147"/>
      <c r="AK47" s="147"/>
      <c r="AL47" s="147"/>
    </row>
    <row r="48" spans="7:38" ht="19.5" customHeight="1" x14ac:dyDescent="0.3">
      <c r="G48" s="144"/>
      <c r="I48" s="152" t="str">
        <f>"in " &amp; Einheit</f>
        <v>in km²</v>
      </c>
      <c r="J48" s="191">
        <f>Fak_1*867.718551</f>
        <v>8.677185510000001</v>
      </c>
      <c r="K48" s="191">
        <f>Fak_1*533.069656</f>
        <v>5.3306965599999998</v>
      </c>
      <c r="L48" s="191">
        <f>Fak_1*550.582581</f>
        <v>5.5058258100000002</v>
      </c>
      <c r="M48" s="191">
        <f>Fak_1*383.680212</f>
        <v>3.8368021199999998</v>
      </c>
      <c r="N48" s="191">
        <f>Fak_1*619.594816</f>
        <v>6.1959481600000004</v>
      </c>
      <c r="O48" s="191">
        <f>Fak_1*416.019548</f>
        <v>4.1601954799999996</v>
      </c>
      <c r="P48" s="191">
        <f>Fak_1*265.411579</f>
        <v>2.6541157900000001</v>
      </c>
      <c r="Q48" s="191">
        <f>Fak_1*536.048713</f>
        <v>5.3604871300000001</v>
      </c>
      <c r="R48" s="191">
        <f>Fak_1*68.418529</f>
        <v>0.68418529000000006</v>
      </c>
      <c r="S48" s="191">
        <f>Fak_1*343.584134</f>
        <v>3.4358413400000001</v>
      </c>
      <c r="T48" s="191">
        <f>Fak_1*153.961811</f>
        <v>1.5396181100000002</v>
      </c>
      <c r="U48" s="191">
        <f>Fak_1*648.384103</f>
        <v>6.4838410299999998</v>
      </c>
      <c r="V48" s="191">
        <f>Fak_1*525.079387</f>
        <v>5.2507938699999999</v>
      </c>
      <c r="W48" s="191">
        <f>Fak_1*335.915194</f>
        <v>3.3591519399999998</v>
      </c>
      <c r="X48" s="191">
        <f>Fak_1*583.762662</f>
        <v>5.83762662</v>
      </c>
      <c r="Y48" s="191">
        <f>Fak_1*816.248325</f>
        <v>8.1624832500000011</v>
      </c>
      <c r="Z48" s="191">
        <f>Fak_1*330.619545</f>
        <v>3.3061954500000001</v>
      </c>
      <c r="AA48" s="191">
        <f>Fak_1*246.476339</f>
        <v>2.4647633899999999</v>
      </c>
      <c r="AB48" s="191">
        <f>Fak_1*478.492465</f>
        <v>4.7849246499999998</v>
      </c>
      <c r="AC48" s="191">
        <f>Fak_1*230.380456</f>
        <v>2.3038045600000001</v>
      </c>
      <c r="AD48" s="191">
        <f>Fak_1*35.178346</f>
        <v>0.35178345999999999</v>
      </c>
      <c r="AE48" s="191">
        <f>Fak_1*521.886238</f>
        <v>5.2188623800000009</v>
      </c>
      <c r="AF48" s="191">
        <f>Fak_1*83.5525</f>
        <v>0.83552499999999996</v>
      </c>
      <c r="AG48" s="191">
        <f>Fak_1*529.667517</f>
        <v>5.2966751699999994</v>
      </c>
      <c r="AH48" s="191">
        <f>Fak_1*10103.733207</f>
        <v>101.03733206999999</v>
      </c>
      <c r="AI48" s="210"/>
      <c r="AJ48" s="147"/>
      <c r="AK48" s="147"/>
      <c r="AL48" s="147"/>
    </row>
    <row r="49" spans="1:84" ht="19.5" customHeight="1" x14ac:dyDescent="0.3">
      <c r="G49" s="144"/>
      <c r="I49" s="148"/>
      <c r="J49" s="378" t="s">
        <v>7420</v>
      </c>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210"/>
      <c r="AJ49" s="147"/>
      <c r="AK49" s="147"/>
      <c r="AL49" s="147"/>
    </row>
    <row r="50" spans="1:84" ht="19.5" customHeight="1" x14ac:dyDescent="0.3">
      <c r="G50" s="144"/>
      <c r="I50" s="307"/>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210"/>
      <c r="AJ50" s="147"/>
      <c r="AK50" s="147"/>
      <c r="AL50" s="147"/>
    </row>
    <row r="51" spans="1:84" ht="19.5" customHeight="1" x14ac:dyDescent="0.3">
      <c r="G51" s="144"/>
      <c r="I51" s="307" t="s">
        <v>7546</v>
      </c>
      <c r="J51" s="191">
        <f t="shared" ref="J51:AH51" si="14">100*J52/Baulandwidmung</f>
        <v>28.187755328206148</v>
      </c>
      <c r="K51" s="191">
        <f t="shared" si="14"/>
        <v>21.456539163956617</v>
      </c>
      <c r="L51" s="191">
        <f t="shared" si="14"/>
        <v>21.589582652832181</v>
      </c>
      <c r="M51" s="191">
        <f t="shared" si="14"/>
        <v>24.88366708729157</v>
      </c>
      <c r="N51" s="191">
        <f t="shared" si="14"/>
        <v>21.71708196500115</v>
      </c>
      <c r="O51" s="191">
        <f t="shared" si="14"/>
        <v>26.549244263502292</v>
      </c>
      <c r="P51" s="191">
        <f t="shared" si="14"/>
        <v>27.025011667207963</v>
      </c>
      <c r="Q51" s="191">
        <f t="shared" si="14"/>
        <v>23.220885879352174</v>
      </c>
      <c r="R51" s="191">
        <f t="shared" si="14"/>
        <v>24.452982110609398</v>
      </c>
      <c r="S51" s="191">
        <f t="shared" si="14"/>
        <v>25.302438376973431</v>
      </c>
      <c r="T51" s="191">
        <f t="shared" si="14"/>
        <v>27.88917829615745</v>
      </c>
      <c r="U51" s="191">
        <f t="shared" si="14"/>
        <v>25.384590122038944</v>
      </c>
      <c r="V51" s="191">
        <f t="shared" si="14"/>
        <v>25.613705597650778</v>
      </c>
      <c r="W51" s="191">
        <f t="shared" si="14"/>
        <v>23.20014795723834</v>
      </c>
      <c r="X51" s="191">
        <f t="shared" si="14"/>
        <v>21.418154469819076</v>
      </c>
      <c r="Y51" s="191">
        <f t="shared" si="14"/>
        <v>21.570947968647157</v>
      </c>
      <c r="Z51" s="191">
        <f t="shared" si="14"/>
        <v>20.992162316186022</v>
      </c>
      <c r="AA51" s="191">
        <f t="shared" si="14"/>
        <v>32.036485024504834</v>
      </c>
      <c r="AB51" s="191">
        <f t="shared" si="14"/>
        <v>21.093823408491087</v>
      </c>
      <c r="AC51" s="191">
        <f t="shared" si="14"/>
        <v>29.520365726157149</v>
      </c>
      <c r="AD51" s="191">
        <f t="shared" si="14"/>
        <v>36.719700243871031</v>
      </c>
      <c r="AE51" s="191">
        <f t="shared" si="14"/>
        <v>19.48237289339982</v>
      </c>
      <c r="AF51" s="191">
        <f t="shared" si="14"/>
        <v>24.200223757774964</v>
      </c>
      <c r="AG51" s="191">
        <f t="shared" si="14"/>
        <v>26.956202698226967</v>
      </c>
      <c r="AH51" s="191">
        <f t="shared" si="14"/>
        <v>23.818971891593208</v>
      </c>
      <c r="AI51" s="210"/>
      <c r="AJ51" s="147"/>
      <c r="AK51" s="147"/>
      <c r="AL51" s="147"/>
    </row>
    <row r="52" spans="1:84" ht="19.5" customHeight="1" x14ac:dyDescent="0.3">
      <c r="G52" s="144"/>
      <c r="I52" s="152" t="str">
        <f>"in " &amp; Einheit</f>
        <v>in km²</v>
      </c>
      <c r="J52" s="191">
        <f>Fak_1*1468.425683</f>
        <v>14.684256829999999</v>
      </c>
      <c r="K52" s="191">
        <f>Fak_1*1248.850762</f>
        <v>12.48850762</v>
      </c>
      <c r="L52" s="191">
        <f>Fak_1*1094.205439</f>
        <v>10.942054390000001</v>
      </c>
      <c r="M52" s="191">
        <f>Fak_1*665.669877</f>
        <v>6.6566987700000002</v>
      </c>
      <c r="N52" s="191">
        <f>Fak_1*1325.393703</f>
        <v>13.253937029999999</v>
      </c>
      <c r="O52" s="191">
        <f>Fak_1*1007.320915</f>
        <v>10.07320915</v>
      </c>
      <c r="P52" s="191">
        <f>Fak_1*657.51235</f>
        <v>6.5751235000000001</v>
      </c>
      <c r="Q52" s="191">
        <f>Fak_1*1084.060238</f>
        <v>10.84060238</v>
      </c>
      <c r="R52" s="191">
        <f>Fak_1*198.160978</f>
        <v>1.9816097800000001</v>
      </c>
      <c r="S52" s="191">
        <f>Fak_1*807.801266</f>
        <v>8.0780126600000006</v>
      </c>
      <c r="T52" s="191">
        <f>Fak_1*327.3685</f>
        <v>3.273685</v>
      </c>
      <c r="U52" s="191">
        <f>Fak_1*1038.352488</f>
        <v>10.38352488</v>
      </c>
      <c r="V52" s="191">
        <f>Fak_1*1323.53183</f>
        <v>13.235318299999999</v>
      </c>
      <c r="W52" s="191">
        <f>Fak_1*971.372387</f>
        <v>9.7137238700000008</v>
      </c>
      <c r="X52" s="191">
        <f>Fak_1*966.049417</f>
        <v>9.6604941699999998</v>
      </c>
      <c r="Y52" s="191">
        <f>Fak_1*1478.157935</f>
        <v>14.781579349999999</v>
      </c>
      <c r="Z52" s="191">
        <f>Fak_1*455.601545</f>
        <v>4.5560154500000003</v>
      </c>
      <c r="AA52" s="191">
        <f>Fak_1*562.45335</f>
        <v>5.6245335000000001</v>
      </c>
      <c r="AB52" s="191">
        <f>Fak_1*1167.75083</f>
        <v>11.6775083</v>
      </c>
      <c r="AC52" s="191">
        <f>Fak_1*593.995809</f>
        <v>5.9399580900000002</v>
      </c>
      <c r="AD52" s="191">
        <f>Fak_1*120.369555</f>
        <v>1.2036955500000002</v>
      </c>
      <c r="AE52" s="191">
        <f>Fak_1*881.062737</f>
        <v>8.8106273700000006</v>
      </c>
      <c r="AF52" s="191">
        <f>Fak_1*319.289091</f>
        <v>3.19289091</v>
      </c>
      <c r="AG52" s="191">
        <f>Fak_1*878.437661</f>
        <v>8.7843766100000007</v>
      </c>
      <c r="AH52" s="191">
        <f>Fak_1*20641.194345</f>
        <v>206.41194345</v>
      </c>
      <c r="AI52" s="210"/>
      <c r="AJ52" s="147"/>
      <c r="AK52" s="147"/>
      <c r="AL52" s="147"/>
    </row>
    <row r="53" spans="1:84" ht="19.5" customHeight="1" x14ac:dyDescent="0.3">
      <c r="G53" s="144"/>
      <c r="I53" s="148"/>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10"/>
      <c r="AJ53" s="147"/>
      <c r="AK53" s="147"/>
      <c r="AL53" s="147"/>
    </row>
    <row r="54" spans="1:84" s="144" customFormat="1" ht="74.25" customHeight="1" x14ac:dyDescent="0.6">
      <c r="B54" s="227"/>
      <c r="C54" s="228"/>
      <c r="D54" s="229"/>
      <c r="E54" s="244" t="s">
        <v>7408</v>
      </c>
      <c r="F54" s="188"/>
      <c r="G54" s="187"/>
      <c r="H54" s="187"/>
    </row>
    <row r="55" spans="1:84" ht="27" x14ac:dyDescent="0.3">
      <c r="A55" s="138">
        <f>+MATCH(Bezugsgroesse,{"absolut";"Bevölkerung";"Dauersiedlungsraum"})</f>
        <v>1</v>
      </c>
      <c r="B55" s="228" t="s">
        <v>7432</v>
      </c>
      <c r="C55" s="242" t="s">
        <v>161</v>
      </c>
      <c r="D55" s="231"/>
      <c r="E55" s="139"/>
      <c r="F55" s="137"/>
      <c r="G55" s="137"/>
      <c r="H55" s="178"/>
      <c r="I55" s="369" t="str">
        <f xml:space="preserve"> "Flächeninanspruchnahme " &amp; IF(Versatz = 1, "in "&amp;NÖ!Einheit, IF(Versatz = 2, "in m² pro Einwohner:in", "in Prozent des Dauersiedlungsraums"))</f>
        <v>Flächeninanspruchnahme in km²</v>
      </c>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row>
    <row r="56" spans="1:84" x14ac:dyDescent="0.3">
      <c r="F56" s="181"/>
      <c r="G56" s="137"/>
      <c r="H56" s="178"/>
      <c r="I56" s="180"/>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6"/>
    </row>
    <row r="57" spans="1:84" hidden="1" x14ac:dyDescent="0.3">
      <c r="F57" s="137"/>
      <c r="G57" s="137"/>
      <c r="H57" s="178" t="s">
        <v>7532</v>
      </c>
      <c r="I57" s="180"/>
      <c r="J57" s="137">
        <f t="shared" ref="J57:AG57" si="15">IF(Versatz = 1, Fak_Einheit, IF(Versatz = 2, 10000/J59, 100*Fak_Einheit/J60))</f>
        <v>0.01</v>
      </c>
      <c r="K57" s="137">
        <f t="shared" si="15"/>
        <v>0.01</v>
      </c>
      <c r="L57" s="137">
        <f t="shared" si="15"/>
        <v>0.01</v>
      </c>
      <c r="M57" s="137">
        <f t="shared" si="15"/>
        <v>0.01</v>
      </c>
      <c r="N57" s="137">
        <f t="shared" si="15"/>
        <v>0.01</v>
      </c>
      <c r="O57" s="137">
        <f t="shared" si="15"/>
        <v>0.01</v>
      </c>
      <c r="P57" s="137">
        <f t="shared" si="15"/>
        <v>0.01</v>
      </c>
      <c r="Q57" s="137">
        <f t="shared" si="15"/>
        <v>0.01</v>
      </c>
      <c r="R57" s="137">
        <f t="shared" si="15"/>
        <v>0.01</v>
      </c>
      <c r="S57" s="137">
        <f t="shared" si="15"/>
        <v>0.01</v>
      </c>
      <c r="T57" s="137">
        <f t="shared" si="15"/>
        <v>0.01</v>
      </c>
      <c r="U57" s="137">
        <f t="shared" si="15"/>
        <v>0.01</v>
      </c>
      <c r="V57" s="137">
        <f t="shared" si="15"/>
        <v>0.01</v>
      </c>
      <c r="W57" s="137">
        <f t="shared" si="15"/>
        <v>0.01</v>
      </c>
      <c r="X57" s="137">
        <f t="shared" si="15"/>
        <v>0.01</v>
      </c>
      <c r="Y57" s="137">
        <f t="shared" si="15"/>
        <v>0.01</v>
      </c>
      <c r="Z57" s="137">
        <f t="shared" si="15"/>
        <v>0.01</v>
      </c>
      <c r="AA57" s="137">
        <f t="shared" si="15"/>
        <v>0.01</v>
      </c>
      <c r="AB57" s="137">
        <f t="shared" si="15"/>
        <v>0.01</v>
      </c>
      <c r="AC57" s="137">
        <f t="shared" si="15"/>
        <v>0.01</v>
      </c>
      <c r="AD57" s="137">
        <f t="shared" si="15"/>
        <v>0.01</v>
      </c>
      <c r="AE57" s="137">
        <f t="shared" si="15"/>
        <v>0.01</v>
      </c>
      <c r="AF57" s="137">
        <f t="shared" si="15"/>
        <v>0.01</v>
      </c>
      <c r="AG57" s="137">
        <f t="shared" si="15"/>
        <v>0.01</v>
      </c>
      <c r="AH57" s="137">
        <f t="shared" ref="AH57" si="16">IF(Versatz = 1, Fak_Einheit, IF(Versatz = 2, 10000/AH59, 100*Fak_Einheit/AH60))</f>
        <v>0.01</v>
      </c>
      <c r="AI57" s="137"/>
      <c r="AJ57" s="137"/>
      <c r="AK57" s="136"/>
    </row>
    <row r="58" spans="1:84" hidden="1" x14ac:dyDescent="0.3">
      <c r="F58" s="137"/>
      <c r="G58" s="137"/>
      <c r="H58" s="178" t="s">
        <v>7531</v>
      </c>
      <c r="I58" s="180"/>
      <c r="J58" s="137">
        <v>1</v>
      </c>
      <c r="K58" s="137">
        <v>1</v>
      </c>
      <c r="L58" s="137">
        <v>1</v>
      </c>
      <c r="M58" s="137">
        <v>1</v>
      </c>
      <c r="N58" s="137">
        <v>1</v>
      </c>
      <c r="O58" s="137">
        <v>1</v>
      </c>
      <c r="P58" s="137">
        <v>1</v>
      </c>
      <c r="Q58" s="137">
        <v>1</v>
      </c>
      <c r="R58" s="137">
        <v>1</v>
      </c>
      <c r="S58" s="137">
        <v>1</v>
      </c>
      <c r="T58" s="137">
        <v>1</v>
      </c>
      <c r="U58" s="137">
        <v>1</v>
      </c>
      <c r="V58" s="137">
        <v>1</v>
      </c>
      <c r="W58" s="137">
        <v>1</v>
      </c>
      <c r="X58" s="137">
        <v>1</v>
      </c>
      <c r="Y58" s="137">
        <v>1</v>
      </c>
      <c r="Z58" s="137">
        <v>1</v>
      </c>
      <c r="AA58" s="137">
        <v>1</v>
      </c>
      <c r="AB58" s="137">
        <v>1</v>
      </c>
      <c r="AC58" s="137">
        <v>1</v>
      </c>
      <c r="AD58" s="137">
        <v>1</v>
      </c>
      <c r="AE58" s="137">
        <v>1</v>
      </c>
      <c r="AF58" s="137">
        <v>1</v>
      </c>
      <c r="AG58" s="137">
        <v>1</v>
      </c>
      <c r="AH58" s="137">
        <v>1</v>
      </c>
      <c r="AI58" s="137"/>
      <c r="AJ58" s="137"/>
      <c r="AK58" s="136"/>
    </row>
    <row r="59" spans="1:84" x14ac:dyDescent="0.3">
      <c r="F59" s="149"/>
      <c r="G59" s="149"/>
      <c r="H59" s="192" t="s">
        <v>159</v>
      </c>
      <c r="I59" s="154"/>
      <c r="J59" s="193">
        <v>116984</v>
      </c>
      <c r="K59" s="193">
        <v>147850</v>
      </c>
      <c r="L59" s="193">
        <v>106636</v>
      </c>
      <c r="M59" s="193">
        <v>36085</v>
      </c>
      <c r="N59" s="193">
        <v>106846</v>
      </c>
      <c r="O59" s="193">
        <v>51646</v>
      </c>
      <c r="P59" s="193">
        <v>30790</v>
      </c>
      <c r="Q59" s="193">
        <v>91982</v>
      </c>
      <c r="R59" s="193">
        <v>24921</v>
      </c>
      <c r="S59" s="193">
        <v>56612</v>
      </c>
      <c r="T59" s="193">
        <v>25402</v>
      </c>
      <c r="U59" s="193">
        <v>78505</v>
      </c>
      <c r="V59" s="193">
        <v>76073</v>
      </c>
      <c r="W59" s="193">
        <v>119627</v>
      </c>
      <c r="X59" s="193">
        <v>86499</v>
      </c>
      <c r="Y59" s="193">
        <v>132605</v>
      </c>
      <c r="Z59" s="193">
        <v>56360</v>
      </c>
      <c r="AA59" s="193">
        <v>41583</v>
      </c>
      <c r="AB59" s="193">
        <v>106827</v>
      </c>
      <c r="AC59" s="193">
        <v>25511</v>
      </c>
      <c r="AD59" s="193">
        <v>11092</v>
      </c>
      <c r="AE59" s="193">
        <v>79523</v>
      </c>
      <c r="AF59" s="193">
        <v>47106</v>
      </c>
      <c r="AG59" s="193">
        <v>41731</v>
      </c>
      <c r="AH59" s="193">
        <v>1698796</v>
      </c>
      <c r="AI59" s="194" t="s">
        <v>163</v>
      </c>
      <c r="AJ59" s="194"/>
      <c r="AK59" s="195"/>
      <c r="AL59" s="147"/>
      <c r="AM59" s="147"/>
    </row>
    <row r="60" spans="1:84" x14ac:dyDescent="0.3">
      <c r="F60" s="150"/>
      <c r="G60" s="150"/>
      <c r="H60" s="192" t="s">
        <v>171</v>
      </c>
      <c r="I60" s="154"/>
      <c r="J60" s="193">
        <f>79040.9759855705*(+NÖ!Fak_Einheit)</f>
        <v>790.40975985570503</v>
      </c>
      <c r="K60" s="193">
        <f>39414.1486711951*(+NÖ!Fak_Einheit)</f>
        <v>394.14148671195102</v>
      </c>
      <c r="L60" s="193">
        <f>56209.9754482511*(+NÖ!Fak_Einheit)</f>
        <v>562.099754482511</v>
      </c>
      <c r="M60" s="193">
        <f>38718.4293555209*(+NÖ!Fak_Einheit)</f>
        <v>387.18429355520902</v>
      </c>
      <c r="N60" s="193">
        <f>110409.308409558*(+NÖ!Fak_Einheit)</f>
        <v>1104.09308409558</v>
      </c>
      <c r="O60" s="193">
        <f>80805.3859263738*(+NÖ!Fak_Einheit)</f>
        <v>808.05385926373799</v>
      </c>
      <c r="P60" s="193">
        <f>56565.1736771194*(+NÖ!Fak_Einheit)</f>
        <v>565.65173677119401</v>
      </c>
      <c r="Q60" s="193">
        <f>53942.6544392965*(+NÖ!Fak_Einheit)</f>
        <v>539.42654439296507</v>
      </c>
      <c r="R60" s="193">
        <f>3157.5270574855*(+NÖ!Fak_Einheit)</f>
        <v>31.575270574855001</v>
      </c>
      <c r="S60" s="193">
        <f>47831.4595309184*(+NÖ!Fak_Einheit)</f>
        <v>478.31459530918403</v>
      </c>
      <c r="T60" s="193">
        <f>17954.5245495729*(+NÖ!Fak_Einheit)</f>
        <v>179.54524549572901</v>
      </c>
      <c r="U60" s="193">
        <f>60218.2427310766*(+NÖ!Fak_Einheit)</f>
        <v>602.182427310766</v>
      </c>
      <c r="V60" s="193">
        <f>110946.4880061*(+NÖ!Fak_Einheit)</f>
        <v>1109.464880061</v>
      </c>
      <c r="W60" s="193">
        <f>17397.0864480231*(+NÖ!Fak_Einheit)</f>
        <v>173.970864480231</v>
      </c>
      <c r="X60" s="193">
        <f>37562.8997545758*(+NÖ!Fak_Einheit)</f>
        <v>375.62899754575801</v>
      </c>
      <c r="Y60" s="193">
        <f>76854.6265778958*(+NÖ!Fak_Einheit)</f>
        <v>768.54626577895806</v>
      </c>
      <c r="Z60" s="193">
        <f>9337.8253701096*(+NÖ!Fak_Einheit)</f>
        <v>93.378253701096</v>
      </c>
      <c r="AA60" s="193">
        <f>36517.8704159333*(+NÖ!Fak_Einheit)</f>
        <v>365.17870415933299</v>
      </c>
      <c r="AB60" s="193">
        <f>51968.9173374397*(+NÖ!Fak_Einheit)</f>
        <v>519.689173374397</v>
      </c>
      <c r="AC60" s="193">
        <f>47461.7996785316*(+NÖ!Fak_Einheit)</f>
        <v>474.617996785316</v>
      </c>
      <c r="AD60" s="193">
        <f>7259.110902982*(+NÖ!Fak_Einheit)</f>
        <v>72.591109029820004</v>
      </c>
      <c r="AE60" s="193">
        <f>40421.7686238566*(+NÖ!Fak_Einheit)</f>
        <v>404.21768623856605</v>
      </c>
      <c r="AF60" s="193">
        <f>4457.9787806059*(+NÖ!Fak_Einheit)</f>
        <v>44.579787806059002</v>
      </c>
      <c r="AG60" s="193">
        <f>77107.3316696929*(+NÖ!Fak_Einheit)</f>
        <v>771.07331669692894</v>
      </c>
      <c r="AH60" s="193">
        <v>1161561.5093476849</v>
      </c>
      <c r="AI60" s="194" t="str">
        <f t="shared" ref="AI60" si="17">Einheit</f>
        <v>km²</v>
      </c>
      <c r="AJ60" s="194"/>
      <c r="AK60" s="195"/>
      <c r="AL60" s="147"/>
      <c r="AM60" s="147"/>
    </row>
    <row r="61" spans="1:84" x14ac:dyDescent="0.3">
      <c r="F61" s="150"/>
      <c r="G61" s="150"/>
      <c r="H61" s="192"/>
      <c r="I61" s="154"/>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4"/>
      <c r="AJ61" s="194"/>
      <c r="AK61" s="195"/>
      <c r="AL61" s="147"/>
      <c r="AM61" s="147"/>
    </row>
    <row r="62" spans="1:84" s="144" customFormat="1" ht="112.5" customHeight="1" x14ac:dyDescent="0.4">
      <c r="B62" s="227"/>
      <c r="C62" s="228"/>
      <c r="D62" s="229"/>
      <c r="E62" s="131"/>
      <c r="F62" s="210"/>
      <c r="G62" s="196"/>
      <c r="H62" s="210"/>
      <c r="I62" s="148"/>
      <c r="J62" s="278" t="str">
        <f t="shared" ref="J62:AH62" si="18">+J24</f>
        <v>Amstetten</v>
      </c>
      <c r="K62" s="278" t="str">
        <f t="shared" si="18"/>
        <v>Baden</v>
      </c>
      <c r="L62" s="278" t="str">
        <f t="shared" si="18"/>
        <v>Bruck an der Leitha</v>
      </c>
      <c r="M62" s="278" t="str">
        <f t="shared" si="18"/>
        <v>Gmünd</v>
      </c>
      <c r="N62" s="278" t="str">
        <f t="shared" si="18"/>
        <v>Gänserndorf</v>
      </c>
      <c r="O62" s="278" t="str">
        <f t="shared" si="18"/>
        <v>Hollabrunn</v>
      </c>
      <c r="P62" s="278" t="str">
        <f t="shared" si="18"/>
        <v>Horn</v>
      </c>
      <c r="Q62" s="278" t="str">
        <f t="shared" si="18"/>
        <v>Korneuburg</v>
      </c>
      <c r="R62" s="278" t="str">
        <f t="shared" si="18"/>
        <v>Krems an der Donau(Stadt)</v>
      </c>
      <c r="S62" s="278" t="str">
        <f t="shared" si="18"/>
        <v>Krems(Land)</v>
      </c>
      <c r="T62" s="278" t="str">
        <f t="shared" si="18"/>
        <v>Lilienfeld</v>
      </c>
      <c r="U62" s="278" t="str">
        <f t="shared" si="18"/>
        <v>Melk</v>
      </c>
      <c r="V62" s="278" t="str">
        <f t="shared" si="18"/>
        <v>Mistelbach</v>
      </c>
      <c r="W62" s="278" t="str">
        <f t="shared" si="18"/>
        <v>Mödling</v>
      </c>
      <c r="X62" s="278" t="str">
        <f t="shared" si="18"/>
        <v>Neunkirchen</v>
      </c>
      <c r="Y62" s="278" t="str">
        <f t="shared" si="18"/>
        <v>Sankt Pölten(Land)</v>
      </c>
      <c r="Z62" s="278" t="str">
        <f t="shared" si="18"/>
        <v>Sankt Pölten(Stadt)</v>
      </c>
      <c r="AA62" s="278" t="str">
        <f t="shared" si="18"/>
        <v>Scheibbs</v>
      </c>
      <c r="AB62" s="278" t="str">
        <f t="shared" si="18"/>
        <v>Tulln</v>
      </c>
      <c r="AC62" s="278" t="str">
        <f t="shared" si="18"/>
        <v>Waidhofen an der Thaya</v>
      </c>
      <c r="AD62" s="278" t="str">
        <f t="shared" si="18"/>
        <v>Waidhofen an der Ybbs(Stadt)</v>
      </c>
      <c r="AE62" s="278" t="str">
        <f t="shared" si="18"/>
        <v>Wiener Neustadt(Land)</v>
      </c>
      <c r="AF62" s="278" t="str">
        <f t="shared" si="18"/>
        <v>Wiener Neustadt(Stadt)</v>
      </c>
      <c r="AG62" s="278" t="str">
        <f t="shared" si="18"/>
        <v>Zwettl</v>
      </c>
      <c r="AH62" s="279" t="str">
        <f t="shared" si="18"/>
        <v>NÖ</v>
      </c>
      <c r="AI62" s="211"/>
      <c r="AJ62" s="210"/>
      <c r="AK62" s="210"/>
      <c r="AL62" s="210"/>
      <c r="AM62" s="210"/>
    </row>
    <row r="63" spans="1:84" s="144" customFormat="1" ht="24" customHeight="1" x14ac:dyDescent="0.25">
      <c r="B63" s="227"/>
      <c r="C63" s="228"/>
      <c r="D63" s="229"/>
      <c r="E63" s="131"/>
      <c r="F63" s="198" t="s">
        <v>25</v>
      </c>
      <c r="G63" s="196">
        <v>101</v>
      </c>
      <c r="H63" s="148" t="str">
        <f>+VLOOKUP($G63,Konstanten!$A$2:$B$15,2,FALSE)</f>
        <v>Autobahn u. Schnellstraße</v>
      </c>
      <c r="I63" s="148"/>
      <c r="J63" s="267">
        <f>Fak_3*267.062378385902</f>
        <v>2.6706237838590199</v>
      </c>
      <c r="K63" s="267">
        <f>Fak_3*302.72977493199</f>
        <v>3.0272977493198998</v>
      </c>
      <c r="L63" s="267">
        <f>Fak_3*291.906009359917</f>
        <v>2.9190600935991702</v>
      </c>
      <c r="M63" s="267">
        <f>Fak_3*0</f>
        <v>0</v>
      </c>
      <c r="N63" s="267">
        <f>Fak_3*29.0900544787842</f>
        <v>0.290900544787842</v>
      </c>
      <c r="O63" s="267">
        <f>Fak_3*57.2790128675499</f>
        <v>0.57279012867549906</v>
      </c>
      <c r="P63" s="267">
        <f>Fak_3*0</f>
        <v>0</v>
      </c>
      <c r="Q63" s="267">
        <f>Fak_3*270.358934810865</f>
        <v>2.7035893481086499</v>
      </c>
      <c r="R63" s="267">
        <f>Fak_3*26.6741399643684</f>
        <v>0.26674139964368399</v>
      </c>
      <c r="S63" s="267">
        <f>Fak_3*31.263771516149</f>
        <v>0.31263771516149003</v>
      </c>
      <c r="T63" s="267">
        <f>Fak_3*0</f>
        <v>0</v>
      </c>
      <c r="U63" s="267">
        <f>Fak_3*264.036278282582</f>
        <v>2.6403627828258198</v>
      </c>
      <c r="V63" s="267">
        <f>Fak_3*238.752628646075</f>
        <v>2.38752628646075</v>
      </c>
      <c r="W63" s="267">
        <f>Fak_3*290.121236073857</f>
        <v>2.9012123607385703</v>
      </c>
      <c r="X63" s="267">
        <f>Fak_3*255.839296232823</f>
        <v>2.55839296232823</v>
      </c>
      <c r="Y63" s="267">
        <f>Fak_3*416.766746052812</f>
        <v>4.1676674605281203</v>
      </c>
      <c r="Z63" s="267">
        <f>Fak_3*124.969734244468</f>
        <v>1.24969734244468</v>
      </c>
      <c r="AA63" s="267">
        <f>Fak_3*0</f>
        <v>0</v>
      </c>
      <c r="AB63" s="267">
        <f>Fak_3*140.818033348309</f>
        <v>1.40818033348309</v>
      </c>
      <c r="AC63" s="267">
        <f>Fak_3*0</f>
        <v>0</v>
      </c>
      <c r="AD63" s="267">
        <f>Fak_3*0</f>
        <v>0</v>
      </c>
      <c r="AE63" s="267">
        <f>Fak_3*80.222871390987</f>
        <v>0.80222871390986994</v>
      </c>
      <c r="AF63" s="267">
        <f>Fak_3*70.9557641801704</f>
        <v>0.70955764180170411</v>
      </c>
      <c r="AG63" s="267">
        <f>Fak_3*0</f>
        <v>0</v>
      </c>
      <c r="AH63" s="267">
        <f>Fak_3*3158.84666476761</f>
        <v>31.5884666476761</v>
      </c>
      <c r="AI63" s="213"/>
      <c r="AJ63" s="220">
        <f t="shared" ref="AJ63:AJ76" si="19">+BS63/BR63</f>
        <v>0.62529156358129656</v>
      </c>
      <c r="AK63" s="367" t="s">
        <v>7527</v>
      </c>
      <c r="AM63" s="210"/>
      <c r="BR63" s="144">
        <v>110.40250823890199</v>
      </c>
      <c r="BS63" s="144">
        <v>69.033756999999994</v>
      </c>
      <c r="BT63" s="144">
        <f>+BR63-BS63</f>
        <v>41.368751238901993</v>
      </c>
      <c r="CE63" s="214"/>
      <c r="CF63" s="214"/>
    </row>
    <row r="64" spans="1:84" s="144" customFormat="1" ht="24" customHeight="1" x14ac:dyDescent="0.25">
      <c r="B64" s="227"/>
      <c r="C64" s="228"/>
      <c r="D64" s="229"/>
      <c r="E64" s="131"/>
      <c r="F64" s="198"/>
      <c r="G64" s="196">
        <v>102</v>
      </c>
      <c r="H64" s="148" t="str">
        <f>+VLOOKUP($G64,Konstanten!$A$2:$B$15,2,FALSE)</f>
        <v>Landesstraße B + L</v>
      </c>
      <c r="I64" s="148"/>
      <c r="J64" s="267">
        <f>Fak_3*1191.47147514681</f>
        <v>11.9147147514681</v>
      </c>
      <c r="K64" s="267">
        <f>Fak_3*534.161407411099</f>
        <v>5.341614074110991</v>
      </c>
      <c r="L64" s="267">
        <f>Fak_3*564.161653875931</f>
        <v>5.6416165387593109</v>
      </c>
      <c r="M64" s="267">
        <f>Fak_3*688.074295846735</f>
        <v>6.8807429584673505</v>
      </c>
      <c r="N64" s="267">
        <f>Fak_3*925.452581909062</f>
        <v>9.2545258190906203</v>
      </c>
      <c r="O64" s="267">
        <f>Fak_3*923.951258219833</f>
        <v>9.2395125821983299</v>
      </c>
      <c r="P64" s="267">
        <f>Fak_3*916.382370889206</f>
        <v>9.1638237088920604</v>
      </c>
      <c r="Q64" s="267">
        <f>Fak_3*632.363614797492</f>
        <v>6.3236361479749199</v>
      </c>
      <c r="R64" s="267">
        <f>Fak_3*119.070700979979</f>
        <v>1.1907070097997901</v>
      </c>
      <c r="S64" s="267">
        <f>Fak_3*956.883412917376</f>
        <v>9.5688341291737604</v>
      </c>
      <c r="T64" s="267">
        <f>Fak_3*327.434760211648</f>
        <v>3.2743476021164799</v>
      </c>
      <c r="U64" s="267">
        <f>Fak_3*1149.42104957378</f>
        <v>11.4942104957378</v>
      </c>
      <c r="V64" s="267">
        <f>Fak_3*1005.47535259834</f>
        <v>10.054753525983401</v>
      </c>
      <c r="W64" s="267">
        <f>Fak_3*277.195262054863</f>
        <v>2.77195262054863</v>
      </c>
      <c r="X64" s="267">
        <f>Fak_3*655.781651006853</f>
        <v>6.5578165100685304</v>
      </c>
      <c r="Y64" s="267">
        <f>Fak_3*1060.14267278205</f>
        <v>10.601426727820501</v>
      </c>
      <c r="Z64" s="267">
        <f>Fak_3*148.901864424041</f>
        <v>1.4890186442404101</v>
      </c>
      <c r="AA64" s="267">
        <f>Fak_3*461.705448941398</f>
        <v>4.61705448941398</v>
      </c>
      <c r="AB64" s="267">
        <f>Fak_3*684.985479698931</f>
        <v>6.8498547969893107</v>
      </c>
      <c r="AC64" s="267">
        <f>Fak_3*728.441730522814</f>
        <v>7.2844173052281409</v>
      </c>
      <c r="AD64" s="267">
        <f>Fak_3*72.9265547999424</f>
        <v>0.729265547999424</v>
      </c>
      <c r="AE64" s="267">
        <f>Fak_3*551.161430181077</f>
        <v>5.5116143018107699</v>
      </c>
      <c r="AF64" s="267">
        <f>Fak_3*353.799940332944</f>
        <v>3.5379994033294402</v>
      </c>
      <c r="AG64" s="267">
        <f>Fak_3*1085.49146321339</f>
        <v>10.8549146321339</v>
      </c>
      <c r="AH64" s="267">
        <f>Fak_3*16014.8374323356</f>
        <v>160.14837432335599</v>
      </c>
      <c r="AI64" s="213"/>
      <c r="AJ64" s="220">
        <f t="shared" si="19"/>
        <v>0.74842676287368548</v>
      </c>
      <c r="AK64" s="367"/>
      <c r="AM64" s="210"/>
      <c r="BR64" s="144">
        <v>429.83434045676199</v>
      </c>
      <c r="BS64" s="144">
        <v>321.699524</v>
      </c>
      <c r="BT64" s="144">
        <f t="shared" ref="BT64:BT76" si="20">+BR64-BS64</f>
        <v>108.134816456762</v>
      </c>
      <c r="CE64" s="214"/>
      <c r="CF64" s="214"/>
    </row>
    <row r="65" spans="2:128" s="144" customFormat="1" ht="24" customHeight="1" x14ac:dyDescent="0.25">
      <c r="B65" s="227"/>
      <c r="C65" s="228"/>
      <c r="D65" s="229"/>
      <c r="E65" s="131"/>
      <c r="F65" s="198"/>
      <c r="G65" s="196">
        <v>103</v>
      </c>
      <c r="H65" s="148" t="str">
        <f>+VLOOKUP($G65,Konstanten!$A$2:$B$15,2,FALSE)</f>
        <v>Gemeinde- und sonstige Straßen</v>
      </c>
      <c r="I65" s="148"/>
      <c r="J65" s="267">
        <f>Fak_3*1534.47495000069</f>
        <v>15.344749500006898</v>
      </c>
      <c r="K65" s="267">
        <f>Fak_3*1394.65752152076</f>
        <v>13.9465752152076</v>
      </c>
      <c r="L65" s="267">
        <f>Fak_3*2618.24673679168</f>
        <v>26.182467367916804</v>
      </c>
      <c r="M65" s="267">
        <f>Fak_3*818.268303672604</f>
        <v>8.1826830367260399</v>
      </c>
      <c r="N65" s="267">
        <f>Fak_3*2870.27241721453</f>
        <v>28.702724172145299</v>
      </c>
      <c r="O65" s="267">
        <f>Fak_3*2039.57030961872</f>
        <v>20.395703096187201</v>
      </c>
      <c r="P65" s="267">
        <f>Fak_3*1231.83141961956</f>
        <v>12.318314196195599</v>
      </c>
      <c r="Q65" s="267">
        <f>Fak_3*1732.56395518697</f>
        <v>17.325639551869699</v>
      </c>
      <c r="R65" s="267">
        <f>Fak_3*167.536741517929</f>
        <v>1.6753674151792899</v>
      </c>
      <c r="S65" s="267">
        <f>Fak_3*1166.82836966619</f>
        <v>11.6682836966619</v>
      </c>
      <c r="T65" s="267">
        <f>Fak_3*477.608409824526</f>
        <v>4.7760840982452599</v>
      </c>
      <c r="U65" s="267">
        <f>Fak_3*1334.52397485086</f>
        <v>13.3452397485086</v>
      </c>
      <c r="V65" s="267">
        <f>Fak_3*3143.31282015779</f>
        <v>31.433128201577901</v>
      </c>
      <c r="W65" s="267">
        <f>Fak_3*769.3113915209</f>
        <v>7.6931139152089996</v>
      </c>
      <c r="X65" s="267">
        <f>Fak_3*1283.3233540342</f>
        <v>12.833233540342</v>
      </c>
      <c r="Y65" s="267">
        <f>Fak_3*2028.11471124999</f>
        <v>20.281147112499902</v>
      </c>
      <c r="Z65" s="267">
        <f>Fak_3*529.488802548567</f>
        <v>5.2948880254856707</v>
      </c>
      <c r="AA65" s="267">
        <f>Fak_3*849.199768866512</f>
        <v>8.4919976886651209</v>
      </c>
      <c r="AB65" s="267">
        <f>Fak_3*1857.58585236871</f>
        <v>18.575858523687099</v>
      </c>
      <c r="AC65" s="267">
        <f>Fak_3*1014.46208916151</f>
        <v>10.1446208916151</v>
      </c>
      <c r="AD65" s="267">
        <f>Fak_3*163.93666298633</f>
        <v>1.6393666298633001</v>
      </c>
      <c r="AE65" s="267">
        <f>Fak_3*1204.24563535664</f>
        <v>12.042456353566399</v>
      </c>
      <c r="AF65" s="267">
        <f>Fak_3*375.523446905588</f>
        <v>3.7552344690558801</v>
      </c>
      <c r="AG65" s="267">
        <f>Fak_3*1518.76814554848</f>
        <v>15.187681455484801</v>
      </c>
      <c r="AH65" s="267">
        <f>Fak_3*32123.6557901902</f>
        <v>321.23655790190202</v>
      </c>
      <c r="AI65" s="213"/>
      <c r="AJ65" s="220">
        <f t="shared" si="19"/>
        <v>0.77800703868448506</v>
      </c>
      <c r="AK65" s="367"/>
      <c r="AM65" s="210"/>
      <c r="BR65" s="144">
        <v>1051.88642686803</v>
      </c>
      <c r="BS65" s="144">
        <v>818.37504400000012</v>
      </c>
      <c r="BT65" s="144">
        <f t="shared" si="20"/>
        <v>233.51138286802984</v>
      </c>
      <c r="CE65" s="214"/>
      <c r="CF65" s="214"/>
    </row>
    <row r="66" spans="2:128" s="144" customFormat="1" ht="24" customHeight="1" x14ac:dyDescent="0.25">
      <c r="B66" s="227"/>
      <c r="C66" s="228"/>
      <c r="D66" s="229"/>
      <c r="E66" s="131"/>
      <c r="F66" s="198"/>
      <c r="G66" s="196">
        <v>104</v>
      </c>
      <c r="H66" s="148" t="str">
        <f>+VLOOKUP($G66,Konstanten!$A$2:$B$15,2,FALSE)</f>
        <v>Schiene</v>
      </c>
      <c r="I66" s="148"/>
      <c r="J66" s="267">
        <f>Fak_3*320.762054809098</f>
        <v>3.2076205480909801</v>
      </c>
      <c r="K66" s="267">
        <f>Fak_3*178.037666820066</f>
        <v>1.7803766682006599</v>
      </c>
      <c r="L66" s="267">
        <f>Fak_3*272.333307169926</f>
        <v>2.7233330716992601</v>
      </c>
      <c r="M66" s="267">
        <f>Fak_3*106.082910142473</f>
        <v>1.06082910142473</v>
      </c>
      <c r="N66" s="267">
        <f>Fak_3*448.339927896769</f>
        <v>4.4833992789676902</v>
      </c>
      <c r="O66" s="267">
        <f>Fak_3*207.166365593032</f>
        <v>2.0716636559303199</v>
      </c>
      <c r="P66" s="267">
        <f>Fak_3*179.885706676846</f>
        <v>1.7988570667684602</v>
      </c>
      <c r="Q66" s="267">
        <f>Fak_3*185.024691454629</f>
        <v>1.8502469145462899</v>
      </c>
      <c r="R66" s="267">
        <f>Fak_3*26.7928300867177</f>
        <v>0.267928300867177</v>
      </c>
      <c r="S66" s="267">
        <f>Fak_3*99.4130078069211</f>
        <v>0.99413007806921105</v>
      </c>
      <c r="T66" s="267">
        <f>Fak_3*87.1140791602633</f>
        <v>0.87114079160263302</v>
      </c>
      <c r="U66" s="267">
        <f>Fak_3*260.293415738243</f>
        <v>2.6029341573824305</v>
      </c>
      <c r="V66" s="267">
        <f>Fak_3*265.100659179591</f>
        <v>2.6510065917959098</v>
      </c>
      <c r="W66" s="267">
        <f>Fak_3*127.958752058879</f>
        <v>1.2795875205887901</v>
      </c>
      <c r="X66" s="267">
        <f>Fak_3*211.370455326351</f>
        <v>2.1137045532635099</v>
      </c>
      <c r="Y66" s="267">
        <f>Fak_3*320.889451061992</f>
        <v>3.2088945106199205</v>
      </c>
      <c r="Z66" s="267">
        <f>Fak_3*160.904427797637</f>
        <v>1.6090442779763701</v>
      </c>
      <c r="AA66" s="267">
        <f>Fak_3*90.408539142602</f>
        <v>0.90408539142601996</v>
      </c>
      <c r="AB66" s="267">
        <f>Fak_3*343.2704823001</f>
        <v>3.432704823001</v>
      </c>
      <c r="AC66" s="267">
        <f>Fak_3*45.7427951200324</f>
        <v>0.45742795120032398</v>
      </c>
      <c r="AD66" s="267">
        <f>Fak_3*29.7789203582696</f>
        <v>0.297789203582696</v>
      </c>
      <c r="AE66" s="267">
        <f>Fak_3*145.11899650489</f>
        <v>1.4511899650489</v>
      </c>
      <c r="AF66" s="267">
        <f>Fak_3*74.4892576477607</f>
        <v>0.74489257647760698</v>
      </c>
      <c r="AG66" s="267">
        <f>Fak_3*133.181701295047</f>
        <v>1.3318170129504698</v>
      </c>
      <c r="AH66" s="267">
        <f>Fak_3*4319.46040114814</f>
        <v>43.194604011481395</v>
      </c>
      <c r="AI66" s="213"/>
      <c r="AJ66" s="220">
        <f t="shared" si="19"/>
        <v>0.50588581842325953</v>
      </c>
      <c r="AK66" s="367"/>
      <c r="AM66" s="210"/>
      <c r="BR66" s="144">
        <v>127.56757285891301</v>
      </c>
      <c r="BS66" s="144">
        <v>64.534626000000003</v>
      </c>
      <c r="BT66" s="144">
        <f t="shared" si="20"/>
        <v>63.032946858913007</v>
      </c>
      <c r="CE66" s="214"/>
      <c r="CF66" s="214"/>
    </row>
    <row r="67" spans="2:128" s="144" customFormat="1" ht="24" customHeight="1" x14ac:dyDescent="0.25">
      <c r="B67" s="227"/>
      <c r="C67" s="228"/>
      <c r="D67" s="229"/>
      <c r="E67" s="131"/>
      <c r="F67" s="200"/>
      <c r="G67" s="215"/>
      <c r="H67" s="216"/>
      <c r="I67" s="217" t="s">
        <v>7535</v>
      </c>
      <c r="J67" s="268">
        <f>Fak_3*3313.7708583425</f>
        <v>33.137708583425002</v>
      </c>
      <c r="K67" s="268">
        <f>Fak_3*2409.58637068391</f>
        <v>24.095863706839101</v>
      </c>
      <c r="L67" s="268">
        <f>Fak_3*3746.64770719745</f>
        <v>37.466477071974502</v>
      </c>
      <c r="M67" s="268">
        <f>Fak_3*1612.42550966181</f>
        <v>16.1242550966181</v>
      </c>
      <c r="N67" s="268">
        <f>Fak_3*4273.15498149914</f>
        <v>42.731549814991403</v>
      </c>
      <c r="O67" s="268">
        <f>Fak_3*3227.96694629913</f>
        <v>32.279669462991301</v>
      </c>
      <c r="P67" s="268">
        <f>Fak_3*2328.09949718561</f>
        <v>23.280994971856099</v>
      </c>
      <c r="Q67" s="268">
        <f>Fak_3*2820.31119624996</f>
        <v>28.203111962499602</v>
      </c>
      <c r="R67" s="268">
        <f>Fak_3*340.074412548994</f>
        <v>3.4007441254899402</v>
      </c>
      <c r="S67" s="268">
        <f>Fak_3*2254.38856190664</f>
        <v>22.543885619066401</v>
      </c>
      <c r="T67" s="268">
        <f>Fak_3*892.157249196437</f>
        <v>8.9215724919643691</v>
      </c>
      <c r="U67" s="268">
        <f>Fak_3*3008.27471844547</f>
        <v>30.082747184454703</v>
      </c>
      <c r="V67" s="268">
        <f>Fak_3*4652.6414605818</f>
        <v>46.526414605817997</v>
      </c>
      <c r="W67" s="268">
        <f>Fak_3*1464.5866417085</f>
        <v>14.645866417085001</v>
      </c>
      <c r="X67" s="268">
        <f>Fak_3*2406.31475660023</f>
        <v>24.0631475660023</v>
      </c>
      <c r="Y67" s="268">
        <f>Fak_3*3825.91358114684</f>
        <v>38.259135811468404</v>
      </c>
      <c r="Z67" s="268">
        <f>Fak_3*964.264829014713</f>
        <v>9.6426482901471307</v>
      </c>
      <c r="AA67" s="268">
        <f>Fak_3*1401.31375695051</f>
        <v>14.013137569505099</v>
      </c>
      <c r="AB67" s="268">
        <f>Fak_3*3026.65984771605</f>
        <v>30.2665984771605</v>
      </c>
      <c r="AC67" s="268">
        <f>Fak_3*1788.64661480435</f>
        <v>17.8864661480435</v>
      </c>
      <c r="AD67" s="268">
        <f>Fak_3*266.642138144542</f>
        <v>2.6664213814454203</v>
      </c>
      <c r="AE67" s="268">
        <f>Fak_3*1980.7489334336</f>
        <v>19.807489334336001</v>
      </c>
      <c r="AF67" s="268">
        <f>Fak_3*874.768409066463</f>
        <v>8.7476840906646309</v>
      </c>
      <c r="AG67" s="268">
        <f>Fak_3*2737.44131005691</f>
        <v>27.3744131005691</v>
      </c>
      <c r="AH67" s="268">
        <f>Fak_3*55616.8002884416</f>
        <v>556.16800288441596</v>
      </c>
      <c r="AI67" s="213"/>
      <c r="AJ67" s="220">
        <f t="shared" si="19"/>
        <v>0.7406232068794526</v>
      </c>
      <c r="AK67" s="367"/>
      <c r="AM67" s="210"/>
      <c r="BR67" s="144">
        <v>1719.6908484226101</v>
      </c>
      <c r="BS67" s="144">
        <v>1273.642951</v>
      </c>
      <c r="BT67" s="144">
        <f t="shared" si="20"/>
        <v>446.04789742261005</v>
      </c>
      <c r="CE67" s="214"/>
      <c r="CF67" s="214"/>
      <c r="DV67" s="329"/>
      <c r="DW67" s="329"/>
      <c r="DX67" s="329"/>
    </row>
    <row r="68" spans="2:128" s="144" customFormat="1" ht="24" customHeight="1" x14ac:dyDescent="0.25">
      <c r="B68" s="227"/>
      <c r="C68" s="228"/>
      <c r="D68" s="229"/>
      <c r="E68" s="131"/>
      <c r="F68" s="198" t="s">
        <v>7410</v>
      </c>
      <c r="G68" s="197">
        <v>211</v>
      </c>
      <c r="H68" s="148" t="str">
        <f>+VLOOKUP($G68,Konstanten!$A$2:$B$15,2,FALSE)</f>
        <v>Wohnnutzung</v>
      </c>
      <c r="I68" s="148"/>
      <c r="J68" s="267">
        <f>Fak_3*0.000238380410711515</f>
        <v>2.38380410711515E-6</v>
      </c>
      <c r="K68" s="267">
        <f>Fak_3*0</f>
        <v>0</v>
      </c>
      <c r="L68" s="267">
        <f>Fak_3*0.000413041261200024</f>
        <v>4.1304126120002404E-6</v>
      </c>
      <c r="M68" s="267">
        <f>Fak_3*0</f>
        <v>0</v>
      </c>
      <c r="N68" s="267">
        <f>Fak_3*0</f>
        <v>0</v>
      </c>
      <c r="O68" s="267">
        <f>Fak_3*0</f>
        <v>0</v>
      </c>
      <c r="P68" s="267">
        <f>Fak_3*0</f>
        <v>0</v>
      </c>
      <c r="Q68" s="267">
        <f>Fak_3*0.00055305401112763</f>
        <v>5.5305401112763006E-6</v>
      </c>
      <c r="R68" s="267">
        <f>Fak_3*0</f>
        <v>0</v>
      </c>
      <c r="S68" s="267">
        <f>Fak_3*0</f>
        <v>0</v>
      </c>
      <c r="T68" s="267">
        <f>Fak_3*0</f>
        <v>0</v>
      </c>
      <c r="U68" s="267">
        <f>Fak_3*0.0000113559000136417</f>
        <v>1.13559000136417E-7</v>
      </c>
      <c r="V68" s="267">
        <f>Fak_3*0</f>
        <v>0</v>
      </c>
      <c r="W68" s="267">
        <f>Fak_3*0.0069651272008255</f>
        <v>6.9651272008255005E-5</v>
      </c>
      <c r="X68" s="267">
        <f>Fak_3*0</f>
        <v>0</v>
      </c>
      <c r="Y68" s="267">
        <f>Fak_3*0.00184179184293709</f>
        <v>1.8417918429370902E-5</v>
      </c>
      <c r="Z68" s="267">
        <f>Fak_3*0</f>
        <v>0</v>
      </c>
      <c r="AA68" s="267">
        <f>Fak_3*0</f>
        <v>0</v>
      </c>
      <c r="AB68" s="267">
        <f>Fak_3*0.0000282486318446093</f>
        <v>2.8248631844609299E-7</v>
      </c>
      <c r="AC68" s="267">
        <f>Fak_3*0</f>
        <v>0</v>
      </c>
      <c r="AD68" s="267">
        <f>Fak_3*0</f>
        <v>0</v>
      </c>
      <c r="AE68" s="267">
        <f>Fak_3*0</f>
        <v>0</v>
      </c>
      <c r="AF68" s="267">
        <f>Fak_3*0</f>
        <v>0</v>
      </c>
      <c r="AG68" s="267">
        <f>Fak_3*0</f>
        <v>0</v>
      </c>
      <c r="AH68" s="267">
        <f>Fak_3*0.01005099925866</f>
        <v>1.005099925866E-4</v>
      </c>
      <c r="AI68" s="213"/>
      <c r="AJ68" s="220">
        <f t="shared" si="19"/>
        <v>0.39295521959753704</v>
      </c>
      <c r="AK68" s="367"/>
      <c r="AM68" s="210"/>
      <c r="BR68" s="144">
        <v>1112.6431516746302</v>
      </c>
      <c r="BS68" s="144">
        <v>437.21893399999999</v>
      </c>
      <c r="BT68" s="144">
        <f t="shared" si="20"/>
        <v>675.4242176746302</v>
      </c>
      <c r="CE68" s="214"/>
      <c r="CF68" s="214"/>
    </row>
    <row r="69" spans="2:128" s="144" customFormat="1" ht="24" customHeight="1" x14ac:dyDescent="0.25">
      <c r="B69" s="227"/>
      <c r="C69" s="228"/>
      <c r="D69" s="229"/>
      <c r="E69" s="131"/>
      <c r="F69" s="198"/>
      <c r="G69" s="197">
        <v>212</v>
      </c>
      <c r="H69" s="148" t="str">
        <f>+VLOOKUP($G69,Konstanten!$A$2:$B$15,2,FALSE)</f>
        <v>gemischte bauliche Nutzung</v>
      </c>
      <c r="I69" s="148"/>
      <c r="J69" s="267">
        <f>Fak_3*3060.99449924131</f>
        <v>30.609944992413102</v>
      </c>
      <c r="K69" s="267">
        <f>Fak_3*3871.87138106142</f>
        <v>38.718713810614197</v>
      </c>
      <c r="L69" s="267">
        <f>Fak_3*3022.09233770032</f>
        <v>30.220923377003203</v>
      </c>
      <c r="M69" s="267">
        <f>Fak_3*1867.82541975593</f>
        <v>18.678254197559301</v>
      </c>
      <c r="N69" s="267">
        <f>Fak_3*4491.13075010932</f>
        <v>44.911307501093198</v>
      </c>
      <c r="O69" s="267">
        <f>Fak_3*2879.02920180391</f>
        <v>28.7902920180391</v>
      </c>
      <c r="P69" s="267">
        <f>Fak_3*1853.18897370227</f>
        <v>18.531889737022702</v>
      </c>
      <c r="Q69" s="267">
        <f>Fak_3*3171.95194195895</f>
        <v>31.719519419589503</v>
      </c>
      <c r="R69" s="267">
        <f>Fak_3*432.498048289216</f>
        <v>4.3249804828921601</v>
      </c>
      <c r="S69" s="267">
        <f>Fak_3*2377.46840121623</f>
        <v>23.774684012162304</v>
      </c>
      <c r="T69" s="267">
        <f>Fak_3*819.810408839374</f>
        <v>8.1981040883937393</v>
      </c>
      <c r="U69" s="267">
        <f>Fak_3*2728.16319909661</f>
        <v>27.281631990966098</v>
      </c>
      <c r="V69" s="267">
        <f>Fak_3*3916.11861261709</f>
        <v>39.161186126170904</v>
      </c>
      <c r="W69" s="267">
        <f>Fak_3*2772.18488883349</f>
        <v>27.7218488883349</v>
      </c>
      <c r="X69" s="267">
        <f>Fak_3*3251.10853053206</f>
        <v>32.511085305320599</v>
      </c>
      <c r="Y69" s="267">
        <f>Fak_3*5254.75359230003</f>
        <v>52.547535923000297</v>
      </c>
      <c r="Z69" s="267">
        <f>Fak_3*1312.8084343596</f>
        <v>13.128084343595999</v>
      </c>
      <c r="AA69" s="267">
        <f>Fak_3*1129.00047556582</f>
        <v>11.290004755658199</v>
      </c>
      <c r="AB69" s="267">
        <f>Fak_3*4088.58500979019</f>
        <v>40.885850097901901</v>
      </c>
      <c r="AC69" s="267">
        <f>Fak_3*1543.80950052668</f>
        <v>15.438095005266801</v>
      </c>
      <c r="AD69" s="267">
        <f>Fak_3*229.705596610274</f>
        <v>2.2970559661027399</v>
      </c>
      <c r="AE69" s="267">
        <f>Fak_3*3046.69261877601</f>
        <v>30.466926187760102</v>
      </c>
      <c r="AF69" s="267">
        <f>Fak_3*705.31706920411</f>
        <v>7.0531706920410997</v>
      </c>
      <c r="AG69" s="267">
        <f>Fak_3*2147.91605752859</f>
        <v>21.479160575285899</v>
      </c>
      <c r="AH69" s="267">
        <f>Fak_3*59974.0249494188</f>
        <v>599.74024949418799</v>
      </c>
      <c r="AI69" s="213"/>
      <c r="AJ69" s="220">
        <f t="shared" si="19"/>
        <v>0.47014924161630484</v>
      </c>
      <c r="AK69" s="367"/>
      <c r="AM69" s="210"/>
      <c r="BR69" s="144">
        <v>1091.9388516614299</v>
      </c>
      <c r="BS69" s="144">
        <v>513.37422300000003</v>
      </c>
      <c r="BT69" s="144">
        <f t="shared" si="20"/>
        <v>578.56462866142988</v>
      </c>
      <c r="CE69" s="214"/>
      <c r="CF69" s="214"/>
    </row>
    <row r="70" spans="2:128" s="144" customFormat="1" ht="24" customHeight="1" x14ac:dyDescent="0.25">
      <c r="B70" s="227"/>
      <c r="C70" s="228"/>
      <c r="D70" s="229"/>
      <c r="E70" s="131"/>
      <c r="F70" s="198"/>
      <c r="G70" s="197">
        <v>213</v>
      </c>
      <c r="H70" s="148" t="str">
        <f>+VLOOKUP($G70,Konstanten!$A$2:$B$15,2,FALSE)</f>
        <v>betriebliche Nutzung</v>
      </c>
      <c r="I70" s="148"/>
      <c r="J70" s="267">
        <f>Fak_3*1014.49253770735</f>
        <v>10.1449253770735</v>
      </c>
      <c r="K70" s="267">
        <f>Fak_3*1004.37419798071</f>
        <v>10.0437419798071</v>
      </c>
      <c r="L70" s="267">
        <f>Fak_3*1125.3681654962</f>
        <v>11.253681654962</v>
      </c>
      <c r="M70" s="267">
        <f>Fak_3*288.765332062717</f>
        <v>2.88765332062717</v>
      </c>
      <c r="N70" s="267">
        <f>Fak_3*715.162011978568</f>
        <v>7.1516201197856804</v>
      </c>
      <c r="O70" s="267">
        <f>Fak_3*277.910433257622</f>
        <v>2.7791043325762201</v>
      </c>
      <c r="P70" s="267">
        <f>Fak_3*206.741578449792</f>
        <v>2.06741578449792</v>
      </c>
      <c r="Q70" s="267">
        <f>Fak_3*770.084591150774</f>
        <v>7.7008459115077406</v>
      </c>
      <c r="R70" s="267">
        <f>Fak_3*260.938358234044</f>
        <v>2.6093835823404401</v>
      </c>
      <c r="S70" s="267">
        <f>Fak_3*228.98462795751</f>
        <v>2.2898462795751002</v>
      </c>
      <c r="T70" s="267">
        <f>Fak_3*156.671993767242</f>
        <v>1.5667199376724199</v>
      </c>
      <c r="U70" s="267">
        <f>Fak_3*584.133714193022</f>
        <v>5.8413371419302198</v>
      </c>
      <c r="V70" s="267">
        <f>Fak_3*509.991002600275</f>
        <v>5.0999100260027506</v>
      </c>
      <c r="W70" s="267">
        <f>Fak_3*847.009007156145</f>
        <v>8.4700900715614509</v>
      </c>
      <c r="X70" s="267">
        <f>Fak_3*498.712776262381</f>
        <v>4.9871277626238104</v>
      </c>
      <c r="Y70" s="267">
        <f>Fak_3*579.607616630293</f>
        <v>5.7960761663029308</v>
      </c>
      <c r="Z70" s="267">
        <f>Fak_3*427.197503701662</f>
        <v>4.2719750370166203</v>
      </c>
      <c r="AA70" s="267">
        <f>Fak_3*277.498742481892</f>
        <v>2.7749874248189204</v>
      </c>
      <c r="AB70" s="267">
        <f>Fak_3*618.866346923171</f>
        <v>6.1886634692317104</v>
      </c>
      <c r="AC70" s="267">
        <f>Fak_3*188.562832843552</f>
        <v>1.88562832843552</v>
      </c>
      <c r="AD70" s="267">
        <f>Fak_3*48.8718433742159</f>
        <v>0.48871843374215901</v>
      </c>
      <c r="AE70" s="267">
        <f>Fak_3*633.330905822097</f>
        <v>6.3333090582209692</v>
      </c>
      <c r="AF70" s="267">
        <f>Fak_3*405.882461448912</f>
        <v>4.0588246144891205</v>
      </c>
      <c r="AG70" s="267">
        <f>Fak_3*330.929947892015</f>
        <v>3.30929947892015</v>
      </c>
      <c r="AH70" s="267">
        <f>Fak_3*12000.0885293722</f>
        <v>120.00088529372201</v>
      </c>
      <c r="AI70" s="213"/>
      <c r="AJ70" s="220">
        <f t="shared" si="19"/>
        <v>0.67934740484148592</v>
      </c>
      <c r="AK70" s="367"/>
      <c r="AM70" s="210"/>
      <c r="BR70" s="144">
        <v>435.91739350075102</v>
      </c>
      <c r="BS70" s="144">
        <v>296.13935000000004</v>
      </c>
      <c r="BT70" s="144">
        <f t="shared" si="20"/>
        <v>139.77804350075098</v>
      </c>
      <c r="CE70" s="214"/>
      <c r="CF70" s="214"/>
    </row>
    <row r="71" spans="2:128" s="144" customFormat="1" ht="24" customHeight="1" x14ac:dyDescent="0.25">
      <c r="B71" s="227"/>
      <c r="C71" s="228"/>
      <c r="D71" s="229"/>
      <c r="E71" s="131"/>
      <c r="F71" s="198"/>
      <c r="G71" s="197">
        <v>214</v>
      </c>
      <c r="H71" s="148" t="str">
        <f>+VLOOKUP($G71,Konstanten!$A$2:$B$15,2,FALSE)</f>
        <v>sonstige bauliche Nutzung</v>
      </c>
      <c r="I71" s="148"/>
      <c r="J71" s="267">
        <f>Fak_3*266.239430836794</f>
        <v>2.66239430836794</v>
      </c>
      <c r="K71" s="267">
        <f>Fak_3*411.058462890259</f>
        <v>4.1105846289025907</v>
      </c>
      <c r="L71" s="267">
        <f>Fak_3*370.166743394658</f>
        <v>3.70166743394658</v>
      </c>
      <c r="M71" s="267">
        <f>Fak_3*134.856759765797</f>
        <v>1.3485675976579701</v>
      </c>
      <c r="N71" s="267">
        <f>Fak_3*277.113300717383</f>
        <v>2.7711330071738303</v>
      </c>
      <c r="O71" s="267">
        <f>Fak_3*221.201226854432</f>
        <v>2.2120122685443202</v>
      </c>
      <c r="P71" s="267">
        <f>Fak_3*107.634987043282</f>
        <v>1.07634987043282</v>
      </c>
      <c r="Q71" s="267">
        <f>Fak_3*190.38483414306</f>
        <v>1.9038483414306</v>
      </c>
      <c r="R71" s="267">
        <f>Fak_3*48.5205719969456</f>
        <v>0.485205719969456</v>
      </c>
      <c r="S71" s="267">
        <f>Fak_3*242.545520067172</f>
        <v>2.42545520067172</v>
      </c>
      <c r="T71" s="267">
        <f>Fak_3*43.3748802483783</f>
        <v>0.433748802483783</v>
      </c>
      <c r="U71" s="267">
        <f>Fak_3*129.802541404774</f>
        <v>1.2980254140477399</v>
      </c>
      <c r="V71" s="267">
        <f>Fak_3*216.090776110191</f>
        <v>2.1609077611019099</v>
      </c>
      <c r="W71" s="267">
        <f>Fak_3*231.807186680104</f>
        <v>2.31807186680104</v>
      </c>
      <c r="X71" s="267">
        <f>Fak_3*176.839272469017</f>
        <v>1.7683927246901701</v>
      </c>
      <c r="Y71" s="267">
        <f>Fak_3*201.929074436704</f>
        <v>2.0192907443670403</v>
      </c>
      <c r="Z71" s="267">
        <f>Fak_3*99.7157044552241</f>
        <v>0.99715704455224097</v>
      </c>
      <c r="AA71" s="267">
        <f>Fak_3*102.689427098481</f>
        <v>1.0268942709848101</v>
      </c>
      <c r="AB71" s="267">
        <f>Fak_3*350.040819196088</f>
        <v>3.5004081919608803</v>
      </c>
      <c r="AC71" s="267">
        <f>Fak_3*49.4032059596021</f>
        <v>0.49403205959602098</v>
      </c>
      <c r="AD71" s="267">
        <f>Fak_3*14.0506888709905</f>
        <v>0.14050688870990499</v>
      </c>
      <c r="AE71" s="267">
        <f>Fak_3*320.448688418622</f>
        <v>3.20448688418622</v>
      </c>
      <c r="AF71" s="267">
        <f>Fak_3*124.612179461461</f>
        <v>1.2461217946146099</v>
      </c>
      <c r="AG71" s="267">
        <f>Fak_3*250.245401188284</f>
        <v>2.5024540118828402</v>
      </c>
      <c r="AH71" s="267">
        <f>Fak_3*4580.77168370771</f>
        <v>45.807716837077095</v>
      </c>
      <c r="AI71" s="213"/>
      <c r="AJ71" s="220">
        <f t="shared" si="19"/>
        <v>0.49709310254569294</v>
      </c>
      <c r="AK71" s="367"/>
      <c r="AM71" s="210"/>
      <c r="BR71" s="144">
        <v>153.25834860683301</v>
      </c>
      <c r="BS71" s="144">
        <v>76.183667999999997</v>
      </c>
      <c r="BT71" s="144">
        <f t="shared" si="20"/>
        <v>77.074680606833013</v>
      </c>
      <c r="CE71" s="214"/>
      <c r="CF71" s="214"/>
    </row>
    <row r="72" spans="2:128" s="144" customFormat="1" ht="24" customHeight="1" x14ac:dyDescent="0.25">
      <c r="B72" s="227"/>
      <c r="C72" s="228"/>
      <c r="D72" s="229"/>
      <c r="E72" s="131"/>
      <c r="F72" s="200"/>
      <c r="G72" s="215"/>
      <c r="H72" s="216"/>
      <c r="I72" s="217" t="s">
        <v>7536</v>
      </c>
      <c r="J72" s="268">
        <f>Fak_3*4341.72670616587</f>
        <v>43.417267061658706</v>
      </c>
      <c r="K72" s="268">
        <f>Fak_3*5287.30404193239</f>
        <v>52.8730404193239</v>
      </c>
      <c r="L72" s="268">
        <f>Fak_3*4517.62765963243</f>
        <v>45.1762765963243</v>
      </c>
      <c r="M72" s="268">
        <f>Fak_3*2291.44751158445</f>
        <v>22.9144751158445</v>
      </c>
      <c r="N72" s="268">
        <f>Fak_3*5483.40606280527</f>
        <v>54.834060628052704</v>
      </c>
      <c r="O72" s="268">
        <f>Fak_3*3378.14086191596</f>
        <v>33.781408619159599</v>
      </c>
      <c r="P72" s="268">
        <f>Fak_3*2167.56553919534</f>
        <v>21.675655391953402</v>
      </c>
      <c r="Q72" s="268">
        <f>Fak_3*4132.4219203068</f>
        <v>41.324219203067997</v>
      </c>
      <c r="R72" s="268">
        <f>Fak_3*741.956978520206</f>
        <v>7.4195697852020599</v>
      </c>
      <c r="S72" s="268">
        <f>Fak_3*2848.99854924091</f>
        <v>28.489985492409101</v>
      </c>
      <c r="T72" s="268">
        <f>Fak_3*1019.85728285499</f>
        <v>10.198572828549899</v>
      </c>
      <c r="U72" s="268">
        <f>Fak_3*3442.0994660503</f>
        <v>34.420994660503005</v>
      </c>
      <c r="V72" s="268">
        <f>Fak_3*4642.20039132756</f>
        <v>46.422003913275603</v>
      </c>
      <c r="W72" s="268">
        <f>Fak_3*3851.00804779694</f>
        <v>38.510080477969403</v>
      </c>
      <c r="X72" s="268">
        <f>Fak_3*3926.66057926346</f>
        <v>39.2666057926346</v>
      </c>
      <c r="Y72" s="268">
        <f>Fak_3*6036.29212515887</f>
        <v>60.362921251588695</v>
      </c>
      <c r="Z72" s="268">
        <f>Fak_3*1839.72164251648</f>
        <v>18.3972164251648</v>
      </c>
      <c r="AA72" s="268">
        <f>Fak_3*1509.1886451462</f>
        <v>15.091886451462001</v>
      </c>
      <c r="AB72" s="268">
        <f>Fak_3*5057.49220415808</f>
        <v>50.574922041580805</v>
      </c>
      <c r="AC72" s="268">
        <f>Fak_3*1781.77553932983</f>
        <v>17.817755393298302</v>
      </c>
      <c r="AD72" s="268">
        <f>Fak_3*292.628128855481</f>
        <v>2.9262812885548102</v>
      </c>
      <c r="AE72" s="268">
        <f>Fak_3*4000.47221301673</f>
        <v>40.004722130167302</v>
      </c>
      <c r="AF72" s="268">
        <f>Fak_3*1235.81171011448</f>
        <v>12.358117101144801</v>
      </c>
      <c r="AG72" s="268">
        <f>Fak_3*2729.09140660889</f>
        <v>27.290914066088899</v>
      </c>
      <c r="AH72" s="268">
        <f>Fak_3*76554.8952134979</f>
        <v>765.54895213497912</v>
      </c>
      <c r="AI72" s="213"/>
      <c r="AJ72" s="220">
        <f t="shared" si="19"/>
        <v>0.47352572969419021</v>
      </c>
      <c r="AK72" s="367"/>
      <c r="AM72" s="210"/>
      <c r="BR72" s="144">
        <v>2793.75774544365</v>
      </c>
      <c r="BS72" s="144">
        <v>1322.9161750000001</v>
      </c>
      <c r="BT72" s="144">
        <f t="shared" si="20"/>
        <v>1470.84157044365</v>
      </c>
      <c r="CE72" s="214"/>
      <c r="CF72" s="214"/>
    </row>
    <row r="73" spans="2:128" s="144" customFormat="1" ht="24" customHeight="1" x14ac:dyDescent="0.25">
      <c r="B73" s="227"/>
      <c r="C73" s="228"/>
      <c r="D73" s="229"/>
      <c r="E73" s="131"/>
      <c r="F73" s="200" t="s">
        <v>7409</v>
      </c>
      <c r="G73" s="215"/>
      <c r="H73" s="216"/>
      <c r="I73" s="217" t="s">
        <v>7537</v>
      </c>
      <c r="J73" s="268">
        <f>Fak_3*2044.27997853524</f>
        <v>20.442799785352399</v>
      </c>
      <c r="K73" s="268">
        <f>Fak_3*637.564143439333</f>
        <v>6.3756414343933301</v>
      </c>
      <c r="L73" s="268">
        <f>Fak_3*525.680783421694</f>
        <v>5.2568078342169393</v>
      </c>
      <c r="M73" s="268">
        <f>Fak_3*672.501427220322</f>
        <v>6.7250142722032198</v>
      </c>
      <c r="N73" s="268">
        <f>Fak_3*694.579836979503</f>
        <v>6.945798369795031</v>
      </c>
      <c r="O73" s="268">
        <f>Fak_3*451.075321085723</f>
        <v>4.5107532108572297</v>
      </c>
      <c r="P73" s="268">
        <f>Fak_3*413.585867303737</f>
        <v>4.1358586730373705</v>
      </c>
      <c r="Q73" s="268">
        <f>Fak_3*423.073643079982</f>
        <v>4.2307364307998201</v>
      </c>
      <c r="R73" s="268">
        <f>Fak_3*57.5604089860688</f>
        <v>0.57560408986068801</v>
      </c>
      <c r="S73" s="268">
        <f>Fak_3*706.924289326635</f>
        <v>7.0692428932663498</v>
      </c>
      <c r="T73" s="268">
        <f>Fak_3*545.209056888347</f>
        <v>5.4520905688834702</v>
      </c>
      <c r="U73" s="268">
        <f>Fak_3*1321.66937380894</f>
        <v>13.216693738089401</v>
      </c>
      <c r="V73" s="268">
        <f>Fak_3*657.72159126946</f>
        <v>6.5772159126945997</v>
      </c>
      <c r="W73" s="268">
        <f>Fak_3*284.777350770886</f>
        <v>2.8477735077088604</v>
      </c>
      <c r="X73" s="268">
        <f>Fak_3*1136.3252765806</f>
        <v>11.363252765806001</v>
      </c>
      <c r="Y73" s="268">
        <f>Fak_3*1457.88757291899</f>
        <v>14.5788757291899</v>
      </c>
      <c r="Z73" s="268">
        <f>Fak_3*114.961589879557</f>
        <v>1.14961589879557</v>
      </c>
      <c r="AA73" s="268">
        <f>Fak_3*958.731948929708</f>
        <v>9.5873194892970801</v>
      </c>
      <c r="AB73" s="268">
        <f>Fak_3*838.921444069893</f>
        <v>8.3892144406989306</v>
      </c>
      <c r="AC73" s="268">
        <f>Fak_3*414.905938855166</f>
        <v>4.1490593885516605</v>
      </c>
      <c r="AD73" s="268">
        <f>Fak_3*181.578510230259</f>
        <v>1.8157851023025902</v>
      </c>
      <c r="AE73" s="268">
        <f>Fak_3*921.630085689286</f>
        <v>9.216300856892861</v>
      </c>
      <c r="AF73" s="268">
        <f>Fak_3*85.6492305227707</f>
        <v>0.85649230522770692</v>
      </c>
      <c r="AG73" s="268">
        <f>Fak_3*943.199816867482</f>
        <v>9.43199816867482</v>
      </c>
      <c r="AH73" s="268">
        <f>Fak_3*16489.9944866596</f>
        <v>164.89994486659603</v>
      </c>
      <c r="AI73" s="213"/>
      <c r="AJ73" s="220">
        <f t="shared" si="19"/>
        <v>0.44779624681110691</v>
      </c>
      <c r="AK73" s="367"/>
      <c r="AM73" s="210"/>
      <c r="BR73" s="144">
        <v>659.18180668565299</v>
      </c>
      <c r="BS73" s="144">
        <v>295.17913900000002</v>
      </c>
      <c r="BT73" s="144">
        <f t="shared" si="20"/>
        <v>364.00266768565297</v>
      </c>
      <c r="CE73" s="214"/>
      <c r="CF73" s="214"/>
      <c r="DV73" s="330"/>
      <c r="DW73" s="330"/>
      <c r="DX73" s="330"/>
    </row>
    <row r="74" spans="2:128" s="144" customFormat="1" ht="24" customHeight="1" x14ac:dyDescent="0.25">
      <c r="B74" s="227"/>
      <c r="C74" s="228"/>
      <c r="D74" s="229"/>
      <c r="E74" s="131"/>
      <c r="F74" s="321" t="s">
        <v>7549</v>
      </c>
      <c r="G74" s="199"/>
      <c r="H74" s="200"/>
      <c r="I74" s="217" t="s">
        <v>7538</v>
      </c>
      <c r="J74" s="268">
        <f>Fak_3*384.597679036741</f>
        <v>3.84597679036741</v>
      </c>
      <c r="K74" s="268">
        <f>Fak_3*806.806453514652</f>
        <v>8.0680645351465206</v>
      </c>
      <c r="L74" s="268">
        <f>Fak_3*773.388800806881</f>
        <v>7.7338880080688108</v>
      </c>
      <c r="M74" s="268">
        <f>Fak_3*388.680068766482</f>
        <v>3.8868006876648202</v>
      </c>
      <c r="N74" s="268">
        <f>Fak_3*637.133224748539</f>
        <v>6.3713322474853902</v>
      </c>
      <c r="O74" s="268">
        <f>Fak_3*351.171580280205</f>
        <v>3.5117158028020499</v>
      </c>
      <c r="P74" s="268">
        <f>Fak_3*213.570290194609</f>
        <v>2.13570290194609</v>
      </c>
      <c r="Q74" s="268">
        <f>Fak_3*524.617969221208</f>
        <v>5.2461796922120802</v>
      </c>
      <c r="R74" s="268">
        <f>Fak_3*110.606637868692</f>
        <v>1.10606637868692</v>
      </c>
      <c r="S74" s="268">
        <f>Fak_3*415.64973930268</f>
        <v>4.1564973930268003</v>
      </c>
      <c r="T74" s="268">
        <f>Fak_3*201.728169500297</f>
        <v>2.0172816950029704</v>
      </c>
      <c r="U74" s="268">
        <f>Fak_3*336.540717761263</f>
        <v>3.3654071776126302</v>
      </c>
      <c r="V74" s="268">
        <f>Fak_3*489.136878937829</f>
        <v>4.8913687893782898</v>
      </c>
      <c r="W74" s="268">
        <f>Fak_3*546.132726669184</f>
        <v>5.46132726669184</v>
      </c>
      <c r="X74" s="268">
        <f>Fak_3*393.574699331394</f>
        <v>3.9357469933139404</v>
      </c>
      <c r="Y74" s="268">
        <f>Fak_3*447.607101425154</f>
        <v>4.4760710142515396</v>
      </c>
      <c r="Z74" s="268">
        <f>Fak_3*193.551800831829</f>
        <v>1.9355180083182901</v>
      </c>
      <c r="AA74" s="268">
        <f>Fak_3*189.310271987458</f>
        <v>1.8931027198745802</v>
      </c>
      <c r="AB74" s="268">
        <f>Fak_3*599.146341172669</f>
        <v>5.9914634117266905</v>
      </c>
      <c r="AC74" s="268">
        <f>Fak_3*143.223202363915</f>
        <v>1.4322320236391499</v>
      </c>
      <c r="AD74" s="268">
        <f>Fak_3*25.9880564607311</f>
        <v>0.25988056460731102</v>
      </c>
      <c r="AE74" s="268">
        <f>Fak_3*433.641079422638</f>
        <v>4.3364107942263797</v>
      </c>
      <c r="AF74" s="268">
        <f>Fak_3*150.95049815946</f>
        <v>1.5095049815946002</v>
      </c>
      <c r="AG74" s="268">
        <f>Fak_3*191.041199772486</f>
        <v>1.9104119977248601</v>
      </c>
      <c r="AH74" s="268">
        <f>Fak_3*8947.795187537</f>
        <v>89.477951875369996</v>
      </c>
      <c r="AI74" s="213"/>
      <c r="AJ74" s="220">
        <f t="shared" si="19"/>
        <v>0.16709269428718873</v>
      </c>
      <c r="AK74" s="367"/>
      <c r="AM74" s="210"/>
      <c r="BR74" s="144">
        <v>330.24510877272303</v>
      </c>
      <c r="BS74" s="144">
        <v>55.181545</v>
      </c>
      <c r="BT74" s="144">
        <f t="shared" si="20"/>
        <v>275.063563772723</v>
      </c>
      <c r="CE74" s="214"/>
      <c r="CF74" s="214"/>
      <c r="DV74" s="330"/>
      <c r="DW74" s="330"/>
      <c r="DX74" s="330"/>
    </row>
    <row r="75" spans="2:128" s="144" customFormat="1" ht="24" customHeight="1" x14ac:dyDescent="0.25">
      <c r="B75" s="227"/>
      <c r="C75" s="228"/>
      <c r="D75" s="229"/>
      <c r="E75" s="131"/>
      <c r="F75" s="322" t="s">
        <v>7519</v>
      </c>
      <c r="G75" s="199"/>
      <c r="H75" s="200"/>
      <c r="I75" s="217" t="s">
        <v>7539</v>
      </c>
      <c r="J75" s="268">
        <f>Fak_3*274.953322526928</f>
        <v>2.7495332252692801</v>
      </c>
      <c r="K75" s="268">
        <f>Fak_3*251.120348314466</f>
        <v>2.5112034831446604</v>
      </c>
      <c r="L75" s="268">
        <f>Fak_3*432.076276704457</f>
        <v>4.3207627670445694</v>
      </c>
      <c r="M75" s="268">
        <f>Fak_3*167.868129256426</f>
        <v>1.67868129256426</v>
      </c>
      <c r="N75" s="268">
        <f>Fak_3*1101.08075056327</f>
        <v>11.0108075056327</v>
      </c>
      <c r="O75" s="268">
        <f>Fak_3*192.722423471371</f>
        <v>1.9272242347137101</v>
      </c>
      <c r="P75" s="268">
        <f>Fak_3*100.283199822241</f>
        <v>1.0028319982224101</v>
      </c>
      <c r="Q75" s="268">
        <f>Fak_3*307.823416366042</f>
        <v>3.07823416366042</v>
      </c>
      <c r="R75" s="268">
        <f>Fak_3*28.1719016509207</f>
        <v>0.281719016509207</v>
      </c>
      <c r="S75" s="268">
        <f>Fak_3*135.042373383553</f>
        <v>1.35042373383553</v>
      </c>
      <c r="T75" s="268">
        <f>Fak_3*76.5273732051582</f>
        <v>0.765273732051582</v>
      </c>
      <c r="U75" s="268">
        <f>Fak_3*191.1427479217</f>
        <v>1.9114274792170001</v>
      </c>
      <c r="V75" s="268">
        <f>Fak_3*277.478601327297</f>
        <v>2.77478601327297</v>
      </c>
      <c r="W75" s="268">
        <f>Fak_3*153.677444483325</f>
        <v>1.5367744448332499</v>
      </c>
      <c r="X75" s="268">
        <f>Fak_3*200.449165851059</f>
        <v>2.0044916585105903</v>
      </c>
      <c r="Y75" s="268">
        <f>Fak_3*218.268577277959</f>
        <v>2.1826857727795899</v>
      </c>
      <c r="Z75" s="268">
        <f>Fak_3*79.2851133824237</f>
        <v>0.792851133824237</v>
      </c>
      <c r="AA75" s="268">
        <f>Fak_3*83.6494901596868</f>
        <v>0.83649490159686812</v>
      </c>
      <c r="AB75" s="268">
        <f>Fak_3*248.874798909884</f>
        <v>2.4887479890988398</v>
      </c>
      <c r="AC75" s="268">
        <f>Fak_3*54.3956723671817</f>
        <v>0.54395672367181702</v>
      </c>
      <c r="AD75" s="268">
        <f>Fak_3*27.8690329866135</f>
        <v>0.27869032986613501</v>
      </c>
      <c r="AE75" s="268">
        <f>Fak_3*522.503367917866</f>
        <v>5.2250336791786598</v>
      </c>
      <c r="AF75" s="268">
        <f>Fak_3*181.157710830775</f>
        <v>1.8115771083077499</v>
      </c>
      <c r="AG75" s="268">
        <f>Fak_3*96.4770180941533</f>
        <v>0.964770180941533</v>
      </c>
      <c r="AH75" s="268">
        <f>Fak_3*5402.89825677476</f>
        <v>54.028982567747597</v>
      </c>
      <c r="AI75" s="213"/>
      <c r="AJ75" s="220">
        <f t="shared" si="19"/>
        <v>0.11640789345535361</v>
      </c>
      <c r="AK75" s="367"/>
      <c r="AM75" s="210"/>
      <c r="BR75" s="144">
        <v>145.07992111786899</v>
      </c>
      <c r="BS75" s="144">
        <v>16.888448</v>
      </c>
      <c r="BT75" s="144">
        <f t="shared" si="20"/>
        <v>128.19147311786898</v>
      </c>
      <c r="CE75" s="214"/>
      <c r="CF75" s="214"/>
      <c r="DV75" s="330"/>
      <c r="DW75" s="330"/>
      <c r="DX75" s="330"/>
    </row>
    <row r="76" spans="2:128" s="208" customFormat="1" ht="24" customHeight="1" x14ac:dyDescent="0.25">
      <c r="B76" s="240"/>
      <c r="C76" s="230"/>
      <c r="D76" s="241"/>
      <c r="E76" s="183"/>
      <c r="F76" s="202" t="s">
        <v>7416</v>
      </c>
      <c r="G76" s="203"/>
      <c r="H76" s="201"/>
      <c r="I76" s="204" t="s">
        <v>7533</v>
      </c>
      <c r="J76" s="269">
        <f t="shared" ref="J76:AH76" si="21">+SUM(J75,J74,J73,J72,J67)</f>
        <v>103.5932854460728</v>
      </c>
      <c r="K76" s="269">
        <f t="shared" si="21"/>
        <v>93.923813578847515</v>
      </c>
      <c r="L76" s="269">
        <f t="shared" si="21"/>
        <v>99.954212277629125</v>
      </c>
      <c r="M76" s="269">
        <f t="shared" si="21"/>
        <v>51.329226464894901</v>
      </c>
      <c r="N76" s="269">
        <f t="shared" si="21"/>
        <v>121.89354856595722</v>
      </c>
      <c r="O76" s="269">
        <f t="shared" si="21"/>
        <v>76.01077133052388</v>
      </c>
      <c r="P76" s="269">
        <f t="shared" si="21"/>
        <v>52.231043937015372</v>
      </c>
      <c r="Q76" s="269">
        <f t="shared" si="21"/>
        <v>82.082481452239918</v>
      </c>
      <c r="R76" s="269">
        <f t="shared" si="21"/>
        <v>12.783703395748814</v>
      </c>
      <c r="S76" s="269">
        <f t="shared" si="21"/>
        <v>63.610035131604178</v>
      </c>
      <c r="T76" s="269">
        <f t="shared" si="21"/>
        <v>27.354791316452292</v>
      </c>
      <c r="U76" s="269">
        <f t="shared" si="21"/>
        <v>82.997270239876741</v>
      </c>
      <c r="V76" s="269">
        <f t="shared" si="21"/>
        <v>107.19178923443945</v>
      </c>
      <c r="W76" s="269">
        <f t="shared" si="21"/>
        <v>63.001822114288359</v>
      </c>
      <c r="X76" s="269">
        <f t="shared" si="21"/>
        <v>80.633244776267432</v>
      </c>
      <c r="Y76" s="269">
        <f t="shared" si="21"/>
        <v>119.85968957927813</v>
      </c>
      <c r="Z76" s="269">
        <f t="shared" si="21"/>
        <v>31.917849756250028</v>
      </c>
      <c r="AA76" s="269">
        <f t="shared" si="21"/>
        <v>41.421941131735629</v>
      </c>
      <c r="AB76" s="269">
        <f t="shared" si="21"/>
        <v>97.710946360265766</v>
      </c>
      <c r="AC76" s="269">
        <f t="shared" si="21"/>
        <v>41.829469677204429</v>
      </c>
      <c r="AD76" s="269">
        <f t="shared" si="21"/>
        <v>7.9470586667762664</v>
      </c>
      <c r="AE76" s="269">
        <f t="shared" si="21"/>
        <v>78.589956794801196</v>
      </c>
      <c r="AF76" s="269">
        <f t="shared" si="21"/>
        <v>25.283375586939488</v>
      </c>
      <c r="AG76" s="269">
        <f t="shared" si="21"/>
        <v>66.972507513999204</v>
      </c>
      <c r="AH76" s="269">
        <f t="shared" si="21"/>
        <v>1630.1238343291086</v>
      </c>
      <c r="AI76" s="206"/>
      <c r="AJ76" s="220">
        <f t="shared" si="19"/>
        <v>0.52475772773011986</v>
      </c>
      <c r="AK76" s="367"/>
      <c r="AM76" s="202"/>
      <c r="BR76" s="208">
        <v>5647.9554304425055</v>
      </c>
      <c r="BS76" s="208">
        <v>2963.808258</v>
      </c>
      <c r="BT76" s="144">
        <f t="shared" si="20"/>
        <v>2684.1471724425055</v>
      </c>
      <c r="CE76" s="209"/>
      <c r="CF76" s="209"/>
    </row>
    <row r="77" spans="2:128" ht="66" customHeight="1" x14ac:dyDescent="0.4">
      <c r="F77" s="365"/>
      <c r="G77" s="365"/>
      <c r="H77" s="365"/>
      <c r="AJ77" s="138"/>
    </row>
    <row r="78" spans="2:128" ht="22.5" x14ac:dyDescent="0.3">
      <c r="I78" s="369" t="str">
        <f xml:space="preserve"> "Versiegelung " &amp; IF(Versatz = 1, "in "&amp;NÖ!Einheit, IF(Versatz = 2, "in m² pro Einwohner:in", "in Prozent des Dauersiedlungsraums"))</f>
        <v>Versiegelung in km²</v>
      </c>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c r="AJ78" s="369"/>
    </row>
    <row r="79" spans="2:128" ht="114" customHeight="1" x14ac:dyDescent="0.4">
      <c r="B79" s="247"/>
      <c r="C79" s="233"/>
      <c r="D79" s="248"/>
      <c r="E79" s="249"/>
      <c r="F79" s="147"/>
      <c r="G79" s="250"/>
      <c r="H79" s="147"/>
      <c r="I79" s="152"/>
      <c r="J79" s="278" t="str">
        <f t="shared" ref="J79:AH79" si="22">+J24</f>
        <v>Amstetten</v>
      </c>
      <c r="K79" s="278" t="str">
        <f t="shared" si="22"/>
        <v>Baden</v>
      </c>
      <c r="L79" s="278" t="str">
        <f t="shared" si="22"/>
        <v>Bruck an der Leitha</v>
      </c>
      <c r="M79" s="278" t="str">
        <f t="shared" si="22"/>
        <v>Gmünd</v>
      </c>
      <c r="N79" s="278" t="str">
        <f t="shared" si="22"/>
        <v>Gänserndorf</v>
      </c>
      <c r="O79" s="278" t="str">
        <f t="shared" si="22"/>
        <v>Hollabrunn</v>
      </c>
      <c r="P79" s="278" t="str">
        <f t="shared" si="22"/>
        <v>Horn</v>
      </c>
      <c r="Q79" s="278" t="str">
        <f t="shared" si="22"/>
        <v>Korneuburg</v>
      </c>
      <c r="R79" s="278" t="str">
        <f t="shared" si="22"/>
        <v>Krems an der Donau(Stadt)</v>
      </c>
      <c r="S79" s="278" t="str">
        <f t="shared" si="22"/>
        <v>Krems(Land)</v>
      </c>
      <c r="T79" s="278" t="str">
        <f t="shared" si="22"/>
        <v>Lilienfeld</v>
      </c>
      <c r="U79" s="278" t="str">
        <f t="shared" si="22"/>
        <v>Melk</v>
      </c>
      <c r="V79" s="278" t="str">
        <f t="shared" si="22"/>
        <v>Mistelbach</v>
      </c>
      <c r="W79" s="278" t="str">
        <f t="shared" si="22"/>
        <v>Mödling</v>
      </c>
      <c r="X79" s="278" t="str">
        <f t="shared" si="22"/>
        <v>Neunkirchen</v>
      </c>
      <c r="Y79" s="278" t="str">
        <f t="shared" si="22"/>
        <v>Sankt Pölten(Land)</v>
      </c>
      <c r="Z79" s="278" t="str">
        <f t="shared" si="22"/>
        <v>Sankt Pölten(Stadt)</v>
      </c>
      <c r="AA79" s="278" t="str">
        <f t="shared" si="22"/>
        <v>Scheibbs</v>
      </c>
      <c r="AB79" s="278" t="str">
        <f t="shared" si="22"/>
        <v>Tulln</v>
      </c>
      <c r="AC79" s="278" t="str">
        <f t="shared" si="22"/>
        <v>Waidhofen an der Thaya</v>
      </c>
      <c r="AD79" s="278" t="str">
        <f t="shared" si="22"/>
        <v>Waidhofen an der Ybbs(Stadt)</v>
      </c>
      <c r="AE79" s="278" t="str">
        <f t="shared" si="22"/>
        <v>Wiener Neustadt(Land)</v>
      </c>
      <c r="AF79" s="278" t="str">
        <f t="shared" si="22"/>
        <v>Wiener Neustadt(Stadt)</v>
      </c>
      <c r="AG79" s="278" t="str">
        <f t="shared" si="22"/>
        <v>Zwettl</v>
      </c>
      <c r="AH79" s="277" t="str">
        <f t="shared" si="22"/>
        <v>NÖ</v>
      </c>
      <c r="AI79" s="252"/>
      <c r="AJ79" s="151"/>
      <c r="AK79" s="147"/>
    </row>
    <row r="80" spans="2:128" s="144" customFormat="1" ht="24" customHeight="1" x14ac:dyDescent="0.25">
      <c r="B80" s="227"/>
      <c r="C80" s="228"/>
      <c r="D80" s="229"/>
      <c r="E80" s="131"/>
      <c r="F80" s="198" t="s">
        <v>25</v>
      </c>
      <c r="G80" s="196">
        <v>101</v>
      </c>
      <c r="H80" s="148" t="str">
        <f>+VLOOKUP($G80,Konstanten!$A$2:$B$15,2,FALSE)</f>
        <v>Autobahn u. Schnellstraße</v>
      </c>
      <c r="I80" s="148"/>
      <c r="J80" s="267">
        <f>Fak_3*163.3737</f>
        <v>1.6337370000000002</v>
      </c>
      <c r="K80" s="267">
        <f>Fak_3*193.6734</f>
        <v>1.936734</v>
      </c>
      <c r="L80" s="267">
        <f>Fak_3*184.6941</f>
        <v>1.8469409999999999</v>
      </c>
      <c r="M80" s="267">
        <f>Fak_3*0</f>
        <v>0</v>
      </c>
      <c r="N80" s="267">
        <f>Fak_3*23.8133</f>
        <v>0.23813300000000001</v>
      </c>
      <c r="O80" s="267">
        <f>Fak_3*43.375</f>
        <v>0.43375000000000002</v>
      </c>
      <c r="P80" s="267">
        <f>Fak_3*0</f>
        <v>0</v>
      </c>
      <c r="Q80" s="267">
        <f>Fak_3*179.7042</f>
        <v>1.7970419999999998</v>
      </c>
      <c r="R80" s="267">
        <f>Fak_3*15.6615</f>
        <v>0.156615</v>
      </c>
      <c r="S80" s="267">
        <f>Fak_3*19.7485</f>
        <v>0.19748499999999999</v>
      </c>
      <c r="T80" s="267">
        <f>Fak_3*0</f>
        <v>0</v>
      </c>
      <c r="U80" s="267">
        <f>Fak_3*152.9845</f>
        <v>1.5298449999999999</v>
      </c>
      <c r="V80" s="267">
        <f>Fak_3*177.2431</f>
        <v>1.7724310000000001</v>
      </c>
      <c r="W80" s="267">
        <f>Fak_3*182.438</f>
        <v>1.8243799999999999</v>
      </c>
      <c r="X80" s="267">
        <f>Fak_3*165.7656</f>
        <v>1.657656</v>
      </c>
      <c r="Y80" s="267">
        <f>Fak_3*256.4181</f>
        <v>2.564181</v>
      </c>
      <c r="Z80" s="267">
        <f>Fak_3*75.186</f>
        <v>0.75186000000000008</v>
      </c>
      <c r="AA80" s="267">
        <f>Fak_3*0</f>
        <v>0</v>
      </c>
      <c r="AB80" s="267">
        <f>Fak_3*103.4227</f>
        <v>1.034227</v>
      </c>
      <c r="AC80" s="267">
        <f>Fak_3*0</f>
        <v>0</v>
      </c>
      <c r="AD80" s="267">
        <f>Fak_3*0</f>
        <v>0</v>
      </c>
      <c r="AE80" s="267">
        <f>Fak_3*50.2652</f>
        <v>0.50265199999999999</v>
      </c>
      <c r="AF80" s="267">
        <f>Fak_3*47.5941</f>
        <v>0.475941</v>
      </c>
      <c r="AG80" s="267">
        <f>Fak_3*0</f>
        <v>0</v>
      </c>
      <c r="AH80" s="267">
        <f>Fak_3*2035.361</f>
        <v>20.35361</v>
      </c>
      <c r="AI80" s="213"/>
      <c r="AJ80" s="219"/>
      <c r="AK80" s="210"/>
    </row>
    <row r="81" spans="2:37" s="144" customFormat="1" ht="24" customHeight="1" x14ac:dyDescent="0.25">
      <c r="B81" s="227"/>
      <c r="C81" s="228"/>
      <c r="D81" s="229"/>
      <c r="E81" s="131"/>
      <c r="F81" s="198"/>
      <c r="G81" s="196">
        <v>102</v>
      </c>
      <c r="H81" s="148" t="str">
        <f>+VLOOKUP($G81,Konstanten!$A$2:$B$15,2,FALSE)</f>
        <v>Landesstraße B + L</v>
      </c>
      <c r="I81" s="148"/>
      <c r="J81" s="267">
        <f>Fak_3*1050.8524</f>
        <v>10.508524</v>
      </c>
      <c r="K81" s="267">
        <f>Fak_3*447.4139</f>
        <v>4.4741390000000001</v>
      </c>
      <c r="L81" s="267">
        <f>Fak_3*434.7634</f>
        <v>4.3476340000000002</v>
      </c>
      <c r="M81" s="267">
        <f>Fak_3*572.4845</f>
        <v>5.7248450000000002</v>
      </c>
      <c r="N81" s="267">
        <f>Fak_3*795.8834</f>
        <v>7.9588340000000004</v>
      </c>
      <c r="O81" s="267">
        <f>Fak_3*765.6401</f>
        <v>7.6564009999999998</v>
      </c>
      <c r="P81" s="267">
        <f>Fak_3*728.7657</f>
        <v>7.2876570000000003</v>
      </c>
      <c r="Q81" s="267">
        <f>Fak_3*539.1656</f>
        <v>5.3916560000000002</v>
      </c>
      <c r="R81" s="267">
        <f>Fak_3*82.7151</f>
        <v>0.82715100000000008</v>
      </c>
      <c r="S81" s="267">
        <f>Fak_3*821.1628</f>
        <v>8.2116279999999993</v>
      </c>
      <c r="T81" s="267">
        <f>Fak_3*265.1434</f>
        <v>2.6514340000000001</v>
      </c>
      <c r="U81" s="267">
        <f>Fak_3*996.7061</f>
        <v>9.9670609999999993</v>
      </c>
      <c r="V81" s="267">
        <f>Fak_3*831.2321</f>
        <v>8.312320999999999</v>
      </c>
      <c r="W81" s="267">
        <f>Fak_3*237.4052</f>
        <v>2.3740520000000003</v>
      </c>
      <c r="X81" s="267">
        <f>Fak_3*545.2922</f>
        <v>5.452922</v>
      </c>
      <c r="Y81" s="267">
        <f>Fak_3*936.5465</f>
        <v>9.3654650000000004</v>
      </c>
      <c r="Z81" s="267">
        <f>Fak_3*118.9435</f>
        <v>1.189435</v>
      </c>
      <c r="AA81" s="267">
        <f>Fak_3*390.1997</f>
        <v>3.9019970000000002</v>
      </c>
      <c r="AB81" s="267">
        <f>Fak_3*591.0415</f>
        <v>5.9104150000000004</v>
      </c>
      <c r="AC81" s="267">
        <f>Fak_3*586.3168</f>
        <v>5.8631679999999999</v>
      </c>
      <c r="AD81" s="267">
        <f>Fak_3*63.4787</f>
        <v>0.6347870000000001</v>
      </c>
      <c r="AE81" s="267">
        <f>Fak_3*451.4723</f>
        <v>4.514723</v>
      </c>
      <c r="AF81" s="267">
        <f>Fak_3*73.1773</f>
        <v>0.73177300000000001</v>
      </c>
      <c r="AG81" s="267">
        <f>Fak_3*895.3509</f>
        <v>8.9535090000000004</v>
      </c>
      <c r="AH81" s="267">
        <f>Fak_3*13221.1531</f>
        <v>132.21153100000001</v>
      </c>
      <c r="AI81" s="213"/>
      <c r="AJ81" s="219"/>
      <c r="AK81" s="210"/>
    </row>
    <row r="82" spans="2:37" s="144" customFormat="1" ht="24" customHeight="1" x14ac:dyDescent="0.25">
      <c r="B82" s="227"/>
      <c r="C82" s="228"/>
      <c r="D82" s="229"/>
      <c r="E82" s="131"/>
      <c r="F82" s="198"/>
      <c r="G82" s="196">
        <v>103</v>
      </c>
      <c r="H82" s="148" t="str">
        <f>+VLOOKUP($G82,Konstanten!$A$2:$B$15,2,FALSE)</f>
        <v>Gemeinde- und sonstige Straßen</v>
      </c>
      <c r="I82" s="148"/>
      <c r="J82" s="267">
        <f>Fak_3*1229.5632</f>
        <v>12.295632000000001</v>
      </c>
      <c r="K82" s="267">
        <f>Fak_3*1054.5666</f>
        <v>10.545666000000001</v>
      </c>
      <c r="L82" s="267">
        <f>Fak_3*1599.0141</f>
        <v>15.990141000000001</v>
      </c>
      <c r="M82" s="267">
        <f>Fak_3*636.9431</f>
        <v>6.3694309999999996</v>
      </c>
      <c r="N82" s="267">
        <f>Fak_3*2011.0656</f>
        <v>20.110655999999999</v>
      </c>
      <c r="O82" s="267">
        <f>Fak_3*1407.6367</f>
        <v>14.076367000000001</v>
      </c>
      <c r="P82" s="267">
        <f>Fak_3*816.0999</f>
        <v>8.1609990000000003</v>
      </c>
      <c r="Q82" s="267">
        <f>Fak_3*1257.5971</f>
        <v>12.575970999999999</v>
      </c>
      <c r="R82" s="267">
        <f>Fak_3*137.657</f>
        <v>1.3765700000000001</v>
      </c>
      <c r="S82" s="267">
        <f>Fak_3*886.5183</f>
        <v>8.865183</v>
      </c>
      <c r="T82" s="267">
        <f>Fak_3*387.201</f>
        <v>3.8720100000000004</v>
      </c>
      <c r="U82" s="267">
        <f>Fak_3*1026.433</f>
        <v>10.264329999999999</v>
      </c>
      <c r="V82" s="267">
        <f>Fak_3*2192.0967</f>
        <v>21.920967000000001</v>
      </c>
      <c r="W82" s="267">
        <f>Fak_3*617.713</f>
        <v>6.17713</v>
      </c>
      <c r="X82" s="267">
        <f>Fak_3*954.4794</f>
        <v>9.5447940000000013</v>
      </c>
      <c r="Y82" s="267">
        <f>Fak_3*1494.1294</f>
        <v>14.941294000000001</v>
      </c>
      <c r="Z82" s="267">
        <f>Fak_3*399.754</f>
        <v>3.9975400000000003</v>
      </c>
      <c r="AA82" s="267">
        <f>Fak_3*662.9803</f>
        <v>6.6298030000000008</v>
      </c>
      <c r="AB82" s="267">
        <f>Fak_3*1363.3677</f>
        <v>13.633677</v>
      </c>
      <c r="AC82" s="267">
        <f>Fak_3*707.9395</f>
        <v>7.0793949999999999</v>
      </c>
      <c r="AD82" s="267">
        <f>Fak_3*128.6277</f>
        <v>1.2862770000000001</v>
      </c>
      <c r="AE82" s="267">
        <f>Fak_3*920.8415</f>
        <v>9.2084150000000005</v>
      </c>
      <c r="AF82" s="267">
        <f>Fak_3*309.5054</f>
        <v>3.0950540000000002</v>
      </c>
      <c r="AG82" s="267">
        <f>Fak_3*1156.7759</f>
        <v>11.567759000000001</v>
      </c>
      <c r="AH82" s="267">
        <f>Fak_3*23358.5061</f>
        <v>233.585061</v>
      </c>
      <c r="AI82" s="213"/>
      <c r="AJ82" s="219"/>
      <c r="AK82" s="210"/>
    </row>
    <row r="83" spans="2:37" s="144" customFormat="1" ht="24" customHeight="1" x14ac:dyDescent="0.25">
      <c r="B83" s="227"/>
      <c r="C83" s="228"/>
      <c r="D83" s="229"/>
      <c r="E83" s="131"/>
      <c r="F83" s="198"/>
      <c r="G83" s="196">
        <v>104</v>
      </c>
      <c r="H83" s="148" t="str">
        <f>+VLOOKUP($G83,Konstanten!$A$2:$B$15,2,FALSE)</f>
        <v>Schiene</v>
      </c>
      <c r="I83" s="148"/>
      <c r="J83" s="267">
        <f>Fak_3*206.2928</f>
        <v>2.0629279999999999</v>
      </c>
      <c r="K83" s="267">
        <f>Fak_3*82.9477</f>
        <v>0.82947700000000002</v>
      </c>
      <c r="L83" s="267">
        <f>Fak_3*141.8112</f>
        <v>1.4181120000000003</v>
      </c>
      <c r="M83" s="267">
        <f>Fak_3*40.7504</f>
        <v>0.40750399999999998</v>
      </c>
      <c r="N83" s="267">
        <f>Fak_3*205.1253</f>
        <v>2.051253</v>
      </c>
      <c r="O83" s="267">
        <f>Fak_3*70.8932</f>
        <v>0.7089319999999999</v>
      </c>
      <c r="P83" s="267">
        <f>Fak_3*48.9212</f>
        <v>0.48921199999999998</v>
      </c>
      <c r="Q83" s="267">
        <f>Fak_3*87.3885</f>
        <v>0.87388499999999991</v>
      </c>
      <c r="R83" s="267">
        <f>Fak_3*22.1564</f>
        <v>0.22156400000000001</v>
      </c>
      <c r="S83" s="267">
        <f>Fak_3*41.6381</f>
        <v>0.416381</v>
      </c>
      <c r="T83" s="267">
        <f>Fak_3*35.1308</f>
        <v>0.35130800000000001</v>
      </c>
      <c r="U83" s="267">
        <f>Fak_3*143.735</f>
        <v>1.4373500000000001</v>
      </c>
      <c r="V83" s="267">
        <f>Fak_3*91.7252</f>
        <v>0.91725200000000007</v>
      </c>
      <c r="W83" s="267">
        <f>Fak_3*72.8469</f>
        <v>0.72846900000000003</v>
      </c>
      <c r="X83" s="267">
        <f>Fak_3*93.2749</f>
        <v>0.93274900000000005</v>
      </c>
      <c r="Y83" s="267">
        <f>Fak_3*145.0457</f>
        <v>1.4504570000000001</v>
      </c>
      <c r="Z83" s="267">
        <f>Fak_3*98.4569</f>
        <v>0.98456900000000003</v>
      </c>
      <c r="AA83" s="267">
        <f>Fak_3*40.8911</f>
        <v>0.40891100000000002</v>
      </c>
      <c r="AB83" s="267">
        <f>Fak_3*158.5083</f>
        <v>1.585083</v>
      </c>
      <c r="AC83" s="267">
        <f>Fak_3*10.7705</f>
        <v>0.10770500000000001</v>
      </c>
      <c r="AD83" s="267">
        <f>Fak_3*12.8348</f>
        <v>0.12834799999999999</v>
      </c>
      <c r="AE83" s="267">
        <f>Fak_3*79.0693</f>
        <v>0.79069299999999998</v>
      </c>
      <c r="AF83" s="267">
        <f>Fak_3*52.5898</f>
        <v>0.52589799999999998</v>
      </c>
      <c r="AG83" s="267">
        <f>Fak_3*41.0386</f>
        <v>0.41038600000000003</v>
      </c>
      <c r="AH83" s="267">
        <f>Fak_3*2023.8426</f>
        <v>20.238426</v>
      </c>
      <c r="AI83" s="213"/>
      <c r="AJ83" s="219"/>
      <c r="AK83" s="210"/>
    </row>
    <row r="84" spans="2:37" s="144" customFormat="1" ht="24" customHeight="1" x14ac:dyDescent="0.25">
      <c r="B84" s="227"/>
      <c r="C84" s="228"/>
      <c r="D84" s="229"/>
      <c r="E84" s="131"/>
      <c r="F84" s="200"/>
      <c r="G84" s="215"/>
      <c r="H84" s="216"/>
      <c r="I84" s="217" t="s">
        <v>7535</v>
      </c>
      <c r="J84" s="268">
        <f>Fak_3*2650.0821</f>
        <v>26.500821000000002</v>
      </c>
      <c r="K84" s="268">
        <f>Fak_3*1778.6016</f>
        <v>17.786016</v>
      </c>
      <c r="L84" s="268">
        <f>Fak_3*2360.2828</f>
        <v>23.602827999999999</v>
      </c>
      <c r="M84" s="268">
        <f>Fak_3*1250.178</f>
        <v>12.501780000000002</v>
      </c>
      <c r="N84" s="268">
        <f>Fak_3*3035.8876</f>
        <v>30.358876000000002</v>
      </c>
      <c r="O84" s="268">
        <f>Fak_3*2287.545</f>
        <v>22.875450000000001</v>
      </c>
      <c r="P84" s="268">
        <f>Fak_3*1593.7868</f>
        <v>15.937868000000002</v>
      </c>
      <c r="Q84" s="268">
        <f>Fak_3*2063.8554</f>
        <v>20.638553999999999</v>
      </c>
      <c r="R84" s="268">
        <f>Fak_3*258.19</f>
        <v>2.5819000000000001</v>
      </c>
      <c r="S84" s="268">
        <f>Fak_3*1769.0677</f>
        <v>17.690677000000001</v>
      </c>
      <c r="T84" s="268">
        <f>Fak_3*687.4752</f>
        <v>6.874752</v>
      </c>
      <c r="U84" s="268">
        <f>Fak_3*2319.8586</f>
        <v>23.198586000000002</v>
      </c>
      <c r="V84" s="268">
        <f>Fak_3*3292.2971</f>
        <v>32.922970999999997</v>
      </c>
      <c r="W84" s="268">
        <f>Fak_3*1110.4031</f>
        <v>11.104031000000001</v>
      </c>
      <c r="X84" s="268">
        <f>Fak_3*1758.8121</f>
        <v>17.588121000000001</v>
      </c>
      <c r="Y84" s="268">
        <f>Fak_3*2832.1397</f>
        <v>28.321397000000001</v>
      </c>
      <c r="Z84" s="268">
        <f>Fak_3*692.3404</f>
        <v>6.9234040000000006</v>
      </c>
      <c r="AA84" s="268">
        <f>Fak_3*1094.0711</f>
        <v>10.940710999999999</v>
      </c>
      <c r="AB84" s="268">
        <f>Fak_3*2216.3402</f>
        <v>22.163402000000001</v>
      </c>
      <c r="AC84" s="268">
        <f>Fak_3*1305.0268</f>
        <v>13.050268000000001</v>
      </c>
      <c r="AD84" s="268">
        <f>Fak_3*204.9412</f>
        <v>2.0494120000000002</v>
      </c>
      <c r="AE84" s="268">
        <f>Fak_3*1501.6483</f>
        <v>15.016483000000001</v>
      </c>
      <c r="AF84" s="268">
        <f>Fak_3*482.8666</f>
        <v>4.8286660000000001</v>
      </c>
      <c r="AG84" s="268">
        <f>Fak_3*2093.1654</f>
        <v>20.931653999999998</v>
      </c>
      <c r="AH84" s="268">
        <f>Fak_3*40638.8628</f>
        <v>406.38862800000004</v>
      </c>
      <c r="AI84" s="213"/>
      <c r="AJ84" s="219"/>
      <c r="AK84" s="210"/>
    </row>
    <row r="85" spans="2:37" s="144" customFormat="1" ht="24" customHeight="1" x14ac:dyDescent="0.25">
      <c r="B85" s="227"/>
      <c r="C85" s="228"/>
      <c r="D85" s="229"/>
      <c r="E85" s="131"/>
      <c r="F85" s="198" t="s">
        <v>7410</v>
      </c>
      <c r="G85" s="197">
        <v>211</v>
      </c>
      <c r="H85" s="148" t="str">
        <f>+VLOOKUP($G85,Konstanten!$A$2:$B$15,2,FALSE)</f>
        <v>Wohnnutzung</v>
      </c>
      <c r="I85" s="148"/>
      <c r="J85" s="267">
        <f>Fak_3*0</f>
        <v>0</v>
      </c>
      <c r="K85" s="267">
        <f>Fak_3*0</f>
        <v>0</v>
      </c>
      <c r="L85" s="267">
        <f>Fak_3*0.0003</f>
        <v>2.9999999999999997E-6</v>
      </c>
      <c r="M85" s="267">
        <f t="shared" ref="M85:V85" si="23">Fak_3*0</f>
        <v>0</v>
      </c>
      <c r="N85" s="267">
        <f t="shared" si="23"/>
        <v>0</v>
      </c>
      <c r="O85" s="267">
        <f t="shared" si="23"/>
        <v>0</v>
      </c>
      <c r="P85" s="267">
        <f t="shared" si="23"/>
        <v>0</v>
      </c>
      <c r="Q85" s="267">
        <f t="shared" si="23"/>
        <v>0</v>
      </c>
      <c r="R85" s="267">
        <f t="shared" si="23"/>
        <v>0</v>
      </c>
      <c r="S85" s="267">
        <f t="shared" si="23"/>
        <v>0</v>
      </c>
      <c r="T85" s="267">
        <f t="shared" si="23"/>
        <v>0</v>
      </c>
      <c r="U85" s="267">
        <f t="shared" si="23"/>
        <v>0</v>
      </c>
      <c r="V85" s="267">
        <f t="shared" si="23"/>
        <v>0</v>
      </c>
      <c r="W85" s="267">
        <f>Fak_3*0.0019</f>
        <v>1.9000000000000001E-5</v>
      </c>
      <c r="X85" s="267">
        <f t="shared" ref="X85:AG85" si="24">Fak_3*0</f>
        <v>0</v>
      </c>
      <c r="Y85" s="267">
        <f t="shared" si="24"/>
        <v>0</v>
      </c>
      <c r="Z85" s="267">
        <f t="shared" si="24"/>
        <v>0</v>
      </c>
      <c r="AA85" s="267">
        <f t="shared" si="24"/>
        <v>0</v>
      </c>
      <c r="AB85" s="267">
        <f t="shared" si="24"/>
        <v>0</v>
      </c>
      <c r="AC85" s="267">
        <f t="shared" si="24"/>
        <v>0</v>
      </c>
      <c r="AD85" s="267">
        <f t="shared" si="24"/>
        <v>0</v>
      </c>
      <c r="AE85" s="267">
        <f t="shared" si="24"/>
        <v>0</v>
      </c>
      <c r="AF85" s="267">
        <f t="shared" si="24"/>
        <v>0</v>
      </c>
      <c r="AG85" s="267">
        <f t="shared" si="24"/>
        <v>0</v>
      </c>
      <c r="AH85" s="267">
        <f>Fak_3*0.0022</f>
        <v>2.2000000000000003E-5</v>
      </c>
      <c r="AI85" s="213"/>
      <c r="AJ85" s="219"/>
      <c r="AK85" s="210"/>
    </row>
    <row r="86" spans="2:37" s="144" customFormat="1" ht="24" customHeight="1" x14ac:dyDescent="0.25">
      <c r="B86" s="227"/>
      <c r="C86" s="228"/>
      <c r="D86" s="229"/>
      <c r="E86" s="131"/>
      <c r="F86" s="198"/>
      <c r="G86" s="197">
        <v>212</v>
      </c>
      <c r="H86" s="148" t="str">
        <f>+VLOOKUP($G86,Konstanten!$A$2:$B$15,2,FALSE)</f>
        <v>gemischte bauliche Nutzung</v>
      </c>
      <c r="I86" s="148"/>
      <c r="J86" s="267">
        <f>Fak_3*1273.0579</f>
        <v>12.730579000000001</v>
      </c>
      <c r="K86" s="267">
        <f>Fak_3*1694.8444</f>
        <v>16.948443999999999</v>
      </c>
      <c r="L86" s="267">
        <f>Fak_3*1428.4196</f>
        <v>14.284196</v>
      </c>
      <c r="M86" s="267">
        <f>Fak_3*831.431</f>
        <v>8.3143100000000008</v>
      </c>
      <c r="N86" s="267">
        <f>Fak_3*2103.5314</f>
        <v>21.035314</v>
      </c>
      <c r="O86" s="267">
        <f>Fak_3*1411.1497</f>
        <v>14.111497</v>
      </c>
      <c r="P86" s="267">
        <f>Fak_3*843.6583</f>
        <v>8.4365830000000006</v>
      </c>
      <c r="Q86" s="267">
        <f>Fak_3*1455.7185</f>
        <v>14.557185</v>
      </c>
      <c r="R86" s="267">
        <f>Fak_3*217.7765</f>
        <v>2.177765</v>
      </c>
      <c r="S86" s="267">
        <f>Fak_3*1149.5676</f>
        <v>11.495676000000001</v>
      </c>
      <c r="T86" s="267">
        <f>Fak_3*309.7855</f>
        <v>3.097855</v>
      </c>
      <c r="U86" s="267">
        <f>Fak_3*1142.4897</f>
        <v>11.424897000000001</v>
      </c>
      <c r="V86" s="267">
        <f>Fak_3*1864.1135</f>
        <v>18.641134999999998</v>
      </c>
      <c r="W86" s="267">
        <f>Fak_3*1167.4444</f>
        <v>11.674444000000001</v>
      </c>
      <c r="X86" s="267">
        <f>Fak_3*1186.1973</f>
        <v>11.861973000000001</v>
      </c>
      <c r="Y86" s="267">
        <f>Fak_3*1911.5722</f>
        <v>19.115722000000002</v>
      </c>
      <c r="Z86" s="267">
        <f>Fak_3*591.8757</f>
        <v>5.9187570000000003</v>
      </c>
      <c r="AA86" s="267">
        <f>Fak_3*445.6735</f>
        <v>4.4567350000000001</v>
      </c>
      <c r="AB86" s="267">
        <f>Fak_3*1707.4244</f>
        <v>17.074244</v>
      </c>
      <c r="AC86" s="267">
        <f>Fak_3*762.9834</f>
        <v>7.6298339999999998</v>
      </c>
      <c r="AD86" s="267">
        <f>Fak_3*93.8214</f>
        <v>0.93821399999999999</v>
      </c>
      <c r="AE86" s="267">
        <f>Fak_3*1184.7478</f>
        <v>11.847478000000001</v>
      </c>
      <c r="AF86" s="267">
        <f>Fak_3*315.5061</f>
        <v>3.1550609999999999</v>
      </c>
      <c r="AG86" s="267">
        <f>Fak_3*1000.4326</f>
        <v>10.004326000000001</v>
      </c>
      <c r="AH86" s="267">
        <f>Fak_3*26093.2224</f>
        <v>260.93222400000002</v>
      </c>
      <c r="AI86" s="213"/>
      <c r="AJ86" s="219"/>
      <c r="AK86" s="210"/>
    </row>
    <row r="87" spans="2:37" s="144" customFormat="1" ht="24" customHeight="1" x14ac:dyDescent="0.25">
      <c r="B87" s="227"/>
      <c r="C87" s="228"/>
      <c r="D87" s="229"/>
      <c r="E87" s="131"/>
      <c r="F87" s="198"/>
      <c r="G87" s="197">
        <v>213</v>
      </c>
      <c r="H87" s="148" t="str">
        <f>+VLOOKUP($G87,Konstanten!$A$2:$B$15,2,FALSE)</f>
        <v>betriebliche Nutzung</v>
      </c>
      <c r="I87" s="148"/>
      <c r="J87" s="267">
        <f>Fak_3*655.9038</f>
        <v>6.559038000000001</v>
      </c>
      <c r="K87" s="267">
        <f>Fak_3*577.2334</f>
        <v>5.7723339999999999</v>
      </c>
      <c r="L87" s="267">
        <f>Fak_3*767.0403</f>
        <v>7.6704030000000003</v>
      </c>
      <c r="M87" s="267">
        <f>Fak_3*178.0167</f>
        <v>1.7801669999999998</v>
      </c>
      <c r="N87" s="267">
        <f>Fak_3*429.1384</f>
        <v>4.2913839999999999</v>
      </c>
      <c r="O87" s="267">
        <f>Fak_3*168.6926</f>
        <v>1.6869259999999999</v>
      </c>
      <c r="P87" s="267">
        <f>Fak_3*146.141</f>
        <v>1.4614099999999999</v>
      </c>
      <c r="Q87" s="267">
        <f>Fak_3*571.9748</f>
        <v>5.7197480000000001</v>
      </c>
      <c r="R87" s="267">
        <f>Fak_3*190.1953</f>
        <v>1.901953</v>
      </c>
      <c r="S87" s="267">
        <f>Fak_3*154.1463</f>
        <v>1.541463</v>
      </c>
      <c r="T87" s="267">
        <f>Fak_3*113.1944</f>
        <v>1.1319440000000001</v>
      </c>
      <c r="U87" s="267">
        <f>Fak_3*392.4309</f>
        <v>3.924309</v>
      </c>
      <c r="V87" s="267">
        <f>Fak_3*328.9123</f>
        <v>3.289123</v>
      </c>
      <c r="W87" s="267">
        <f>Fak_3*637.082</f>
        <v>6.3708200000000001</v>
      </c>
      <c r="X87" s="267">
        <f>Fak_3*298.1302</f>
        <v>2.9813019999999999</v>
      </c>
      <c r="Y87" s="267">
        <f>Fak_3*373.3666</f>
        <v>3.7336659999999999</v>
      </c>
      <c r="Z87" s="267">
        <f>Fak_3*292.701</f>
        <v>2.9270100000000001</v>
      </c>
      <c r="AA87" s="267">
        <f>Fak_3*185.6692</f>
        <v>1.856692</v>
      </c>
      <c r="AB87" s="267">
        <f>Fak_3*391.1255</f>
        <v>3.9112550000000001</v>
      </c>
      <c r="AC87" s="267">
        <f>Fak_3*123.4691</f>
        <v>1.234691</v>
      </c>
      <c r="AD87" s="267">
        <f>Fak_3*35.1312</f>
        <v>0.35131200000000001</v>
      </c>
      <c r="AE87" s="267">
        <f>Fak_3*375.2015</f>
        <v>3.7520150000000001</v>
      </c>
      <c r="AF87" s="267">
        <f>Fak_3*291.5843</f>
        <v>2.9158429999999997</v>
      </c>
      <c r="AG87" s="267">
        <f>Fak_3*202.5384</f>
        <v>2.0253839999999999</v>
      </c>
      <c r="AH87" s="267">
        <f>Fak_3*7879.0192</f>
        <v>78.790192000000005</v>
      </c>
      <c r="AI87" s="213"/>
      <c r="AJ87" s="219"/>
      <c r="AK87" s="210"/>
    </row>
    <row r="88" spans="2:37" s="144" customFormat="1" ht="24" customHeight="1" x14ac:dyDescent="0.25">
      <c r="B88" s="227"/>
      <c r="C88" s="228"/>
      <c r="D88" s="229"/>
      <c r="E88" s="131"/>
      <c r="F88" s="198"/>
      <c r="G88" s="197">
        <v>214</v>
      </c>
      <c r="H88" s="148" t="str">
        <f>+VLOOKUP($G88,Konstanten!$A$2:$B$15,2,FALSE)</f>
        <v>sonstige bauliche Nutzung</v>
      </c>
      <c r="I88" s="148"/>
      <c r="J88" s="267">
        <f>Fak_3*131.2006</f>
        <v>1.312006</v>
      </c>
      <c r="K88" s="267">
        <f>Fak_3*178.4237</f>
        <v>1.7842370000000001</v>
      </c>
      <c r="L88" s="267">
        <f>Fak_3*121.402</f>
        <v>1.2140200000000001</v>
      </c>
      <c r="M88" s="267">
        <f>Fak_3*65.388</f>
        <v>0.65388000000000002</v>
      </c>
      <c r="N88" s="267">
        <f>Fak_3*134.258</f>
        <v>1.3425800000000001</v>
      </c>
      <c r="O88" s="267">
        <f>Fak_3*95.2292</f>
        <v>0.95229200000000003</v>
      </c>
      <c r="P88" s="267">
        <f>Fak_3*47.2254</f>
        <v>0.47225400000000001</v>
      </c>
      <c r="Q88" s="267">
        <f>Fak_3*95.2726</f>
        <v>0.95272599999999996</v>
      </c>
      <c r="R88" s="267">
        <f>Fak_3*31.6165</f>
        <v>0.31616499999999997</v>
      </c>
      <c r="S88" s="267">
        <f>Fak_3*115.5297</f>
        <v>1.155297</v>
      </c>
      <c r="T88" s="267">
        <f>Fak_3*20.7344</f>
        <v>0.207344</v>
      </c>
      <c r="U88" s="267">
        <f>Fak_3*65.1017</f>
        <v>0.65101699999999996</v>
      </c>
      <c r="V88" s="267">
        <f>Fak_3*105.8577</f>
        <v>1.0585769999999999</v>
      </c>
      <c r="W88" s="267">
        <f>Fak_3*115.7502</f>
        <v>1.157502</v>
      </c>
      <c r="X88" s="267">
        <f>Fak_3*81.6914</f>
        <v>0.81691400000000003</v>
      </c>
      <c r="Y88" s="267">
        <f>Fak_3*94.4413</f>
        <v>0.94441299999999995</v>
      </c>
      <c r="Z88" s="267">
        <f>Fak_3*63.4173</f>
        <v>0.63417299999999999</v>
      </c>
      <c r="AA88" s="267">
        <f>Fak_3*52.1904</f>
        <v>0.52190399999999992</v>
      </c>
      <c r="AB88" s="267">
        <f>Fak_3*168.1371</f>
        <v>1.6813710000000002</v>
      </c>
      <c r="AC88" s="267">
        <f>Fak_3*26.1804</f>
        <v>0.26180399999999998</v>
      </c>
      <c r="AD88" s="267">
        <f>Fak_3*9.3032</f>
        <v>9.3032000000000004E-2</v>
      </c>
      <c r="AE88" s="267">
        <f>Fak_3*107.2195</f>
        <v>1.072195</v>
      </c>
      <c r="AF88" s="267">
        <f>Fak_3*58.2875</f>
        <v>0.58287500000000003</v>
      </c>
      <c r="AG88" s="267">
        <f>Fak_3*107.8422</f>
        <v>1.078422</v>
      </c>
      <c r="AH88" s="267">
        <f>Fak_3*2091.7</f>
        <v>20.916999999999998</v>
      </c>
      <c r="AI88" s="213"/>
      <c r="AJ88" s="219"/>
      <c r="AK88" s="210"/>
    </row>
    <row r="89" spans="2:37" s="144" customFormat="1" ht="24" customHeight="1" x14ac:dyDescent="0.25">
      <c r="B89" s="227"/>
      <c r="C89" s="228"/>
      <c r="D89" s="229"/>
      <c r="E89" s="131"/>
      <c r="F89" s="200"/>
      <c r="G89" s="215"/>
      <c r="H89" s="216"/>
      <c r="I89" s="217" t="s">
        <v>7536</v>
      </c>
      <c r="J89" s="268">
        <f>Fak_3*2060.1623</f>
        <v>20.601623</v>
      </c>
      <c r="K89" s="268">
        <f>Fak_3*2450.5015</f>
        <v>24.505015</v>
      </c>
      <c r="L89" s="268">
        <f>Fak_3*2316.8622</f>
        <v>23.168621999999999</v>
      </c>
      <c r="M89" s="268">
        <f>Fak_3*1074.8357</f>
        <v>10.748357</v>
      </c>
      <c r="N89" s="268">
        <f>Fak_3*2666.9278</f>
        <v>26.669277999999998</v>
      </c>
      <c r="O89" s="268">
        <f>Fak_3*1675.0715</f>
        <v>16.750715</v>
      </c>
      <c r="P89" s="268">
        <f>Fak_3*1037.0247</f>
        <v>10.370246999999999</v>
      </c>
      <c r="Q89" s="268">
        <f>Fak_3*2122.9659</f>
        <v>21.229659000000002</v>
      </c>
      <c r="R89" s="268">
        <f>Fak_3*439.5883</f>
        <v>4.3958830000000004</v>
      </c>
      <c r="S89" s="268">
        <f>Fak_3*1419.2436</f>
        <v>14.192436000000001</v>
      </c>
      <c r="T89" s="268">
        <f>Fak_3*443.7143</f>
        <v>4.4371429999999998</v>
      </c>
      <c r="U89" s="268">
        <f>Fak_3*1600.0223</f>
        <v>16.000223000000002</v>
      </c>
      <c r="V89" s="268">
        <f>Fak_3*2298.8835</f>
        <v>22.988834999999998</v>
      </c>
      <c r="W89" s="268">
        <f>Fak_3*1920.2785</f>
        <v>19.202784999999999</v>
      </c>
      <c r="X89" s="268">
        <f>Fak_3*1566.0189</f>
        <v>15.660189000000001</v>
      </c>
      <c r="Y89" s="268">
        <f>Fak_3*2379.3801</f>
        <v>23.793800999999998</v>
      </c>
      <c r="Z89" s="268">
        <f>Fak_3*947.994</f>
        <v>9.4799400000000009</v>
      </c>
      <c r="AA89" s="268">
        <f>Fak_3*683.5331</f>
        <v>6.835331</v>
      </c>
      <c r="AB89" s="268">
        <f>Fak_3*2266.687</f>
        <v>22.666869999999999</v>
      </c>
      <c r="AC89" s="268">
        <f>Fak_3*912.6329</f>
        <v>9.1263290000000001</v>
      </c>
      <c r="AD89" s="268">
        <f>Fak_3*138.2558</f>
        <v>1.382558</v>
      </c>
      <c r="AE89" s="268">
        <f>Fak_3*1667.1688</f>
        <v>16.671688</v>
      </c>
      <c r="AF89" s="268">
        <f>Fak_3*665.3779</f>
        <v>6.6537790000000001</v>
      </c>
      <c r="AG89" s="268">
        <f>Fak_3*1310.8132</f>
        <v>13.108132000000001</v>
      </c>
      <c r="AH89" s="268">
        <f>Fak_3*36063.9438</f>
        <v>360.63943800000004</v>
      </c>
      <c r="AI89" s="213"/>
      <c r="AJ89" s="219"/>
      <c r="AK89" s="210"/>
    </row>
    <row r="90" spans="2:37" s="144" customFormat="1" ht="24" customHeight="1" x14ac:dyDescent="0.25">
      <c r="B90" s="227"/>
      <c r="C90" s="228"/>
      <c r="D90" s="229"/>
      <c r="E90" s="131"/>
      <c r="F90" s="200" t="s">
        <v>7409</v>
      </c>
      <c r="G90" s="215"/>
      <c r="H90" s="216"/>
      <c r="I90" s="217" t="s">
        <v>7537</v>
      </c>
      <c r="J90" s="268">
        <f>Fak_3*1203.8775</f>
        <v>12.038775000000001</v>
      </c>
      <c r="K90" s="268">
        <f>Fak_3*183.1272</f>
        <v>1.831272</v>
      </c>
      <c r="L90" s="268">
        <f>Fak_3*160.0033</f>
        <v>1.600033</v>
      </c>
      <c r="M90" s="268">
        <f>Fak_3*241.7102</f>
        <v>2.4171019999999999</v>
      </c>
      <c r="N90" s="268">
        <f>Fak_3*249.1224</f>
        <v>2.4912239999999999</v>
      </c>
      <c r="O90" s="268">
        <f>Fak_3*161.9366</f>
        <v>1.6193660000000001</v>
      </c>
      <c r="P90" s="268">
        <f>Fak_3*127.7306</f>
        <v>1.2773060000000001</v>
      </c>
      <c r="Q90" s="268">
        <f>Fak_3*160.3273</f>
        <v>1.6032730000000002</v>
      </c>
      <c r="R90" s="268">
        <f>Fak_3*24.5728</f>
        <v>0.245728</v>
      </c>
      <c r="S90" s="268">
        <f>Fak_3*262.5626</f>
        <v>2.625626</v>
      </c>
      <c r="T90" s="268">
        <f>Fak_3*247.4038</f>
        <v>2.4740379999999997</v>
      </c>
      <c r="U90" s="268">
        <f>Fak_3*675.5599</f>
        <v>6.7555990000000001</v>
      </c>
      <c r="V90" s="268">
        <f>Fak_3*214.0672</f>
        <v>2.1406720000000004</v>
      </c>
      <c r="W90" s="268">
        <f>Fak_3*92.1247</f>
        <v>0.92124700000000004</v>
      </c>
      <c r="X90" s="268">
        <f>Fak_3*382.7392</f>
        <v>3.8273919999999997</v>
      </c>
      <c r="Y90" s="268">
        <f>Fak_3*645.7431</f>
        <v>6.4574310000000006</v>
      </c>
      <c r="Z90" s="268">
        <f>Fak_3*45.4534</f>
        <v>0.45453400000000005</v>
      </c>
      <c r="AA90" s="268">
        <f>Fak_3*534.2459</f>
        <v>5.3424589999999998</v>
      </c>
      <c r="AB90" s="268">
        <f>Fak_3*239.0552</f>
        <v>2.390552</v>
      </c>
      <c r="AC90" s="268">
        <f>Fak_3*171.0714</f>
        <v>1.7107140000000001</v>
      </c>
      <c r="AD90" s="268">
        <f>Fak_3*105.0632</f>
        <v>1.050632</v>
      </c>
      <c r="AE90" s="268">
        <f>Fak_3*318.8654</f>
        <v>3.1886540000000001</v>
      </c>
      <c r="AF90" s="268">
        <f>Fak_3*20.3385</f>
        <v>0.20338500000000001</v>
      </c>
      <c r="AG90" s="268">
        <f>Fak_3*419.3949</f>
        <v>4.1939489999999999</v>
      </c>
      <c r="AH90" s="268">
        <f>Fak_3*6886.0963</f>
        <v>68.860962999999998</v>
      </c>
      <c r="AI90" s="213"/>
      <c r="AJ90" s="219"/>
      <c r="AK90" s="210"/>
    </row>
    <row r="91" spans="2:37" s="144" customFormat="1" ht="24" customHeight="1" x14ac:dyDescent="0.25">
      <c r="B91" s="227"/>
      <c r="C91" s="228"/>
      <c r="D91" s="229"/>
      <c r="E91" s="131"/>
      <c r="F91" s="321" t="s">
        <v>7549</v>
      </c>
      <c r="G91" s="199"/>
      <c r="H91" s="200"/>
      <c r="I91" s="217" t="s">
        <v>7538</v>
      </c>
      <c r="J91" s="268">
        <f>Fak_3*75.6341</f>
        <v>0.75634100000000004</v>
      </c>
      <c r="K91" s="268">
        <f>Fak_3*96.7579</f>
        <v>0.96757900000000008</v>
      </c>
      <c r="L91" s="268">
        <f>Fak_3*85.7918</f>
        <v>0.85791799999999996</v>
      </c>
      <c r="M91" s="268">
        <f>Fak_3*35.2597</f>
        <v>0.35259700000000005</v>
      </c>
      <c r="N91" s="268">
        <f>Fak_3*85.4048</f>
        <v>0.85404799999999992</v>
      </c>
      <c r="O91" s="268">
        <f>Fak_3*39.9885</f>
        <v>0.39988500000000005</v>
      </c>
      <c r="P91" s="268">
        <f>Fak_3*30.1241</f>
        <v>0.30124099999999998</v>
      </c>
      <c r="Q91" s="268">
        <f>Fak_3*85.7463</f>
        <v>0.85746300000000009</v>
      </c>
      <c r="R91" s="268">
        <f>Fak_3*21.7181</f>
        <v>0.21718100000000001</v>
      </c>
      <c r="S91" s="268">
        <f>Fak_3*49.566</f>
        <v>0.49566000000000004</v>
      </c>
      <c r="T91" s="268">
        <f>Fak_3*31.2623</f>
        <v>0.31262299999999998</v>
      </c>
      <c r="U91" s="268">
        <f>Fak_3*66.3156</f>
        <v>0.66315600000000008</v>
      </c>
      <c r="V91" s="268">
        <f>Fak_3*61.3783</f>
        <v>0.61378300000000008</v>
      </c>
      <c r="W91" s="268">
        <f>Fak_3*72.8039</f>
        <v>0.72803899999999999</v>
      </c>
      <c r="X91" s="268">
        <f>Fak_3*52.8484</f>
        <v>0.52848399999999995</v>
      </c>
      <c r="Y91" s="268">
        <f>Fak_3*73.6246</f>
        <v>0.73624600000000007</v>
      </c>
      <c r="Z91" s="268">
        <f>Fak_3*35.4861</f>
        <v>0.35486100000000004</v>
      </c>
      <c r="AA91" s="268">
        <f>Fak_3*26.6167</f>
        <v>0.26616700000000004</v>
      </c>
      <c r="AB91" s="268">
        <f>Fak_3*103.0942</f>
        <v>1.030942</v>
      </c>
      <c r="AC91" s="268">
        <f>Fak_3*19.6543</f>
        <v>0.196543</v>
      </c>
      <c r="AD91" s="268">
        <f>Fak_3*7.5334</f>
        <v>7.5333999999999998E-2</v>
      </c>
      <c r="AE91" s="268">
        <f>Fak_3*56.0423</f>
        <v>0.560423</v>
      </c>
      <c r="AF91" s="268">
        <f>Fak_3*26.5167</f>
        <v>0.26516699999999999</v>
      </c>
      <c r="AG91" s="268">
        <f>Fak_3*30.313</f>
        <v>0.30313000000000001</v>
      </c>
      <c r="AH91" s="268">
        <f>Fak_3*1269.4811</f>
        <v>12.694811</v>
      </c>
      <c r="AI91" s="213"/>
      <c r="AJ91" s="219"/>
      <c r="AK91" s="210"/>
    </row>
    <row r="92" spans="2:37" s="144" customFormat="1" ht="24" customHeight="1" x14ac:dyDescent="0.25">
      <c r="B92" s="227"/>
      <c r="C92" s="228"/>
      <c r="D92" s="229"/>
      <c r="E92" s="131"/>
      <c r="F92" s="322" t="s">
        <v>7519</v>
      </c>
      <c r="G92" s="199"/>
      <c r="H92" s="200"/>
      <c r="I92" s="217" t="s">
        <v>7539</v>
      </c>
      <c r="J92" s="268">
        <f>Fak_3*47.6473</f>
        <v>0.47647300000000004</v>
      </c>
      <c r="K92" s="268">
        <f>Fak_3*21.0378</f>
        <v>0.21037800000000001</v>
      </c>
      <c r="L92" s="268">
        <f>Fak_3*41.0671</f>
        <v>0.41067100000000006</v>
      </c>
      <c r="M92" s="268">
        <f>Fak_3*12.6297</f>
        <v>0.12629699999999999</v>
      </c>
      <c r="N92" s="268">
        <f>Fak_3*53.2035</f>
        <v>0.53203500000000004</v>
      </c>
      <c r="O92" s="268">
        <f>Fak_3*28.1582</f>
        <v>0.281582</v>
      </c>
      <c r="P92" s="268">
        <f>Fak_3*12.8883</f>
        <v>0.128883</v>
      </c>
      <c r="Q92" s="268">
        <f>Fak_3*53.338</f>
        <v>0.53337999999999997</v>
      </c>
      <c r="R92" s="268">
        <f>Fak_3*15.7193</f>
        <v>0.157193</v>
      </c>
      <c r="S92" s="268">
        <f>Fak_3*17.7418</f>
        <v>0.17741800000000002</v>
      </c>
      <c r="T92" s="268">
        <f>Fak_3*11.0438</f>
        <v>0.11043799999999999</v>
      </c>
      <c r="U92" s="268">
        <f>Fak_3*33.7709</f>
        <v>0.33770899999999998</v>
      </c>
      <c r="V92" s="268">
        <f>Fak_3*32.2399</f>
        <v>0.32239899999999999</v>
      </c>
      <c r="W92" s="268">
        <f>Fak_3*19.6372</f>
        <v>0.19637199999999999</v>
      </c>
      <c r="X92" s="268">
        <f>Fak_3*16.5244</f>
        <v>0.165244</v>
      </c>
      <c r="Y92" s="268">
        <f>Fak_3*32.1791</f>
        <v>0.32179099999999999</v>
      </c>
      <c r="Z92" s="268">
        <f>Fak_3*12.991</f>
        <v>0.12991</v>
      </c>
      <c r="AA92" s="268">
        <f>Fak_3*19.2262</f>
        <v>0.19226199999999999</v>
      </c>
      <c r="AB92" s="268">
        <f>Fak_3*26.8603</f>
        <v>0.26860299999999998</v>
      </c>
      <c r="AC92" s="268">
        <f>Fak_3*14.7877</f>
        <v>0.14787700000000001</v>
      </c>
      <c r="AD92" s="268">
        <f>Fak_3*1.7112</f>
        <v>1.7112000000000002E-2</v>
      </c>
      <c r="AE92" s="268">
        <f>Fak_3*26.2552</f>
        <v>0.26255200000000001</v>
      </c>
      <c r="AF92" s="268">
        <f>Fak_3*15.7779</f>
        <v>0.157779</v>
      </c>
      <c r="AG92" s="268">
        <f>Fak_3*19.4685</f>
        <v>0.194685</v>
      </c>
      <c r="AH92" s="268">
        <f>Fak_3*585.9043</f>
        <v>5.8590430000000007</v>
      </c>
      <c r="AI92" s="213"/>
      <c r="AJ92" s="219"/>
      <c r="AK92" s="210"/>
    </row>
    <row r="93" spans="2:37" s="208" customFormat="1" ht="24" customHeight="1" x14ac:dyDescent="0.25">
      <c r="B93" s="240"/>
      <c r="C93" s="230"/>
      <c r="D93" s="241"/>
      <c r="E93" s="183"/>
      <c r="F93" s="202" t="s">
        <v>7597</v>
      </c>
      <c r="G93" s="203"/>
      <c r="H93" s="201"/>
      <c r="I93" s="204" t="s">
        <v>7533</v>
      </c>
      <c r="J93" s="269">
        <f t="shared" ref="J93:AH93" si="25">+SUM(J84,J89,J90,J91,J92)</f>
        <v>60.374033000000004</v>
      </c>
      <c r="K93" s="269">
        <f t="shared" si="25"/>
        <v>45.300260000000002</v>
      </c>
      <c r="L93" s="269">
        <f t="shared" si="25"/>
        <v>49.640072000000004</v>
      </c>
      <c r="M93" s="269">
        <f t="shared" si="25"/>
        <v>26.146133000000003</v>
      </c>
      <c r="N93" s="269">
        <f t="shared" si="25"/>
        <v>60.905461000000003</v>
      </c>
      <c r="O93" s="269">
        <f t="shared" si="25"/>
        <v>41.926997999999998</v>
      </c>
      <c r="P93" s="269">
        <f t="shared" si="25"/>
        <v>28.015544999999999</v>
      </c>
      <c r="Q93" s="269">
        <f t="shared" si="25"/>
        <v>44.862329000000003</v>
      </c>
      <c r="R93" s="269">
        <f t="shared" si="25"/>
        <v>7.5978850000000007</v>
      </c>
      <c r="S93" s="269">
        <f t="shared" si="25"/>
        <v>35.181817000000002</v>
      </c>
      <c r="T93" s="269">
        <f t="shared" si="25"/>
        <v>14.208994000000001</v>
      </c>
      <c r="U93" s="269">
        <f t="shared" si="25"/>
        <v>46.955272999999998</v>
      </c>
      <c r="V93" s="269">
        <f t="shared" si="25"/>
        <v>58.988659999999996</v>
      </c>
      <c r="W93" s="269">
        <f t="shared" si="25"/>
        <v>32.152473999999998</v>
      </c>
      <c r="X93" s="269">
        <f t="shared" si="25"/>
        <v>37.769430000000007</v>
      </c>
      <c r="Y93" s="269">
        <f t="shared" si="25"/>
        <v>59.630665999999998</v>
      </c>
      <c r="Z93" s="269">
        <f t="shared" si="25"/>
        <v>17.342648999999998</v>
      </c>
      <c r="AA93" s="269">
        <f t="shared" si="25"/>
        <v>23.576929999999994</v>
      </c>
      <c r="AB93" s="269">
        <f t="shared" si="25"/>
        <v>48.520369000000002</v>
      </c>
      <c r="AC93" s="269">
        <f t="shared" si="25"/>
        <v>24.231731</v>
      </c>
      <c r="AD93" s="269">
        <f t="shared" si="25"/>
        <v>4.5750479999999998</v>
      </c>
      <c r="AE93" s="269">
        <f t="shared" si="25"/>
        <v>35.699800000000003</v>
      </c>
      <c r="AF93" s="269">
        <f t="shared" si="25"/>
        <v>12.108776000000001</v>
      </c>
      <c r="AG93" s="269">
        <f t="shared" si="25"/>
        <v>38.731549999999999</v>
      </c>
      <c r="AH93" s="269">
        <f t="shared" si="25"/>
        <v>854.44288300000005</v>
      </c>
      <c r="AI93" s="206"/>
      <c r="AJ93" s="207"/>
      <c r="AK93" s="202"/>
    </row>
  </sheetData>
  <mergeCells count="22">
    <mergeCell ref="F77:H77"/>
    <mergeCell ref="I78:AJ78"/>
    <mergeCell ref="J19:AH19"/>
    <mergeCell ref="AI20:AK20"/>
    <mergeCell ref="I21:AJ21"/>
    <mergeCell ref="J45:AH45"/>
    <mergeCell ref="J49:AH49"/>
    <mergeCell ref="J42:AH42"/>
    <mergeCell ref="J46:AH46"/>
    <mergeCell ref="J50:AH50"/>
    <mergeCell ref="AL25:AL30"/>
    <mergeCell ref="I55:AJ55"/>
    <mergeCell ref="AK63:AK76"/>
    <mergeCell ref="B1:D1"/>
    <mergeCell ref="E1:AG4"/>
    <mergeCell ref="I6:AJ6"/>
    <mergeCell ref="AK8:AK9"/>
    <mergeCell ref="AL10:AL15"/>
    <mergeCell ref="J17:AH17"/>
    <mergeCell ref="I35:U35"/>
    <mergeCell ref="J39:AH39"/>
    <mergeCell ref="J41:AH41"/>
  </mergeCells>
  <conditionalFormatting sqref="A8:AJ8 A23:XFD23 J22:AG22">
    <cfRule type="expression" dxfId="83" priority="12">
      <formula>$A$12=2</formula>
    </cfRule>
  </conditionalFormatting>
  <conditionalFormatting sqref="A8:AJ8 A23:XFD23">
    <cfRule type="expression" dxfId="82" priority="9">
      <formula>$A$12=1</formula>
    </cfRule>
  </conditionalFormatting>
  <conditionalFormatting sqref="J39">
    <cfRule type="expression" dxfId="81" priority="4">
      <formula>$C$8 = "relativ"</formula>
    </cfRule>
  </conditionalFormatting>
  <conditionalFormatting sqref="J41">
    <cfRule type="expression" dxfId="80" priority="3">
      <formula>$C$8 = "relativ"</formula>
    </cfRule>
  </conditionalFormatting>
  <conditionalFormatting sqref="J45">
    <cfRule type="expression" dxfId="79" priority="2">
      <formula>$C$8 = "relativ"</formula>
    </cfRule>
  </conditionalFormatting>
  <conditionalFormatting sqref="J49">
    <cfRule type="expression" dxfId="78" priority="1">
      <formula>$C$8 = "relativ"</formula>
    </cfRule>
  </conditionalFormatting>
  <conditionalFormatting sqref="J10:AH15 J25:AH30">
    <cfRule type="expression" dxfId="77" priority="10">
      <formula>$C$6 = "relativ"</formula>
    </cfRule>
  </conditionalFormatting>
  <conditionalFormatting sqref="J22:AH22">
    <cfRule type="expression" dxfId="76" priority="8">
      <formula>$A$12=1</formula>
    </cfRule>
  </conditionalFormatting>
  <conditionalFormatting sqref="J31:AH31">
    <cfRule type="expression" dxfId="75" priority="11">
      <formula>$A$12=2</formula>
    </cfRule>
  </conditionalFormatting>
  <conditionalFormatting sqref="AH22">
    <cfRule type="expression" dxfId="74" priority="7">
      <formula>$A$12=2</formula>
    </cfRule>
  </conditionalFormatting>
  <conditionalFormatting sqref="AJ10:AJ15">
    <cfRule type="dataBar" priority="14">
      <dataBar showValue="0">
        <cfvo type="num" val="0"/>
        <cfvo type="num" val="1"/>
        <color theme="0" tint="-0.499984740745262"/>
      </dataBar>
      <extLst>
        <ext xmlns:x14="http://schemas.microsoft.com/office/spreadsheetml/2009/9/main" uri="{B025F937-C7B1-47D3-B67F-A62EFF666E3E}">
          <x14:id>{2F170203-E231-432A-AE0C-889BBBD63348}</x14:id>
        </ext>
      </extLst>
    </cfRule>
  </conditionalFormatting>
  <conditionalFormatting sqref="AJ25:AJ31">
    <cfRule type="dataBar" priority="13">
      <dataBar showValue="0">
        <cfvo type="num" val="0"/>
        <cfvo type="num" val="1"/>
        <color theme="0" tint="-0.499984740745262"/>
      </dataBar>
      <extLst>
        <ext xmlns:x14="http://schemas.microsoft.com/office/spreadsheetml/2009/9/main" uri="{B025F937-C7B1-47D3-B67F-A62EFF666E3E}">
          <x14:id>{6D04F70B-D10E-4DC5-A239-224F8399F2E9}</x14:id>
        </ext>
      </extLst>
    </cfRule>
  </conditionalFormatting>
  <conditionalFormatting sqref="AL8:XFD8">
    <cfRule type="expression" dxfId="73" priority="5">
      <formula>$A$12=2</formula>
    </cfRule>
    <cfRule type="expression" dxfId="72" priority="6">
      <formula>$A$12=1</formula>
    </cfRule>
  </conditionalFormatting>
  <dataValidations count="3">
    <dataValidation type="list" allowBlank="1" showInputMessage="1" showErrorMessage="1" sqref="C6:D6" xr:uid="{00000000-0002-0000-0800-000000000000}">
      <formula1>"absolut,relativ"</formula1>
    </dataValidation>
    <dataValidation type="list" allowBlank="1" showInputMessage="1" showErrorMessage="1" sqref="C55:E55" xr:uid="{00000000-0002-0000-0800-000001000000}">
      <formula1>"absolut, Bevölkerung, Dauersiedlungsraum"</formula1>
    </dataValidation>
    <dataValidation type="list" allowBlank="1" showInputMessage="1" showErrorMessage="1" sqref="C3 D5" xr:uid="{00000000-0002-0000-0800-000002000000}">
      <formula1>"ha,km²"</formula1>
    </dataValidation>
  </dataValidations>
  <pageMargins left="1.0236220472440944" right="0.23622047244094491" top="0.74803149606299213" bottom="0.74803149606299213" header="0.31496062992125984" footer="0.31496062992125984"/>
  <pageSetup paperSize="8" scale="30" orientation="landscape" r:id="rId1"/>
  <drawing r:id="rId2"/>
  <extLst>
    <ext xmlns:x14="http://schemas.microsoft.com/office/spreadsheetml/2009/9/main" uri="{78C0D931-6437-407d-A8EE-F0AAD7539E65}">
      <x14:conditionalFormattings>
        <x14:conditionalFormatting xmlns:xm="http://schemas.microsoft.com/office/excel/2006/main">
          <x14:cfRule type="dataBar" id="{2F170203-E231-432A-AE0C-889BBBD63348}">
            <x14:dataBar minLength="0" maxLength="100" gradient="0">
              <x14:cfvo type="num">
                <xm:f>0</xm:f>
              </x14:cfvo>
              <x14:cfvo type="num">
                <xm:f>1</xm:f>
              </x14:cfvo>
              <x14:negativeFillColor rgb="FFFF0000"/>
              <x14:axisColor rgb="FF000000"/>
            </x14:dataBar>
          </x14:cfRule>
          <xm:sqref>AJ10:AJ15</xm:sqref>
        </x14:conditionalFormatting>
        <x14:conditionalFormatting xmlns:xm="http://schemas.microsoft.com/office/excel/2006/main">
          <x14:cfRule type="dataBar" id="{6D04F70B-D10E-4DC5-A239-224F8399F2E9}">
            <x14:dataBar minLength="0" maxLength="100" gradient="0">
              <x14:cfvo type="num">
                <xm:f>0</xm:f>
              </x14:cfvo>
              <x14:cfvo type="num">
                <xm:f>1</xm:f>
              </x14:cfvo>
              <x14:negativeFillColor rgb="FFFF0000"/>
              <x14:axisColor rgb="FF000000"/>
            </x14:dataBar>
          </x14:cfRule>
          <xm:sqref>AJ25:AJ31</xm:sqref>
        </x14:conditionalFormatting>
      </x14:conditionalFormattings>
    </ext>
    <ext xmlns:x14="http://schemas.microsoft.com/office/spreadsheetml/2009/9/main" uri="{05C60535-1F16-4fd2-B633-F4F36F0B64E0}">
      <x14:sparklineGroups xmlns:xm="http://schemas.microsoft.com/office/excel/2006/main">
        <x14:sparklineGroup manualMin="0" type="column" displayEmptyCellsAs="gap" minAxisType="custom" xr2:uid="{00000000-0003-0000-0800-000015000000}">
          <x14:colorSeries theme="0" tint="-0.34998626667073579"/>
          <x14:colorNegative rgb="FFD00000"/>
          <x14:colorAxis rgb="FF000000"/>
          <x14:colorMarkers rgb="FFD00000"/>
          <x14:colorFirst rgb="FFD00000"/>
          <x14:colorLast rgb="FFD00000"/>
          <x14:colorHigh rgb="FFD00000"/>
          <x14:colorLow rgb="FFD00000"/>
          <x14:sparklines>
            <x14:sparkline>
              <xm:f>NÖ!J18:AH18</xm:f>
              <xm:sqref>J17</xm:sqref>
            </x14:sparkline>
          </x14:sparklines>
        </x14:sparklineGroup>
        <x14:sparklineGroup manualMin="0" type="column" displayEmptyCellsAs="gap" minAxisType="custom" xr2:uid="{00000000-0003-0000-0800-000014000000}">
          <x14:colorSeries theme="0" tint="-0.34998626667073579"/>
          <x14:colorNegative rgb="FFD00000"/>
          <x14:colorAxis rgb="FF000000"/>
          <x14:colorMarkers rgb="FFD00000"/>
          <x14:colorFirst rgb="FFD00000"/>
          <x14:colorLast rgb="FFD00000"/>
          <x14:colorHigh rgb="FFD00000"/>
          <x14:colorLow rgb="FFD00000"/>
          <x14:sparklines>
            <x14:sparkline>
              <xm:f>NÖ!J20:AH20</xm:f>
              <xm:sqref>J19</xm:sqref>
            </x14:sparkline>
          </x14:sparklines>
        </x14:sparklineGroup>
        <x14:sparklineGroup type="column" displayEmptyCellsAs="gap" xr2:uid="{00000000-0003-0000-0800-000013000000}">
          <x14:colorSeries rgb="FF376092"/>
          <x14:colorNegative rgb="FFD00000"/>
          <x14:colorAxis rgb="FF000000"/>
          <x14:colorMarkers rgb="FFD00000"/>
          <x14:colorFirst rgb="FFD00000"/>
          <x14:colorLast rgb="FFD00000"/>
          <x14:colorHigh rgb="FFD00000"/>
          <x14:colorLow rgb="FFD00000"/>
          <x14:sparklines>
            <x14:sparkline>
              <xm:f>NÖ!J43:AH43</xm:f>
              <xm:sqref>J42</xm:sqref>
            </x14:sparkline>
          </x14:sparklines>
        </x14:sparklineGroup>
        <x14:sparklineGroup type="column" displayEmptyCellsAs="gap" xr2:uid="{00000000-0003-0000-0800-000012000000}">
          <x14:colorSeries rgb="FF376092"/>
          <x14:colorNegative rgb="FFD00000"/>
          <x14:colorAxis rgb="FF000000"/>
          <x14:colorMarkers rgb="FFD00000"/>
          <x14:colorFirst rgb="FFD00000"/>
          <x14:colorLast rgb="FFD00000"/>
          <x14:colorHigh rgb="FFD00000"/>
          <x14:colorLow rgb="FFD00000"/>
          <x14:sparklines>
            <x14:sparkline>
              <xm:f>NÖ!J47:AH47</xm:f>
              <xm:sqref>J46</xm:sqref>
            </x14:sparkline>
          </x14:sparklines>
        </x14:sparklineGroup>
        <x14:sparklineGroup type="column" displayEmptyCellsAs="gap" xr2:uid="{00000000-0003-0000-0800-000011000000}">
          <x14:colorSeries rgb="FF376092"/>
          <x14:colorNegative rgb="FFD00000"/>
          <x14:colorAxis rgb="FF000000"/>
          <x14:colorMarkers rgb="FFD00000"/>
          <x14:colorFirst rgb="FFD00000"/>
          <x14:colorLast rgb="FFD00000"/>
          <x14:colorHigh rgb="FFD00000"/>
          <x14:colorLow rgb="FFD00000"/>
          <x14:sparklines>
            <x14:sparkline>
              <xm:f>NÖ!J51:AH51</xm:f>
              <xm:sqref>J50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185</vt:i4>
      </vt:variant>
    </vt:vector>
  </HeadingPairs>
  <TitlesOfParts>
    <vt:vector size="202" baseType="lpstr">
      <vt:lpstr>Konstanten</vt:lpstr>
      <vt:lpstr>Gebäudeflächen</vt:lpstr>
      <vt:lpstr>readme</vt:lpstr>
      <vt:lpstr>Ö Hauptergebnisse</vt:lpstr>
      <vt:lpstr>Ö Details</vt:lpstr>
      <vt:lpstr>BL-Template</vt:lpstr>
      <vt:lpstr>B</vt:lpstr>
      <vt:lpstr>K</vt:lpstr>
      <vt:lpstr>NÖ</vt:lpstr>
      <vt:lpstr>OÖ</vt:lpstr>
      <vt:lpstr>S</vt:lpstr>
      <vt:lpstr>St</vt:lpstr>
      <vt:lpstr>T</vt:lpstr>
      <vt:lpstr>V</vt:lpstr>
      <vt:lpstr>W</vt:lpstr>
      <vt:lpstr>Methodik und Quellen</vt:lpstr>
      <vt:lpstr>Erläuterungen</vt:lpstr>
      <vt:lpstr>K!Baulandwidmung</vt:lpstr>
      <vt:lpstr>NÖ!Baulandwidmung</vt:lpstr>
      <vt:lpstr>'Ö Details'!Baulandwidmung</vt:lpstr>
      <vt:lpstr>OÖ!Baulandwidmung</vt:lpstr>
      <vt:lpstr>'S'!Baulandwidmung</vt:lpstr>
      <vt:lpstr>St!Baulandwidmung</vt:lpstr>
      <vt:lpstr>T!Baulandwidmung</vt:lpstr>
      <vt:lpstr>V!Baulandwidmung</vt:lpstr>
      <vt:lpstr>W!Baulandwidmung</vt:lpstr>
      <vt:lpstr>Baulandwidmung</vt:lpstr>
      <vt:lpstr>B!Bezugsgroesse</vt:lpstr>
      <vt:lpstr>'BL-Template'!Bezugsgroesse</vt:lpstr>
      <vt:lpstr>K!Bezugsgroesse</vt:lpstr>
      <vt:lpstr>NÖ!Bezugsgroesse</vt:lpstr>
      <vt:lpstr>'Ö Hauptergebnisse'!Bezugsgroesse</vt:lpstr>
      <vt:lpstr>OÖ!Bezugsgroesse</vt:lpstr>
      <vt:lpstr>'S'!Bezugsgroesse</vt:lpstr>
      <vt:lpstr>St!Bezugsgroesse</vt:lpstr>
      <vt:lpstr>T!Bezugsgroesse</vt:lpstr>
      <vt:lpstr>V!Bezugsgroesse</vt:lpstr>
      <vt:lpstr>W!Bezugsgroesse</vt:lpstr>
      <vt:lpstr>B!BL</vt:lpstr>
      <vt:lpstr>'BL-Template'!BL</vt:lpstr>
      <vt:lpstr>K!BL</vt:lpstr>
      <vt:lpstr>NÖ!BL</vt:lpstr>
      <vt:lpstr>OÖ!BL</vt:lpstr>
      <vt:lpstr>'S'!BL</vt:lpstr>
      <vt:lpstr>St!BL</vt:lpstr>
      <vt:lpstr>T!BL</vt:lpstr>
      <vt:lpstr>V!BL</vt:lpstr>
      <vt:lpstr>W!BL</vt:lpstr>
      <vt:lpstr>B!denom_1</vt:lpstr>
      <vt:lpstr>'BL-Template'!denom_1</vt:lpstr>
      <vt:lpstr>K!denom_1</vt:lpstr>
      <vt:lpstr>NÖ!denom_1</vt:lpstr>
      <vt:lpstr>'Ö Details'!denom_1</vt:lpstr>
      <vt:lpstr>OÖ!denom_1</vt:lpstr>
      <vt:lpstr>'S'!denom_1</vt:lpstr>
      <vt:lpstr>St!denom_1</vt:lpstr>
      <vt:lpstr>T!denom_1</vt:lpstr>
      <vt:lpstr>V!denom_1</vt:lpstr>
      <vt:lpstr>W!denom_1</vt:lpstr>
      <vt:lpstr>denom_1</vt:lpstr>
      <vt:lpstr>B!Druckbereich</vt:lpstr>
      <vt:lpstr>'BL-Template'!Druckbereich</vt:lpstr>
      <vt:lpstr>K!Druckbereich</vt:lpstr>
      <vt:lpstr>NÖ!Druckbereich</vt:lpstr>
      <vt:lpstr>'Ö Details'!Druckbereich</vt:lpstr>
      <vt:lpstr>'Ö Hauptergebnisse'!Druckbereich</vt:lpstr>
      <vt:lpstr>OÖ!Druckbereich</vt:lpstr>
      <vt:lpstr>'S'!Druckbereich</vt:lpstr>
      <vt:lpstr>St!Druckbereich</vt:lpstr>
      <vt:lpstr>T!Druckbereich</vt:lpstr>
      <vt:lpstr>V!Druckbereich</vt:lpstr>
      <vt:lpstr>W!Druckbereich</vt:lpstr>
      <vt:lpstr>B!DSR</vt:lpstr>
      <vt:lpstr>'BL-Template'!DSR</vt:lpstr>
      <vt:lpstr>K!DSR</vt:lpstr>
      <vt:lpstr>NÖ!DSR</vt:lpstr>
      <vt:lpstr>'Ö Details'!DSR</vt:lpstr>
      <vt:lpstr>'Ö Hauptergebnisse'!DSR</vt:lpstr>
      <vt:lpstr>OÖ!DSR</vt:lpstr>
      <vt:lpstr>'S'!DSR</vt:lpstr>
      <vt:lpstr>St!DSR</vt:lpstr>
      <vt:lpstr>T!DSR</vt:lpstr>
      <vt:lpstr>V!DSR</vt:lpstr>
      <vt:lpstr>W!DSR</vt:lpstr>
      <vt:lpstr>B!Einheit</vt:lpstr>
      <vt:lpstr>'BL-Template'!Einheit</vt:lpstr>
      <vt:lpstr>K!Einheit</vt:lpstr>
      <vt:lpstr>NÖ!Einheit</vt:lpstr>
      <vt:lpstr>'Ö Details'!Einheit</vt:lpstr>
      <vt:lpstr>'Ö Hauptergebnisse'!Einheit</vt:lpstr>
      <vt:lpstr>OÖ!Einheit</vt:lpstr>
      <vt:lpstr>'S'!Einheit</vt:lpstr>
      <vt:lpstr>St!Einheit</vt:lpstr>
      <vt:lpstr>T!Einheit</vt:lpstr>
      <vt:lpstr>V!Einheit</vt:lpstr>
      <vt:lpstr>W!Einheit</vt:lpstr>
      <vt:lpstr>B!EW</vt:lpstr>
      <vt:lpstr>'BL-Template'!EW</vt:lpstr>
      <vt:lpstr>K!EW</vt:lpstr>
      <vt:lpstr>NÖ!EW</vt:lpstr>
      <vt:lpstr>'Ö Details'!EW</vt:lpstr>
      <vt:lpstr>'Ö Hauptergebnisse'!EW</vt:lpstr>
      <vt:lpstr>OÖ!EW</vt:lpstr>
      <vt:lpstr>'S'!EW</vt:lpstr>
      <vt:lpstr>St!EW</vt:lpstr>
      <vt:lpstr>T!EW</vt:lpstr>
      <vt:lpstr>V!EW</vt:lpstr>
      <vt:lpstr>W!EW</vt:lpstr>
      <vt:lpstr>B!Fak_1</vt:lpstr>
      <vt:lpstr>'BL-Template'!Fak_1</vt:lpstr>
      <vt:lpstr>K!Fak_1</vt:lpstr>
      <vt:lpstr>NÖ!Fak_1</vt:lpstr>
      <vt:lpstr>'Ö Details'!Fak_1</vt:lpstr>
      <vt:lpstr>OÖ!Fak_1</vt:lpstr>
      <vt:lpstr>'S'!Fak_1</vt:lpstr>
      <vt:lpstr>St!Fak_1</vt:lpstr>
      <vt:lpstr>T!Fak_1</vt:lpstr>
      <vt:lpstr>V!Fak_1</vt:lpstr>
      <vt:lpstr>W!Fak_1</vt:lpstr>
      <vt:lpstr>Fak_1</vt:lpstr>
      <vt:lpstr>B!Fak_2</vt:lpstr>
      <vt:lpstr>'BL-Template'!Fak_2</vt:lpstr>
      <vt:lpstr>K!Fak_2</vt:lpstr>
      <vt:lpstr>NÖ!Fak_2</vt:lpstr>
      <vt:lpstr>OÖ!Fak_2</vt:lpstr>
      <vt:lpstr>'S'!Fak_2</vt:lpstr>
      <vt:lpstr>St!Fak_2</vt:lpstr>
      <vt:lpstr>T!Fak_2</vt:lpstr>
      <vt:lpstr>V!Fak_2</vt:lpstr>
      <vt:lpstr>W!Fak_2</vt:lpstr>
      <vt:lpstr>Fak_2</vt:lpstr>
      <vt:lpstr>B!Fak_3</vt:lpstr>
      <vt:lpstr>'BL-Template'!Fak_3</vt:lpstr>
      <vt:lpstr>K!Fak_3</vt:lpstr>
      <vt:lpstr>NÖ!Fak_3</vt:lpstr>
      <vt:lpstr>'Ö Details'!Fak_3</vt:lpstr>
      <vt:lpstr>OÖ!Fak_3</vt:lpstr>
      <vt:lpstr>'S'!Fak_3</vt:lpstr>
      <vt:lpstr>St!Fak_3</vt:lpstr>
      <vt:lpstr>T!Fak_3</vt:lpstr>
      <vt:lpstr>V!Fak_3</vt:lpstr>
      <vt:lpstr>W!Fak_3</vt:lpstr>
      <vt:lpstr>Fak_3</vt:lpstr>
      <vt:lpstr>B!Fak_Einheit</vt:lpstr>
      <vt:lpstr>'BL-Template'!Fak_Einheit</vt:lpstr>
      <vt:lpstr>K!Fak_Einheit</vt:lpstr>
      <vt:lpstr>NÖ!Fak_Einheit</vt:lpstr>
      <vt:lpstr>'Ö Details'!Fak_Einheit</vt:lpstr>
      <vt:lpstr>OÖ!Fak_Einheit</vt:lpstr>
      <vt:lpstr>'S'!Fak_Einheit</vt:lpstr>
      <vt:lpstr>St!Fak_Einheit</vt:lpstr>
      <vt:lpstr>T!Fak_Einheit</vt:lpstr>
      <vt:lpstr>V!Fak_Einheit</vt:lpstr>
      <vt:lpstr>W!Fak_Einheit</vt:lpstr>
      <vt:lpstr>Fak_Einheit</vt:lpstr>
      <vt:lpstr>Faktor</vt:lpstr>
      <vt:lpstr>B!FI_21x_beansprucht</vt:lpstr>
      <vt:lpstr>'BL-Template'!FI_21x_beansprucht</vt:lpstr>
      <vt:lpstr>K!FI_21x_beansprucht</vt:lpstr>
      <vt:lpstr>NÖ!FI_21x_beansprucht</vt:lpstr>
      <vt:lpstr>'Ö Hauptergebnisse'!FI_21x_beansprucht</vt:lpstr>
      <vt:lpstr>OÖ!FI_21x_beansprucht</vt:lpstr>
      <vt:lpstr>'S'!FI_21x_beansprucht</vt:lpstr>
      <vt:lpstr>St!FI_21x_beansprucht</vt:lpstr>
      <vt:lpstr>T!FI_21x_beansprucht</vt:lpstr>
      <vt:lpstr>V!FI_21x_beansprucht</vt:lpstr>
      <vt:lpstr>W!FI_21x_beansprucht</vt:lpstr>
      <vt:lpstr>FI_codes</vt:lpstr>
      <vt:lpstr>B!FI_gesamt</vt:lpstr>
      <vt:lpstr>'BL-Template'!FI_gesamt</vt:lpstr>
      <vt:lpstr>K!FI_gesamt</vt:lpstr>
      <vt:lpstr>NÖ!FI_gesamt</vt:lpstr>
      <vt:lpstr>'Ö Details'!FI_gesamt</vt:lpstr>
      <vt:lpstr>'Ö Hauptergebnisse'!FI_gesamt</vt:lpstr>
      <vt:lpstr>OÖ!FI_gesamt</vt:lpstr>
      <vt:lpstr>'S'!FI_gesamt</vt:lpstr>
      <vt:lpstr>St!FI_gesamt</vt:lpstr>
      <vt:lpstr>T!FI_gesamt</vt:lpstr>
      <vt:lpstr>V!FI_gesamt</vt:lpstr>
      <vt:lpstr>W!FI_gesamt</vt:lpstr>
      <vt:lpstr>B!Versatz</vt:lpstr>
      <vt:lpstr>'BL-Template'!Versatz</vt:lpstr>
      <vt:lpstr>K!Versatz</vt:lpstr>
      <vt:lpstr>NÖ!Versatz</vt:lpstr>
      <vt:lpstr>OÖ!Versatz</vt:lpstr>
      <vt:lpstr>'S'!Versatz</vt:lpstr>
      <vt:lpstr>St!Versatz</vt:lpstr>
      <vt:lpstr>T!Versatz</vt:lpstr>
      <vt:lpstr>V!Versatz</vt:lpstr>
      <vt:lpstr>W!Versatz</vt:lpstr>
      <vt:lpstr>Versatz</vt:lpstr>
      <vt:lpstr>B!VS_gesamt</vt:lpstr>
      <vt:lpstr>'BL-Template'!VS_gesamt</vt:lpstr>
      <vt:lpstr>K!VS_gesamt</vt:lpstr>
      <vt:lpstr>NÖ!VS_gesamt</vt:lpstr>
      <vt:lpstr>OÖ!VS_gesamt</vt:lpstr>
      <vt:lpstr>'S'!VS_gesamt</vt:lpstr>
      <vt:lpstr>St!VS_gesamt</vt:lpstr>
      <vt:lpstr>T!VS_gesamt</vt:lpstr>
      <vt:lpstr>V!VS_gesamt</vt:lpstr>
      <vt:lpstr>W!VS_gesamt</vt:lpstr>
      <vt:lpstr>VS_gesamt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Offenthaler Ivo</dc:creator>
  <cp:lastModifiedBy>Paul Himmelbauer</cp:lastModifiedBy>
  <cp:lastPrinted>2023-11-30T09:50:47Z</cp:lastPrinted>
  <dcterms:created xsi:type="dcterms:W3CDTF">2022-09-21T08:00:50Z</dcterms:created>
  <dcterms:modified xsi:type="dcterms:W3CDTF">2023-11-30T09:51:57Z</dcterms:modified>
</cp:coreProperties>
</file>